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00" activeTab="1"/>
  </bookViews>
  <sheets>
    <sheet name="Ingresos" sheetId="1" r:id="rId1"/>
    <sheet name="Gastos" sheetId="2" r:id="rId2"/>
    <sheet name="Nomina" sheetId="3" r:id="rId3"/>
  </sheets>
  <definedNames>
    <definedName name="_xlnm._FilterDatabase" localSheetId="1" hidden="1">'Gastos'!$A$5:$F$382</definedName>
    <definedName name="_xlnm._FilterDatabase" localSheetId="0" hidden="1">'Ingresos'!$A$5:$K$107</definedName>
    <definedName name="_xlnm._FilterDatabase" localSheetId="2" hidden="1">'Nomina'!$A$5:$Y$44</definedName>
    <definedName name="_xlnm.Print_Titles" localSheetId="1">'Gastos'!$1:$5</definedName>
    <definedName name="_xlnm.Print_Titles" localSheetId="0">'Ingresos'!$1:$5</definedName>
  </definedNames>
  <calcPr fullCalcOnLoad="1"/>
</workbook>
</file>

<file path=xl/comments1.xml><?xml version="1.0" encoding="utf-8"?>
<comments xmlns="http://schemas.openxmlformats.org/spreadsheetml/2006/main">
  <authors>
    <author>Humberto Velazquez</author>
  </authors>
  <commentList>
    <comment ref="B56" authorId="0">
      <text>
        <r>
          <rPr>
            <sz val="9"/>
            <rFont val="Tahoma"/>
            <family val="2"/>
          </rPr>
          <t>Incluye 9006, 9007 y 9008</t>
        </r>
      </text>
    </comment>
  </commentList>
</comments>
</file>

<file path=xl/sharedStrings.xml><?xml version="1.0" encoding="utf-8"?>
<sst xmlns="http://schemas.openxmlformats.org/spreadsheetml/2006/main" count="1357" uniqueCount="604">
  <si>
    <t>SALUD</t>
  </si>
  <si>
    <t>NOMBRE DEL EMPLEADO</t>
  </si>
  <si>
    <t>CARGO</t>
  </si>
  <si>
    <t>DEPENDENCIA</t>
  </si>
  <si>
    <t>DIAS</t>
  </si>
  <si>
    <t>DEVENGADO</t>
  </si>
  <si>
    <t>PENSION</t>
  </si>
  <si>
    <t>RIESGOS</t>
  </si>
  <si>
    <t>I.C.B.F.</t>
  </si>
  <si>
    <t>CAJA</t>
  </si>
  <si>
    <t>ESCUELAS</t>
  </si>
  <si>
    <t>ESAP</t>
  </si>
  <si>
    <t>SENA</t>
  </si>
  <si>
    <t>CESANTIAS</t>
  </si>
  <si>
    <t>INTERESES</t>
  </si>
  <si>
    <t>VACACIONES</t>
  </si>
  <si>
    <t>JEFE OFICINA</t>
  </si>
  <si>
    <t>ACUEDUCTO</t>
  </si>
  <si>
    <t>FABIOLA CHUQUEN COBOS</t>
  </si>
  <si>
    <t>FLOR MARINA MARTINEZ ANGEL</t>
  </si>
  <si>
    <t>JOSE MANUEL ROJAS</t>
  </si>
  <si>
    <t>GERMAN ENRIQUE ESCOBAR  P</t>
  </si>
  <si>
    <t>OPERADOR</t>
  </si>
  <si>
    <t>JOSE ALEXANDER MORENO M.</t>
  </si>
  <si>
    <t>NEMECIO AGUILAR MACIAS</t>
  </si>
  <si>
    <t>FONTANERO</t>
  </si>
  <si>
    <t>ALCALDIA</t>
  </si>
  <si>
    <t>SANDRA MARIELA CUEVAS V.</t>
  </si>
  <si>
    <t>NELSON GABRIEL CLAVIJO S.</t>
  </si>
  <si>
    <t>NOHEMY  ROJAS PARDO</t>
  </si>
  <si>
    <t>INSPECTORA</t>
  </si>
  <si>
    <t>BLANCA INES ROA ESCOBAR</t>
  </si>
  <si>
    <t>LIGIA MARINA MUNOZ G.</t>
  </si>
  <si>
    <t>OLGA LUCIA LOPEZ ORTIZ</t>
  </si>
  <si>
    <t>NIDYA ESTHER RODRIGUEZ P</t>
  </si>
  <si>
    <t>MARIA CELINIA DIAZ ORTIZ</t>
  </si>
  <si>
    <t>DORA A. SOTO HERNANDEZ</t>
  </si>
  <si>
    <t>LIGIA MORENO LOPEZ</t>
  </si>
  <si>
    <t>CIRO BORDA MORENO</t>
  </si>
  <si>
    <t>PEDRO MARIA HERRERA V.</t>
  </si>
  <si>
    <t>LUIS HERNANDO BERNAL S.</t>
  </si>
  <si>
    <t>JOSE CERAFIN GALINDO C.</t>
  </si>
  <si>
    <t>HECTOR HERNANDEZ</t>
  </si>
  <si>
    <t>EUCLIDES GARAVITO ESPITIA</t>
  </si>
  <si>
    <t>HERNANDO TORRES CLAVIJO</t>
  </si>
  <si>
    <t>ANGEL ALBERTO CANGREJO R.</t>
  </si>
  <si>
    <t>LUZ MERY AGUILERA REY</t>
  </si>
  <si>
    <t>JAMES E. RUBIANO MORENO</t>
  </si>
  <si>
    <t>CONDUCTOR</t>
  </si>
  <si>
    <t>HERMINDA MARTINEZ DE A.</t>
  </si>
  <si>
    <t>NORBERTO ANDRES MARROQUIN</t>
  </si>
  <si>
    <t>MARIA ROSENDA DIAZ de MORA</t>
  </si>
  <si>
    <t>PENSIONADO</t>
  </si>
  <si>
    <t>MAXIMILIANO RODRIGUEZ</t>
  </si>
  <si>
    <t>FIDEL MARIA SANABRIA</t>
  </si>
  <si>
    <t>MARIA ALICIA GUAVITA</t>
  </si>
  <si>
    <t>OLGA MARIA ACOSTA L.</t>
  </si>
  <si>
    <t>CLARA BEATRIZ LEON OVALLE</t>
  </si>
  <si>
    <t>ALEJANDRO PATARROYO MORALES</t>
  </si>
  <si>
    <t>PROF. UNIVERSITARIO</t>
  </si>
  <si>
    <t>NESTOR RODRIGO DIAZ HERNANDEZ</t>
  </si>
  <si>
    <t>INCREMENTO</t>
  </si>
  <si>
    <t>LUZ PATRICIA ORTIZ M.</t>
  </si>
  <si>
    <t>JULIAN YESID CARDENAS M</t>
  </si>
  <si>
    <t>ALCALDE</t>
  </si>
  <si>
    <t>BASE</t>
  </si>
  <si>
    <t>AUX. ADMTVO.</t>
  </si>
  <si>
    <t>SERV. GENERALES</t>
  </si>
  <si>
    <t>ALMACENISTA</t>
  </si>
  <si>
    <t>SECRETARIAS</t>
  </si>
  <si>
    <t>INSPECTOR OBRA</t>
  </si>
  <si>
    <t>CARLOS ANDRES DIAZ ROCHA</t>
  </si>
  <si>
    <t>PRESUPUESTO DE INGRESOS</t>
  </si>
  <si>
    <t>INGRESOS CORRIENTES</t>
  </si>
  <si>
    <t>INGRESOS TRIBUTARIOS</t>
  </si>
  <si>
    <t>IMPUESTOS DIRECTOS</t>
  </si>
  <si>
    <t>1.1.1.1.1.</t>
  </si>
  <si>
    <t>Predial unificado de la vigencia</t>
  </si>
  <si>
    <t>Predial vigencias anteriores</t>
  </si>
  <si>
    <t>IMPUESTOS INDIRECTOS</t>
  </si>
  <si>
    <t>1.1.1.2.2.</t>
  </si>
  <si>
    <t>Industria y comercio (actividad comercial)</t>
  </si>
  <si>
    <t>1.1.1.2.3.</t>
  </si>
  <si>
    <t>Industria y comercio (actividad industrial)</t>
  </si>
  <si>
    <t>1.1.1.2.4.</t>
  </si>
  <si>
    <t>Industria y comercio (actividad de servicios)</t>
  </si>
  <si>
    <t>1.1.1.2.1.</t>
  </si>
  <si>
    <t>Industria y comercio (actividad financiera)</t>
  </si>
  <si>
    <t>1.1.1.2.5.</t>
  </si>
  <si>
    <t>Avisos, tableros y vallas</t>
  </si>
  <si>
    <t>1.1.1.2.15.1.</t>
  </si>
  <si>
    <t>Sobretasa a la gasolina</t>
  </si>
  <si>
    <t>1.1.1.2.8.2.</t>
  </si>
  <si>
    <t>Espectáculos públicos con destino al deporte</t>
  </si>
  <si>
    <t>Impuesto Espectaculos Publicos</t>
  </si>
  <si>
    <t>1.1.1.2.19.</t>
  </si>
  <si>
    <t>Alumbrado público</t>
  </si>
  <si>
    <t>1.1.1.2.10.</t>
  </si>
  <si>
    <t>Juegos permitidos</t>
  </si>
  <si>
    <t>1.1.2.1.1.11.</t>
  </si>
  <si>
    <t>Ocupación de vías y lugares públicos</t>
  </si>
  <si>
    <t>1.1.1.2.7.</t>
  </si>
  <si>
    <t>Delineacón Urbana</t>
  </si>
  <si>
    <t>Juegos de azar y suerte</t>
  </si>
  <si>
    <t>INGRESOS NO TRIBUTARIOS</t>
  </si>
  <si>
    <t>TASAS Y TARIFAS</t>
  </si>
  <si>
    <t>1.1.2.1.1.4.</t>
  </si>
  <si>
    <t>Servicio plaza de mercado</t>
  </si>
  <si>
    <t>1.1.2.1.1.5.</t>
  </si>
  <si>
    <t>Servicio plaza de ferias</t>
  </si>
  <si>
    <t>1.1.1.2.16.</t>
  </si>
  <si>
    <t>Estampilla Procultura</t>
  </si>
  <si>
    <t>1.1.2.1.1.14.</t>
  </si>
  <si>
    <t>Licencias de construcción</t>
  </si>
  <si>
    <t>1.1.2.1.1.10.</t>
  </si>
  <si>
    <t>Publicaciones</t>
  </si>
  <si>
    <t>1.1.1.2.20.</t>
  </si>
  <si>
    <t>Servicio de marcas y herretes</t>
  </si>
  <si>
    <t>1.1.2.1.1.9.</t>
  </si>
  <si>
    <t>Expedición de paz y salvos y constancias</t>
  </si>
  <si>
    <t>1.1.2.3.1.</t>
  </si>
  <si>
    <t>Expedición de guías, licencias, formularios y pliegos</t>
  </si>
  <si>
    <t>1.1.2.1.1.12.</t>
  </si>
  <si>
    <t>Venta de recebo</t>
  </si>
  <si>
    <t>CONTRIBUCIONES</t>
  </si>
  <si>
    <t>1.1.2.1.3.1.</t>
  </si>
  <si>
    <t>Cuotas pavimentación</t>
  </si>
  <si>
    <t>RENTAS CONTRACTUALES</t>
  </si>
  <si>
    <t>1.1.2.2.2.</t>
  </si>
  <si>
    <t>Alquiler de Inmuebles Municipales</t>
  </si>
  <si>
    <t>Alquiler de vehículos y maquinaria</t>
  </si>
  <si>
    <t>RENTAS OCASIONALES</t>
  </si>
  <si>
    <t>1.1.2.1.2.3.</t>
  </si>
  <si>
    <t>Multas administrativasy Sanciones</t>
  </si>
  <si>
    <t>1.1.2.3.2.</t>
  </si>
  <si>
    <t>Comisiones y Otros Ingresos</t>
  </si>
  <si>
    <t>Ingresos realización ferias y exposiciones</t>
  </si>
  <si>
    <t>INTERESES SOBRE IMPUESTOS</t>
  </si>
  <si>
    <t>1.1.2.4.1.</t>
  </si>
  <si>
    <t>Interés predial</t>
  </si>
  <si>
    <t>1.1.2.4.2.</t>
  </si>
  <si>
    <t>Interés industria y comercio</t>
  </si>
  <si>
    <t>PARTICIPACIONES NACIONALES</t>
  </si>
  <si>
    <t>1.1.2.5.2.1.5.</t>
  </si>
  <si>
    <t>S.G.P. Alimentación escolar</t>
  </si>
  <si>
    <t>1.1.2.5.2.1.1.4.</t>
  </si>
  <si>
    <t>S.G.P Educación</t>
  </si>
  <si>
    <t>1.1.2.5.2.1.3</t>
  </si>
  <si>
    <t>S.G.P. Proposito General - Forsoza Inversión</t>
  </si>
  <si>
    <t>1.1.2.5.1.1.1.</t>
  </si>
  <si>
    <t>S.G.P. Proposito General - Libre Asignación</t>
  </si>
  <si>
    <t>Aportes y convenios otras entidades</t>
  </si>
  <si>
    <t>APORTES Y/O CONVENIOS DEPARTAMENTALES</t>
  </si>
  <si>
    <t>1.1.2.5.2.2.1.3.</t>
  </si>
  <si>
    <t>Convenio Nº154-2007 Apoyo Escuelas Formacion Danza y Música</t>
  </si>
  <si>
    <t>Convenio Nº189-2007 Apoyo Escuelas  Formacion Deportiva Patinaje y Taekwondo</t>
  </si>
  <si>
    <t>Convenio Nº 349-07 DISCAPACITADOS -Departamento y Municipio.</t>
  </si>
  <si>
    <t>Convenio Nº 0489 -07 INVIAS - Mejoramiento de Vías Municipio de Arbelàez</t>
  </si>
  <si>
    <t>Convenio Nº 640 Dotacion de Intrumentos Musicales Departamento Secretaria Agricultura- Municip.Arbelaez</t>
  </si>
  <si>
    <t>Convenio Nº CO-25-07 Comité de Cafeteros-Municipio Arbelaez, Afirmado y conformacion de la vía San Miguel -Versalles</t>
  </si>
  <si>
    <t>Convenio SOP-A 163-07 Secretaria Obras Públicas Departamento-Municipio Arbelaez,Construccion de la Nueva Planta de Tratamiento Alterna para Arbelaez</t>
  </si>
  <si>
    <t>Contrato Nº 78 Transporte de 80 Abuelos Arbeláez-Bogotá celebracion día de Cundinamarca.</t>
  </si>
  <si>
    <t>CESIONES DEPARTAMENTALES</t>
  </si>
  <si>
    <t>1.1.1.1.3.</t>
  </si>
  <si>
    <t>Vehículos automotores</t>
  </si>
  <si>
    <t>RECURSOS DE CAPITAL</t>
  </si>
  <si>
    <t>RECURSOS DE BALANCE</t>
  </si>
  <si>
    <t>Excedentes financieros</t>
  </si>
  <si>
    <t>RESERVA 100% LEY 819 de 2003</t>
  </si>
  <si>
    <t>1.3.1.4.1.1.</t>
  </si>
  <si>
    <t>Sector Salud</t>
  </si>
  <si>
    <t>1.3.1.4.1.7.</t>
  </si>
  <si>
    <t>Sector Agua Potable</t>
  </si>
  <si>
    <t>Aportes y/o Convenios Nacionales</t>
  </si>
  <si>
    <t>RECURSOS SALDOS VIGENCIAS ANTERIORES</t>
  </si>
  <si>
    <t>Sector Educacion</t>
  </si>
  <si>
    <t>Sector Agua Potable y Saneamiento Basico</t>
  </si>
  <si>
    <t>Otros Sectores</t>
  </si>
  <si>
    <t>Aportes y/o Convenios</t>
  </si>
  <si>
    <t>Educacion con Sentido Social</t>
  </si>
  <si>
    <t>RENDIMIENTOS OPERACIONES FINANCIERAS</t>
  </si>
  <si>
    <t>1.2.3.1.</t>
  </si>
  <si>
    <t>FONDOS ESPECIALES</t>
  </si>
  <si>
    <t>FONDO DE SERVICIOS PUBLICOS</t>
  </si>
  <si>
    <t>1.1.2.1.1.2.</t>
  </si>
  <si>
    <t>Prestación servicio acueducto, alcantarillado y  aseo</t>
  </si>
  <si>
    <t>FONDO DE SEGURIDAD CIUDADANA</t>
  </si>
  <si>
    <t>1.3.3.1.</t>
  </si>
  <si>
    <t>Contribución especial sobre contratos de obra pública</t>
  </si>
  <si>
    <t>FONDO LOCAL DE SALUD</t>
  </si>
  <si>
    <t>1.3.1.1.1.1.1</t>
  </si>
  <si>
    <t>S.G.P. Subsidio a la demanda continuidad</t>
  </si>
  <si>
    <t>1.3.1.1.1.1.2</t>
  </si>
  <si>
    <t>S.G.P. Subsidio a la demanda ampliación</t>
  </si>
  <si>
    <t>1.3.1.1.1.2</t>
  </si>
  <si>
    <t>S.G.P. Salud pública</t>
  </si>
  <si>
    <t>1.3.1.1.3.</t>
  </si>
  <si>
    <t>Empresa para la salud ETESA</t>
  </si>
  <si>
    <t>1.3.1.1.2.1.</t>
  </si>
  <si>
    <t>Fondo de Solidaridad y Garantías FOSYGA</t>
  </si>
  <si>
    <t>1.3.1.3.1.2</t>
  </si>
  <si>
    <t>Recursos del 4.01%</t>
  </si>
  <si>
    <t>1.1.2.5.2.2.1.1.</t>
  </si>
  <si>
    <t>Resolucion No. 6082 de 2005</t>
  </si>
  <si>
    <t>Convenio Poblacion Cafetera</t>
  </si>
  <si>
    <t>Saldos Liquidacion Resolucion No. 5090 de 2003</t>
  </si>
  <si>
    <t>OTROS FONDOS</t>
  </si>
  <si>
    <t>1.3.5.2.</t>
  </si>
  <si>
    <t>Fondo de asistencia tecnica directa rural</t>
  </si>
  <si>
    <t>1.3.8</t>
  </si>
  <si>
    <t>Fondo Planta Residuos Solidos</t>
  </si>
  <si>
    <t>Fondo Alquiler de Maquinaria</t>
  </si>
  <si>
    <t>Fondo Alumbrado Público</t>
  </si>
  <si>
    <t>Inicial</t>
  </si>
  <si>
    <t>Adicion</t>
  </si>
  <si>
    <t>Reduccion</t>
  </si>
  <si>
    <t>Definitivo</t>
  </si>
  <si>
    <t>Recaudo</t>
  </si>
  <si>
    <t>Por Ejecutar</t>
  </si>
  <si>
    <t>Rendimientos por depósitos sector salud</t>
  </si>
  <si>
    <t>Rendimientos por depósitos sector inversion</t>
  </si>
  <si>
    <t>Rendimientos por depósitos funcionamiento</t>
  </si>
  <si>
    <t>ACUMULADO AGOSTO DE 2007</t>
  </si>
  <si>
    <t>*</t>
  </si>
  <si>
    <t>PRESUPUESTO DE GASTOS</t>
  </si>
  <si>
    <t>GASTOS DE FUNCIONAMIENTO</t>
  </si>
  <si>
    <t>TRANSFERENCIA CONCEJO MUNICIPAL</t>
  </si>
  <si>
    <t>GASTOS DE PERSONAL</t>
  </si>
  <si>
    <t>SERVICIOS PERSONALES ASOCIADOS A LA NÓMINA</t>
  </si>
  <si>
    <t>Sueldos personal de nómina</t>
  </si>
  <si>
    <t>Prima de vacaciones</t>
  </si>
  <si>
    <t>Prima de navidad</t>
  </si>
  <si>
    <t>Indemnización por vacaciones</t>
  </si>
  <si>
    <t>SERVICIOS PERSONALES INDIRECTOS</t>
  </si>
  <si>
    <t>Honorarios</t>
  </si>
  <si>
    <t>Remuneración servicios técnicos</t>
  </si>
  <si>
    <t>CONTRIBUCIONES INHERENTES A LA NÓMINA AL SECTOR PRIVADO</t>
  </si>
  <si>
    <t>Caja de compensación</t>
  </si>
  <si>
    <t>Fondo de cesantías</t>
  </si>
  <si>
    <t>CONTRIBUCIONES INHERENTES A LA NÓMINA AL SECTOR PÚBLICO</t>
  </si>
  <si>
    <t>Instituto Colombiano de Bienestar Familiar (I.C.B.F.)</t>
  </si>
  <si>
    <t>Institutos técnicos y escuelas industriales</t>
  </si>
  <si>
    <t>Escuela Superior de Administracion Publica (ESAP)</t>
  </si>
  <si>
    <t>Servicio Nacional de Aprendizaje (SENA)</t>
  </si>
  <si>
    <t>A.P.S. Servicios médicos</t>
  </si>
  <si>
    <t>A.P.S. Pensiones</t>
  </si>
  <si>
    <t>A.R.P. Riesgos profesionales</t>
  </si>
  <si>
    <t>GASTOS GENERALES</t>
  </si>
  <si>
    <t>ADQUISICIÓN DE BIENES</t>
  </si>
  <si>
    <t>Compra de equipo</t>
  </si>
  <si>
    <t>Materiales y suministros</t>
  </si>
  <si>
    <t>ADQUISICIÓN DE SERVICIOS</t>
  </si>
  <si>
    <t>Mantenimiento</t>
  </si>
  <si>
    <t>Servicios públicos</t>
  </si>
  <si>
    <t>Arrendamientos</t>
  </si>
  <si>
    <t>Impresos y publicaciones</t>
  </si>
  <si>
    <t>Comunicación y transporte</t>
  </si>
  <si>
    <t>Capacitación</t>
  </si>
  <si>
    <t>Transporte concejales</t>
  </si>
  <si>
    <t>Gastos gaceta concejo</t>
  </si>
  <si>
    <t>Menajes y elementos de cafeteria</t>
  </si>
  <si>
    <t>Derechos de asociación</t>
  </si>
  <si>
    <t>Dotación personal</t>
  </si>
  <si>
    <t>TRANSFERENCIA PERSONERIA MUNICIPAL</t>
  </si>
  <si>
    <t>Supernumerarios</t>
  </si>
  <si>
    <t>A.P.S. Servicios Médicos</t>
  </si>
  <si>
    <t>A.P.S. pensiones</t>
  </si>
  <si>
    <t>Capacitación, foros, congresos y gastos varios</t>
  </si>
  <si>
    <t>Combustibles y lubricantes, engrase y lavado vehículo</t>
  </si>
  <si>
    <t>Seguros</t>
  </si>
  <si>
    <t>Dotación Personal</t>
  </si>
  <si>
    <t>Viaticos y gastos de viaje</t>
  </si>
  <si>
    <t xml:space="preserve"> DESPACHO DEL ALCALDE Y DEMAS DEPENDENCIAS</t>
  </si>
  <si>
    <t>Bonificación de dirección</t>
  </si>
  <si>
    <t>Auxiliar oficina Sisben</t>
  </si>
  <si>
    <t>Servicios públicos (agua, energía, teléfono, alumbrado publico)</t>
  </si>
  <si>
    <t>Ración, drogas y traslado de presos</t>
  </si>
  <si>
    <t>Organización, sistematizacion y actualización de archivo general</t>
  </si>
  <si>
    <t>Combustibles y lubricantes</t>
  </si>
  <si>
    <t>Mantenimiento plaza de mercado</t>
  </si>
  <si>
    <t>Salud Ocupacional</t>
  </si>
  <si>
    <t>Gastos cobro Impuestos del Municipio</t>
  </si>
  <si>
    <t>Gastos Notariales</t>
  </si>
  <si>
    <t>IMPUESTOS Y MULTAS</t>
  </si>
  <si>
    <t>Impuestos, tasas y multas</t>
  </si>
  <si>
    <t>Devolución impuestos y contribuciones</t>
  </si>
  <si>
    <t>Impuesto y gastos de las transacciones financieras</t>
  </si>
  <si>
    <t>TRANSFERENCIAS CORRIENTES</t>
  </si>
  <si>
    <t>TRANSFERENCIAS DE PREVISIÓN Y SEGURIDAD SOCIAL</t>
  </si>
  <si>
    <t>PENSIONES Y JUBILACIONES</t>
  </si>
  <si>
    <t>Mesadas pensionales</t>
  </si>
  <si>
    <t>Cuotas partes pensionales</t>
  </si>
  <si>
    <t>Bonos pensionales</t>
  </si>
  <si>
    <t>Auxilio funerario pensionados</t>
  </si>
  <si>
    <t>Cesantias</t>
  </si>
  <si>
    <t>OTRAS TRANSFERENCIAS</t>
  </si>
  <si>
    <t>SENTENCIAS Y CONCILIACIONES</t>
  </si>
  <si>
    <t>Sentencias</t>
  </si>
  <si>
    <t>Conciliaciones</t>
  </si>
  <si>
    <t>OTRAS TRANSFERENCIAS CORRIENTES</t>
  </si>
  <si>
    <t>Asociacion de municipios</t>
  </si>
  <si>
    <t>Federacion Colombiana  de Municipios</t>
  </si>
  <si>
    <t>Aporte Medio Ambiente CAR</t>
  </si>
  <si>
    <t>Sueldos Personal de Nómina</t>
  </si>
  <si>
    <t>Prima de Navidad</t>
  </si>
  <si>
    <t>Indemnización por Vacaciones</t>
  </si>
  <si>
    <t>Caja de Compensación</t>
  </si>
  <si>
    <t>Fondo de Cesantías</t>
  </si>
  <si>
    <t>Compra de Equipo</t>
  </si>
  <si>
    <t>Materiales y Suministros</t>
  </si>
  <si>
    <t>Servicios Públicos</t>
  </si>
  <si>
    <t>Impresos y Publicaciones</t>
  </si>
  <si>
    <t>Comunicación y Transporte</t>
  </si>
  <si>
    <t>Servicios de aseo</t>
  </si>
  <si>
    <t>Análisis de laboratorio</t>
  </si>
  <si>
    <t>Impuestos Tasas y Multas</t>
  </si>
  <si>
    <t>CESANTÍAS</t>
  </si>
  <si>
    <t>Cesantías</t>
  </si>
  <si>
    <t>Aporte CRA</t>
  </si>
  <si>
    <t>SERVICIO DE LA DEUDA PUBLICA</t>
  </si>
  <si>
    <t>DEUDA INTERNA</t>
  </si>
  <si>
    <t>BANCA COMERCIAL</t>
  </si>
  <si>
    <t>Amortización</t>
  </si>
  <si>
    <t>Intereses</t>
  </si>
  <si>
    <t>DEFICIT FISCAL</t>
  </si>
  <si>
    <t>Deficit fiscal</t>
  </si>
  <si>
    <t>GASTOS DE INVERSION</t>
  </si>
  <si>
    <t>PARTICIPACIONES NACIONALES Y DEPARTAMENTALES</t>
  </si>
  <si>
    <t>APORTES Y CONVENIOS DEPARTAMENTALES</t>
  </si>
  <si>
    <t>INVERSION CON RECURSOS S.G.P.</t>
  </si>
  <si>
    <t>EDUCACION CON SENTIDO SOCIAL</t>
  </si>
  <si>
    <t>Alimentación escolar</t>
  </si>
  <si>
    <t>Compras de implementos de Cocina</t>
  </si>
  <si>
    <t>EDUCACION</t>
  </si>
  <si>
    <t>Adecuación, Construcción y Mantenimiento de Infraestructura Educativa</t>
  </si>
  <si>
    <t>FORMACIÓN CON CALIDAD Y APOYO ESCOLAR</t>
  </si>
  <si>
    <t>Dotación material didactico y textos escolares</t>
  </si>
  <si>
    <t>Dotación mobiliario</t>
  </si>
  <si>
    <t>Pago servicios públicos Instituciones Educativas</t>
  </si>
  <si>
    <t>Apoyo para el transporte de los escolares</t>
  </si>
  <si>
    <t>AGUA POTABLE Y SANEAMIENTO BASICO</t>
  </si>
  <si>
    <t>ACUEDUCTOS Y ALCANTARILLADOS:CONSTRUCCIÓN, TERMINACIÓN, AMPLIACIÓN  Y MANTENIMIENTO</t>
  </si>
  <si>
    <t>Subsidios servicios públicos</t>
  </si>
  <si>
    <t>Ampliación y rehabilitacion de sistemas</t>
  </si>
  <si>
    <t>MANEJO INTEGRADO PARA LA DISPOSICIÓN DE RESIDUOS SOLIDOS Y LIQUIDOS</t>
  </si>
  <si>
    <t>Saneamiento básico rural y Urbano</t>
  </si>
  <si>
    <t>Tratamiento y disposición final de residuos sólidos y liquidos</t>
  </si>
  <si>
    <t>Mantenimiento Sostenimiento, funcionamiento Planta Tratamiento Residuos Solidos</t>
  </si>
  <si>
    <t>Protección y promoción de cuencas abastecedoras y areas protegidas del municipio</t>
  </si>
  <si>
    <t>Adquisicion areas de interes para acueductos municipales</t>
  </si>
  <si>
    <t>Cultura ambiental</t>
  </si>
  <si>
    <t>DEPORTE Y RECREACION</t>
  </si>
  <si>
    <t>Impulso a las escuelas de formacion deportivas y recreativas</t>
  </si>
  <si>
    <t>Promoción de eventos recreativos y deportivos</t>
  </si>
  <si>
    <t>CONSTRUCCIÓN Y MATENIMIENTO  DE ESCENARIOS DEPORTIVOS</t>
  </si>
  <si>
    <t>Mantenimiento de escenarios deportivos</t>
  </si>
  <si>
    <t>Construcción de escenarios deportivos</t>
  </si>
  <si>
    <t>Dotaciòn e implementaciòn de elementos Deportivos</t>
  </si>
  <si>
    <t>CULTURA</t>
  </si>
  <si>
    <t>Impulso a las escuelas de formación artisticas y culturales</t>
  </si>
  <si>
    <t>Promoción y difusión de las expresiones culturales</t>
  </si>
  <si>
    <t>Programas turísticos del municipio de Arbeláez</t>
  </si>
  <si>
    <t>Nocturnal cultural</t>
  </si>
  <si>
    <t>Fortalecimiento tuna</t>
  </si>
  <si>
    <t>Fortalecimiento Banda folclorica municipal</t>
  </si>
  <si>
    <t>OTROS SECTORES</t>
  </si>
  <si>
    <t>TRANSPORTE</t>
  </si>
  <si>
    <t>Rehabilitación, mantenimiento y construcción de vias</t>
  </si>
  <si>
    <t>VIVIENDA</t>
  </si>
  <si>
    <t>Construcción, rehabilitación y mejoramiento de vivienda urbana y rural</t>
  </si>
  <si>
    <t>AGROPECUARIO</t>
  </si>
  <si>
    <t>Cultura educativa en procesos productivos a nivel agropecuario</t>
  </si>
  <si>
    <t>Agricultura organica</t>
  </si>
  <si>
    <t>Reactivación del sector agropecuario</t>
  </si>
  <si>
    <t>Fortalecimiento de empresas de economia solidaria</t>
  </si>
  <si>
    <t>Cofinanciacion proyectos productivos</t>
  </si>
  <si>
    <t>Sistemas de riego y reservorios</t>
  </si>
  <si>
    <t>PREVENCION Y ATENCION DE DESASTRES</t>
  </si>
  <si>
    <t>Atención y prevención de desastres</t>
  </si>
  <si>
    <t>ATENCION A GRUPOS VULNERABLES</t>
  </si>
  <si>
    <t>Unidos por el futuro de los niños arbelaences</t>
  </si>
  <si>
    <t>Atención integral para el anciano vulnerable</t>
  </si>
  <si>
    <t>Atención integral y protección a la mujer arbelaense</t>
  </si>
  <si>
    <t>FORTALECIMIENTO INSTITUCIONAL</t>
  </si>
  <si>
    <t>Fortalecimiento de la capacidad de gestión municipal</t>
  </si>
  <si>
    <t>Comité de Estratificacion</t>
  </si>
  <si>
    <t>Aplicación de las Zonas de expansión y Suburbanas</t>
  </si>
  <si>
    <t>Reajuste del Ordenamiemnto Territorial</t>
  </si>
  <si>
    <t>Régimen subsidiado continuidad</t>
  </si>
  <si>
    <t>Régimen subsidiado ampliación</t>
  </si>
  <si>
    <t>Salud pública</t>
  </si>
  <si>
    <t>INVERSION CON RECURSOS DE LIBRE ASIGNACION</t>
  </si>
  <si>
    <t>Adecuación y construcción de infraestructura educativa</t>
  </si>
  <si>
    <t>Foro Educativo Municipal y Departamental</t>
  </si>
  <si>
    <t>DEPORTE, RECREACION Y CULTURA</t>
  </si>
  <si>
    <t>Promoción de eventos recreativos, deportivos y culturales</t>
  </si>
  <si>
    <t>Sostenimiento, Funcionamiento y mantenimiento Centro Cultural y Artisitico y Biblioteca Muncip</t>
  </si>
  <si>
    <t>Mejoramiento Campo de Futbol Villa Olimpica</t>
  </si>
  <si>
    <t>ACTIVIDADES DEL MUNICIPIO</t>
  </si>
  <si>
    <t>Dia del Campesino</t>
  </si>
  <si>
    <t>Ferias y Exposiciones</t>
  </si>
  <si>
    <t>Dia de la Mujer</t>
  </si>
  <si>
    <t>Aniversario Municipio</t>
  </si>
  <si>
    <t>Festival y Reinado del Café</t>
  </si>
  <si>
    <t>INFRAESTRUCTURA VIAL</t>
  </si>
  <si>
    <t>Rehabilitación, mantenimiento y Construcción de Vias</t>
  </si>
  <si>
    <t>Construcción Rehabilitación y Mejoramieno de Vivienda Rural</t>
  </si>
  <si>
    <t>Construcción,rehabilitación y mejoramiento de vivienda urbana</t>
  </si>
  <si>
    <t>INFRAESTRUCTURA PARA EL DESARROLLO SOCIAL</t>
  </si>
  <si>
    <t>Construcción, adecuación y mejoramiento de la infraestructura para el desarrollo social</t>
  </si>
  <si>
    <t>Adecuacion y mantenimiento de la infraestructura fisica municipal</t>
  </si>
  <si>
    <t>Programa Electrificacion Rural</t>
  </si>
  <si>
    <t>Mejoramiento Club Amas de Casa</t>
  </si>
  <si>
    <t>Construcción, Paraderos Interveredales</t>
  </si>
  <si>
    <t>Adquisicion e Instalacion tecnologica WIMAX (Internet Inalambrico) para todos</t>
  </si>
  <si>
    <t>Fondo de asistencia tecnica rural</t>
  </si>
  <si>
    <t>Sociedad protectora de animales</t>
  </si>
  <si>
    <t>Unidos por el futuro de los niños Arbelaences</t>
  </si>
  <si>
    <t>Atención integral al anciano vulnerable</t>
  </si>
  <si>
    <t>Atención integral a la mujer arbelaence</t>
  </si>
  <si>
    <t>Programas de atención para la población desplazada</t>
  </si>
  <si>
    <t>Acciones positivas para los discapacitados</t>
  </si>
  <si>
    <t>Identidad y opcion social juvenil</t>
  </si>
  <si>
    <t>Desarrollo y habilidades productivas juveniles</t>
  </si>
  <si>
    <t>Inhumacion de cadaveres</t>
  </si>
  <si>
    <t>Medicina legal y necropcias</t>
  </si>
  <si>
    <t>Conducción locos y dementes</t>
  </si>
  <si>
    <t>Auxilios funerarios</t>
  </si>
  <si>
    <t>Becas apoyo Promotoras Poblacion rural Dispersa</t>
  </si>
  <si>
    <t>Becas apoyo Promotoras Educadoras Familiares</t>
  </si>
  <si>
    <t>Consejo Territorial de Planeaciòn</t>
  </si>
  <si>
    <t>DESARROLLO COMUNITARIO</t>
  </si>
  <si>
    <t>FORTALECIMIENTO Y PROMOCIÓN DE LA PARTICIPACIÓN Y LA SEGURIDAD CIUDADANA</t>
  </si>
  <si>
    <t>Capacitación comunitaria</t>
  </si>
  <si>
    <t>Bomberos voluntarios</t>
  </si>
  <si>
    <t>Comite de politica social</t>
  </si>
  <si>
    <t>Fortalecimiento y Prevenciòn del riesgo y atenciòn de la Seguridad Ciudadana</t>
  </si>
  <si>
    <t>Apoyo al Programa Familias en Accion</t>
  </si>
  <si>
    <t>Fondo de Apoyo a la Educación Superior Acuerdo 01 de 2006</t>
  </si>
  <si>
    <t>SERVICIOS PUBLICOS</t>
  </si>
  <si>
    <t>Construccion, ampliacion, rehabilitacion y mejoramiento de la estructura de servicios publicos</t>
  </si>
  <si>
    <t>MEDIO AMBIENTE</t>
  </si>
  <si>
    <t>Vertimiento CAR</t>
  </si>
  <si>
    <t>CONVENIOS</t>
  </si>
  <si>
    <t>Convenio INPEC MUNICIPIO</t>
  </si>
  <si>
    <t>INVERSION CON OTROS RECURSOS</t>
  </si>
  <si>
    <t>RECURSOS FOSYGA</t>
  </si>
  <si>
    <t>Fosyga Ampliacion y Continuidad</t>
  </si>
  <si>
    <t>RECURSOS ETESA</t>
  </si>
  <si>
    <t>Recursos Etesa</t>
  </si>
  <si>
    <t>INVERSION FONDO DE SEGURIDAD CIUDADANA</t>
  </si>
  <si>
    <t>Control de Orden Público y Seguridad Ciudadana</t>
  </si>
  <si>
    <t>INVERSION CON RECUROS PRO ESTAMPILLA</t>
  </si>
  <si>
    <t>Fortalecimiento Banda Folclórica Municipal</t>
  </si>
  <si>
    <t>Fortalecimiento Concurso de Disfraces-Concurso</t>
  </si>
  <si>
    <t>Fortalecimiento Concuso de Disfraces-Apuesta</t>
  </si>
  <si>
    <t>Apoyo Diablada Decembrina</t>
  </si>
  <si>
    <t>INVERSION CON RECURSOS DEL FONDO DE SERVICIOS PUBLICOS</t>
  </si>
  <si>
    <t>Inverssión con Recursos Espectáculos Públicos con Destino al Deporte</t>
  </si>
  <si>
    <t>ALUMBRADO PUBLICO</t>
  </si>
  <si>
    <t>Alumbrado Público</t>
  </si>
  <si>
    <t>INVERSION CON RECURSOS DEL FONDO DE ALQUILER DE MAQUINARIA</t>
  </si>
  <si>
    <t>Inversión con Recursos del Fondo de Alquiler de Maquinaria</t>
  </si>
  <si>
    <t>Dependencia</t>
  </si>
  <si>
    <t>Recurso</t>
  </si>
  <si>
    <t>Concejo</t>
  </si>
  <si>
    <t>2.1.1.1.1.</t>
  </si>
  <si>
    <t>2.1.1.1.4.</t>
  </si>
  <si>
    <t>2.1.1.1.3.</t>
  </si>
  <si>
    <t>2.1.1.1.6.</t>
  </si>
  <si>
    <t>2.1.1.2.1.</t>
  </si>
  <si>
    <t>2.1.1.2.2.</t>
  </si>
  <si>
    <t>2.1.1.3.1.1.</t>
  </si>
  <si>
    <t>2.1.1.3.1.2.</t>
  </si>
  <si>
    <t>2.1.1.3.2.7.</t>
  </si>
  <si>
    <t>2.1.1.3.2.9.</t>
  </si>
  <si>
    <t>2.1.1.3.2.8.</t>
  </si>
  <si>
    <t>2.1.1.3.2.6.</t>
  </si>
  <si>
    <t>2.1.1.3.1.5.</t>
  </si>
  <si>
    <t>2.1.1.3.1.4.</t>
  </si>
  <si>
    <t>2.1.1.3.2.5.</t>
  </si>
  <si>
    <t>2.1.2.1.2.</t>
  </si>
  <si>
    <t>2.1.2.1.3.</t>
  </si>
  <si>
    <t>2.1.2.2.1.</t>
  </si>
  <si>
    <t>2.1.2.2.2.</t>
  </si>
  <si>
    <t>2.1.2.2.9.</t>
  </si>
  <si>
    <t>2.1.2.2.4.</t>
  </si>
  <si>
    <t>2.1.2.2.5.</t>
  </si>
  <si>
    <t>2.1.2.2.6.</t>
  </si>
  <si>
    <t>2.1.2.2.7.</t>
  </si>
  <si>
    <t>2.1.2.1.1.</t>
  </si>
  <si>
    <t>Personeria</t>
  </si>
  <si>
    <t>2.1.1.1.5.</t>
  </si>
  <si>
    <t>Derechos humanos</t>
  </si>
  <si>
    <t>2.1.2.4.</t>
  </si>
  <si>
    <t>2.1.2.3.1.</t>
  </si>
  <si>
    <t>2.1.2.2.3.</t>
  </si>
  <si>
    <t>Alcaldia</t>
  </si>
  <si>
    <t>2.1.1.1.9.</t>
  </si>
  <si>
    <t>2.1.1.1.7.</t>
  </si>
  <si>
    <t>2.1.1.1.8.</t>
  </si>
  <si>
    <t>2.1.1.2.3.</t>
  </si>
  <si>
    <t>2.1.1.2.4.</t>
  </si>
  <si>
    <t>Viaticos Jefes de Dependencia</t>
  </si>
  <si>
    <t>2.1.2.2.11.</t>
  </si>
  <si>
    <t>2.1.2.2.17.</t>
  </si>
  <si>
    <t>2.1.2.2.8.</t>
  </si>
  <si>
    <t>2.1.2.2.15.</t>
  </si>
  <si>
    <t>2.1.3.2.1.</t>
  </si>
  <si>
    <t>2.1.3.2.3.</t>
  </si>
  <si>
    <t>2.1.3.2.2.</t>
  </si>
  <si>
    <t>2.1.3.3.1.</t>
  </si>
  <si>
    <t>2.1.3.3.2.</t>
  </si>
  <si>
    <t>2.1.3.3.7.</t>
  </si>
  <si>
    <t>2.1.3.1.2.</t>
  </si>
  <si>
    <t>2.1.2.2.13.</t>
  </si>
  <si>
    <t>2.1.3.3.8.</t>
  </si>
  <si>
    <t>Deuda</t>
  </si>
  <si>
    <t>2.2.1.1.</t>
  </si>
  <si>
    <t>2.2.1.2.</t>
  </si>
  <si>
    <t>2.1.4.</t>
  </si>
  <si>
    <t>Inversion</t>
  </si>
  <si>
    <t>2.3.6.</t>
  </si>
  <si>
    <t>2.3.5.</t>
  </si>
  <si>
    <t>2.3.1.</t>
  </si>
  <si>
    <t>2.3.9.</t>
  </si>
  <si>
    <t>2.3.4.</t>
  </si>
  <si>
    <t>2.3.17.</t>
  </si>
  <si>
    <t>2.3.18.</t>
  </si>
  <si>
    <t>2.3.15.</t>
  </si>
  <si>
    <t>2.3.10.</t>
  </si>
  <si>
    <t>2.3.2.</t>
  </si>
  <si>
    <t>2.3.8.</t>
  </si>
  <si>
    <t>2.3.13.</t>
  </si>
  <si>
    <t>2.3.3.</t>
  </si>
  <si>
    <t>2.3.20.</t>
  </si>
  <si>
    <t>2.3.16.</t>
  </si>
  <si>
    <t>FONDO DE APOYO A LA EDUCACION SUPERIOR</t>
  </si>
  <si>
    <t>2.3.11.</t>
  </si>
  <si>
    <t>2.3.19.</t>
  </si>
  <si>
    <t>Acueducto y Alcantarillado: Construcción - Terminación - Ampliación y Mantenimiento</t>
  </si>
  <si>
    <t>Mantenimieno y Reconstruccion Vias Urbanas - Arreglos Servicios Públicos</t>
  </si>
  <si>
    <t>2.3.7.</t>
  </si>
  <si>
    <t>Contraloria</t>
  </si>
  <si>
    <t>Articulo</t>
  </si>
  <si>
    <t>Concepto</t>
  </si>
  <si>
    <t>INVERSION FONDO PLANTA RESIDUOS SOLIDOS</t>
  </si>
  <si>
    <t>Inversion Fondo Planta Residuos Solidos</t>
  </si>
  <si>
    <t>Bonificación por servicios</t>
  </si>
  <si>
    <t>Remuneración servicios técnicos y profesionales</t>
  </si>
  <si>
    <t>Personal supernumerario</t>
  </si>
  <si>
    <t>Fondos privados de cesantias</t>
  </si>
  <si>
    <t>Fondos privados de pension</t>
  </si>
  <si>
    <t>Empresas promotoras de salud</t>
  </si>
  <si>
    <t>Dotacion a trabajadores</t>
  </si>
  <si>
    <t>Viaticos y gastos de viaje (secretario del concejo)</t>
  </si>
  <si>
    <t>MULTAS</t>
  </si>
  <si>
    <t>Multas</t>
  </si>
  <si>
    <t>GRADO</t>
  </si>
  <si>
    <t>SuperIntendencia Nacional de Salud</t>
  </si>
  <si>
    <t>Preinversion en diseños, estudios e interventorias</t>
  </si>
  <si>
    <t>Prima de Servicio</t>
  </si>
  <si>
    <t>Bonificación por Servicios Prestados</t>
  </si>
  <si>
    <t>Subsidio de Alimentación</t>
  </si>
  <si>
    <t>Impuesto vehiculo, Sanciones e intereses por mora</t>
  </si>
  <si>
    <t>Subsidio de alimentacion</t>
  </si>
  <si>
    <t>BON. SERVICIOS 2008</t>
  </si>
  <si>
    <t>PRIMA NAVIDAD</t>
  </si>
  <si>
    <t>PRIMA SERVICIOS</t>
  </si>
  <si>
    <t>SUB. ALIMENTACION</t>
  </si>
  <si>
    <t>INDEM. VACACIONES</t>
  </si>
  <si>
    <t>Prima de servicios</t>
  </si>
  <si>
    <t>Bonificacion por servicios prestados</t>
  </si>
  <si>
    <t>Subsidio de alimentación</t>
  </si>
  <si>
    <t xml:space="preserve">Fondos de cesantías </t>
  </si>
  <si>
    <t>Viáticos y gastos de viaje al interior y Exterior</t>
  </si>
  <si>
    <t>Dotacion material didactico, textos y equipos de oficina area Administrativa</t>
  </si>
  <si>
    <t>JUSTICIA</t>
  </si>
  <si>
    <t>Infancia y Adolecencia</t>
  </si>
  <si>
    <t xml:space="preserve">Generación del Desarrollo Urbanístico Urbanización San Rafael </t>
  </si>
  <si>
    <t>Estudios y Diseños Acueducto Manantial Quebrada de Oros, Vda. Santa Barabara</t>
  </si>
  <si>
    <t>Ampliación y rehabiliatación  Acueducto La Arabia</t>
  </si>
  <si>
    <t>Ampliación y Rehabilitacion Acueducto Quebrada de Oros Paramillo Alto</t>
  </si>
  <si>
    <t>Programa Educación para Adultos Institución Educativa Zaragoza</t>
  </si>
  <si>
    <t>Adecuación, Construcc. y Manteni Infraestru. Inst.Educativa Jhon F.Kennedy, Sede Antonio Nariño y Sede Jardin Infantil</t>
  </si>
  <si>
    <t>Adecuacion y mantenimiento Parques Municipio de Arbeláez</t>
  </si>
  <si>
    <t>Prima de vacaciones y recreación</t>
  </si>
  <si>
    <t>Contribucion de Valorización</t>
  </si>
  <si>
    <t>Participacion en la Plusvalía</t>
  </si>
  <si>
    <t>Otros Servicios</t>
  </si>
  <si>
    <t>Coso municipal</t>
  </si>
  <si>
    <t>MUNICIPIO DE ARBELAEZ</t>
  </si>
  <si>
    <t>PRESUPUESTO GENERAL DE GASTOS VIGENCIA 2008</t>
  </si>
  <si>
    <t>PRESUPUESTO GENERAL DE INGRESOS VIGENCIA 2008</t>
  </si>
  <si>
    <t>Ampliación y Rehabilitacion Acueducto Portones Arbeláez -San Bernardo</t>
  </si>
  <si>
    <t>Ampliación y Rehabilitacion Acueducto La Honda Tiscince</t>
  </si>
  <si>
    <t>Rehabilitación, mantenimiento  via La Aguada, la Gallega,Vda. San Patricio</t>
  </si>
  <si>
    <t>Rehabilitación, mantenimiento, via Sabaneta-Contadero Vda. Hato Viejo</t>
  </si>
  <si>
    <t>Rehabilitación, mantenimiento, via Tres Esquinas Vda. Santa Barbara</t>
  </si>
  <si>
    <t>Adecuación, construcción y  Mantenimiento Restauarante Escolar Colegio Zaragoza</t>
  </si>
  <si>
    <t>PROYECTO DE ACUERDO</t>
  </si>
  <si>
    <t>Valor</t>
  </si>
  <si>
    <t>FORZ</t>
  </si>
  <si>
    <t>LIBRE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</si>
</sst>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0.0%"/>
  </numFmts>
  <fonts count="5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3" tint="0.5999900102615356"/>
      <name val="Arial"/>
      <family val="2"/>
    </font>
    <font>
      <b/>
      <sz val="10"/>
      <color theme="3" tint="0.5999900102615356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48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48" applyNumberFormat="1" applyFont="1" applyBorder="1" applyAlignment="1">
      <alignment horizontal="right"/>
    </xf>
    <xf numFmtId="3" fontId="1" fillId="0" borderId="10" xfId="48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3" fontId="1" fillId="0" borderId="10" xfId="48" applyNumberFormat="1" applyFont="1" applyFill="1" applyBorder="1" applyAlignment="1">
      <alignment horizontal="left"/>
    </xf>
    <xf numFmtId="3" fontId="1" fillId="0" borderId="10" xfId="48" applyNumberFormat="1" applyFont="1" applyFill="1" applyBorder="1" applyAlignment="1">
      <alignment/>
    </xf>
    <xf numFmtId="3" fontId="1" fillId="0" borderId="10" xfId="48" applyNumberFormat="1" applyFont="1" applyFill="1" applyBorder="1" applyAlignment="1">
      <alignment horizontal="right"/>
    </xf>
    <xf numFmtId="3" fontId="6" fillId="0" borderId="10" xfId="48" applyNumberFormat="1" applyFont="1" applyBorder="1" applyAlignment="1">
      <alignment horizontal="right"/>
    </xf>
    <xf numFmtId="0" fontId="1" fillId="0" borderId="10" xfId="48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0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10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33" borderId="15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34" borderId="10" xfId="48" applyNumberFormat="1" applyFont="1" applyFill="1" applyBorder="1" applyAlignment="1">
      <alignment horizontal="right"/>
    </xf>
    <xf numFmtId="3" fontId="6" fillId="34" borderId="10" xfId="48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0" xfId="54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 shrinkToFit="1"/>
    </xf>
    <xf numFmtId="3" fontId="0" fillId="0" borderId="12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6" xfId="0" applyFont="1" applyBorder="1" applyAlignment="1">
      <alignment/>
    </xf>
    <xf numFmtId="0" fontId="55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showGridLines="0" zoomScalePageLayoutView="0" workbookViewId="0" topLeftCell="E1">
      <pane ySplit="5" topLeftCell="A81" activePane="bottomLeft" state="frozen"/>
      <selection pane="topLeft" activeCell="A1" sqref="A1"/>
      <selection pane="bottomLeft" activeCell="H92" sqref="H92"/>
    </sheetView>
  </sheetViews>
  <sheetFormatPr defaultColWidth="11.421875" defaultRowHeight="12.75"/>
  <cols>
    <col min="1" max="1" width="10.7109375" style="24" customWidth="1"/>
    <col min="2" max="2" width="10.7109375" style="22" customWidth="1"/>
    <col min="3" max="3" width="10.7109375" style="24" customWidth="1"/>
    <col min="4" max="4" width="80.7109375" style="24" customWidth="1"/>
    <col min="5" max="5" width="14.57421875" style="24" customWidth="1"/>
    <col min="6" max="6" width="13.8515625" style="24" customWidth="1"/>
    <col min="7" max="7" width="14.140625" style="24" customWidth="1"/>
    <col min="8" max="8" width="15.8515625" style="24" customWidth="1"/>
    <col min="9" max="9" width="14.00390625" style="24" customWidth="1"/>
    <col min="10" max="10" width="15.28125" style="24" customWidth="1"/>
    <col min="11" max="11" width="16.7109375" style="24" customWidth="1"/>
    <col min="12" max="12" width="12.7109375" style="24" customWidth="1"/>
    <col min="13" max="16384" width="11.421875" style="24" customWidth="1"/>
  </cols>
  <sheetData>
    <row r="1" spans="3:11" ht="12.75">
      <c r="C1" s="126" t="s">
        <v>591</v>
      </c>
      <c r="D1" s="126"/>
      <c r="E1" s="126"/>
      <c r="F1" s="126"/>
      <c r="G1" s="126"/>
      <c r="H1" s="126"/>
      <c r="I1" s="126"/>
      <c r="J1" s="126"/>
      <c r="K1" s="126"/>
    </row>
    <row r="2" spans="3:11" ht="12.75">
      <c r="C2" s="128" t="s">
        <v>600</v>
      </c>
      <c r="D2" s="128"/>
      <c r="E2" s="128"/>
      <c r="F2" s="128"/>
      <c r="G2" s="128"/>
      <c r="H2" s="128"/>
      <c r="I2" s="128"/>
      <c r="J2" s="128"/>
      <c r="K2" s="128"/>
    </row>
    <row r="3" spans="3:11" ht="12.75">
      <c r="C3" s="127" t="s">
        <v>593</v>
      </c>
      <c r="D3" s="127"/>
      <c r="E3" s="127"/>
      <c r="F3" s="127"/>
      <c r="G3" s="127"/>
      <c r="H3" s="127"/>
      <c r="I3" s="127"/>
      <c r="J3" s="127"/>
      <c r="K3" s="127"/>
    </row>
    <row r="4" spans="1:11" ht="15" customHeight="1">
      <c r="A4" s="22"/>
      <c r="C4" s="22"/>
      <c r="D4" s="22"/>
      <c r="E4" s="124" t="s">
        <v>222</v>
      </c>
      <c r="F4" s="125"/>
      <c r="G4" s="125"/>
      <c r="H4" s="125"/>
      <c r="I4" s="125"/>
      <c r="J4" s="125"/>
      <c r="K4" s="23"/>
    </row>
    <row r="5" spans="1:11" ht="15" customHeight="1">
      <c r="A5" s="67" t="s">
        <v>543</v>
      </c>
      <c r="B5" s="68" t="s">
        <v>464</v>
      </c>
      <c r="C5" s="68" t="s">
        <v>544</v>
      </c>
      <c r="D5" s="68" t="s">
        <v>545</v>
      </c>
      <c r="E5" s="43" t="s">
        <v>213</v>
      </c>
      <c r="F5" s="43" t="s">
        <v>214</v>
      </c>
      <c r="G5" s="43" t="s">
        <v>215</v>
      </c>
      <c r="H5" s="43" t="s">
        <v>216</v>
      </c>
      <c r="I5" s="43" t="s">
        <v>217</v>
      </c>
      <c r="J5" s="106" t="s">
        <v>218</v>
      </c>
      <c r="K5" s="107" t="s">
        <v>601</v>
      </c>
    </row>
    <row r="6" spans="1:11" ht="12.75" customHeight="1">
      <c r="A6" s="25"/>
      <c r="B6" s="69"/>
      <c r="C6" s="50">
        <v>1</v>
      </c>
      <c r="D6" s="50" t="s">
        <v>72</v>
      </c>
      <c r="E6" s="51">
        <f aca="true" t="shared" si="0" ref="E6:K6">E7+E70+E88</f>
        <v>4193089862</v>
      </c>
      <c r="F6" s="51">
        <f t="shared" si="0"/>
        <v>2559295148</v>
      </c>
      <c r="G6" s="51">
        <f t="shared" si="0"/>
        <v>18281445</v>
      </c>
      <c r="H6" s="51">
        <f t="shared" si="0"/>
        <v>6734103565</v>
      </c>
      <c r="I6" s="93">
        <f t="shared" si="0"/>
        <v>3987377203.94</v>
      </c>
      <c r="J6" s="53">
        <f t="shared" si="0"/>
        <v>2746943361.06</v>
      </c>
      <c r="K6" s="53">
        <f t="shared" si="0"/>
        <v>5018283373.75</v>
      </c>
    </row>
    <row r="7" spans="1:11" ht="12.75" customHeight="1">
      <c r="A7" s="25"/>
      <c r="B7" s="69"/>
      <c r="C7" s="50">
        <v>11</v>
      </c>
      <c r="D7" s="50" t="s">
        <v>73</v>
      </c>
      <c r="E7" s="51">
        <f>E8+E26</f>
        <v>2525021781</v>
      </c>
      <c r="F7" s="51">
        <f aca="true" t="shared" si="1" ref="F7:K7">F8+F26</f>
        <v>1489509262</v>
      </c>
      <c r="G7" s="51">
        <f t="shared" si="1"/>
        <v>0</v>
      </c>
      <c r="H7" s="51">
        <f t="shared" si="1"/>
        <v>4014531043</v>
      </c>
      <c r="I7" s="93">
        <f t="shared" si="1"/>
        <v>2055211229</v>
      </c>
      <c r="J7" s="53">
        <f t="shared" si="1"/>
        <v>1959536814</v>
      </c>
      <c r="K7" s="53">
        <f t="shared" si="1"/>
        <v>3225087285.75</v>
      </c>
    </row>
    <row r="8" spans="1:11" ht="12.75" customHeight="1">
      <c r="A8" s="25"/>
      <c r="B8" s="69"/>
      <c r="C8" s="50">
        <v>111</v>
      </c>
      <c r="D8" s="50" t="s">
        <v>74</v>
      </c>
      <c r="E8" s="51">
        <f>E9+E12</f>
        <v>1001622360</v>
      </c>
      <c r="F8" s="51">
        <f aca="true" t="shared" si="2" ref="F8:K8">F9+F12</f>
        <v>0</v>
      </c>
      <c r="G8" s="51">
        <f t="shared" si="2"/>
        <v>0</v>
      </c>
      <c r="H8" s="51">
        <f t="shared" si="2"/>
        <v>1001622360</v>
      </c>
      <c r="I8" s="93">
        <f t="shared" si="2"/>
        <v>614417568</v>
      </c>
      <c r="J8" s="53">
        <f t="shared" si="2"/>
        <v>387421792</v>
      </c>
      <c r="K8" s="53">
        <f t="shared" si="2"/>
        <v>1108991768.75</v>
      </c>
    </row>
    <row r="9" spans="1:11" ht="12.75" customHeight="1">
      <c r="A9" s="25"/>
      <c r="B9" s="69"/>
      <c r="C9" s="50">
        <v>1111</v>
      </c>
      <c r="D9" s="50" t="s">
        <v>75</v>
      </c>
      <c r="E9" s="51">
        <f>SUM(E10:E11)</f>
        <v>807600000</v>
      </c>
      <c r="F9" s="51">
        <f aca="true" t="shared" si="3" ref="F9:K9">SUM(F10:F11)</f>
        <v>0</v>
      </c>
      <c r="G9" s="51">
        <f t="shared" si="3"/>
        <v>0</v>
      </c>
      <c r="H9" s="51">
        <f t="shared" si="3"/>
        <v>807600000</v>
      </c>
      <c r="I9" s="93">
        <f t="shared" si="3"/>
        <v>513140277</v>
      </c>
      <c r="J9" s="53">
        <f t="shared" si="3"/>
        <v>294459723</v>
      </c>
      <c r="K9" s="53">
        <f t="shared" si="3"/>
        <v>887952721</v>
      </c>
    </row>
    <row r="10" spans="1:13" ht="15" customHeight="1">
      <c r="A10" s="25" t="s">
        <v>76</v>
      </c>
      <c r="B10" s="43">
        <v>9001</v>
      </c>
      <c r="C10" s="25">
        <v>111101</v>
      </c>
      <c r="D10" s="25" t="s">
        <v>77</v>
      </c>
      <c r="E10" s="26">
        <v>533000000</v>
      </c>
      <c r="F10" s="26">
        <v>0</v>
      </c>
      <c r="G10" s="26">
        <v>0</v>
      </c>
      <c r="H10" s="27">
        <v>533000000</v>
      </c>
      <c r="I10" s="44">
        <v>383765421</v>
      </c>
      <c r="J10" s="47">
        <v>149234579</v>
      </c>
      <c r="K10" s="47">
        <f>H10*1.045+20000000-1000</f>
        <v>576984000</v>
      </c>
      <c r="L10" s="28">
        <f>I10/H10</f>
        <v>0.7200101707317074</v>
      </c>
      <c r="M10" s="42">
        <f>K10+K11+K51</f>
        <v>990572721</v>
      </c>
    </row>
    <row r="11" spans="1:13" ht="15" customHeight="1">
      <c r="A11" s="25" t="s">
        <v>76</v>
      </c>
      <c r="B11" s="43">
        <v>9001</v>
      </c>
      <c r="C11" s="25">
        <v>111102</v>
      </c>
      <c r="D11" s="25" t="s">
        <v>78</v>
      </c>
      <c r="E11" s="26">
        <v>274600000</v>
      </c>
      <c r="F11" s="26">
        <v>0</v>
      </c>
      <c r="G11" s="26">
        <v>0</v>
      </c>
      <c r="H11" s="27">
        <v>274600000</v>
      </c>
      <c r="I11" s="44">
        <v>129374856</v>
      </c>
      <c r="J11" s="47">
        <v>145225144</v>
      </c>
      <c r="K11" s="47">
        <v>310968721</v>
      </c>
      <c r="L11" s="28">
        <f>I11/H11</f>
        <v>0.47113931536780773</v>
      </c>
      <c r="M11" s="42">
        <f>M10*15%</f>
        <v>148585908.15</v>
      </c>
    </row>
    <row r="12" spans="1:11" ht="12.75" customHeight="1">
      <c r="A12" s="25"/>
      <c r="B12" s="69"/>
      <c r="C12" s="50">
        <v>1112</v>
      </c>
      <c r="D12" s="50" t="s">
        <v>79</v>
      </c>
      <c r="E12" s="51">
        <f>SUM(E13:E25)</f>
        <v>194022360</v>
      </c>
      <c r="F12" s="51">
        <f aca="true" t="shared" si="4" ref="F12:K12">SUM(F13:F25)</f>
        <v>0</v>
      </c>
      <c r="G12" s="51">
        <f t="shared" si="4"/>
        <v>0</v>
      </c>
      <c r="H12" s="51">
        <f t="shared" si="4"/>
        <v>194022360</v>
      </c>
      <c r="I12" s="93">
        <f t="shared" si="4"/>
        <v>101277291</v>
      </c>
      <c r="J12" s="53">
        <f t="shared" si="4"/>
        <v>92962069</v>
      </c>
      <c r="K12" s="53">
        <f t="shared" si="4"/>
        <v>221039047.75</v>
      </c>
    </row>
    <row r="13" spans="1:12" ht="15" customHeight="1">
      <c r="A13" s="25" t="s">
        <v>80</v>
      </c>
      <c r="B13" s="43">
        <v>9001</v>
      </c>
      <c r="C13" s="25">
        <v>111201</v>
      </c>
      <c r="D13" s="25" t="s">
        <v>81</v>
      </c>
      <c r="E13" s="26">
        <v>34000000</v>
      </c>
      <c r="F13" s="26">
        <v>0</v>
      </c>
      <c r="G13" s="26">
        <v>0</v>
      </c>
      <c r="H13" s="27">
        <v>34000000</v>
      </c>
      <c r="I13" s="44">
        <v>26122179</v>
      </c>
      <c r="J13" s="47">
        <v>7877821</v>
      </c>
      <c r="K13" s="47">
        <f>H13*1.045+10000000</f>
        <v>45530000</v>
      </c>
      <c r="L13" s="28">
        <f aca="true" t="shared" si="5" ref="L13:L25">I13/H13</f>
        <v>0.7682993823529412</v>
      </c>
    </row>
    <row r="14" spans="1:12" ht="15" customHeight="1">
      <c r="A14" s="25" t="s">
        <v>82</v>
      </c>
      <c r="B14" s="43">
        <v>9001</v>
      </c>
      <c r="C14" s="25">
        <v>111202</v>
      </c>
      <c r="D14" s="25" t="s">
        <v>83</v>
      </c>
      <c r="E14" s="26">
        <v>10113000</v>
      </c>
      <c r="F14" s="26">
        <v>0</v>
      </c>
      <c r="G14" s="26">
        <v>0</v>
      </c>
      <c r="H14" s="27">
        <v>10113000</v>
      </c>
      <c r="I14" s="44">
        <v>139200</v>
      </c>
      <c r="J14" s="47">
        <v>9973800</v>
      </c>
      <c r="K14" s="47">
        <f>H14*1.045</f>
        <v>10568085</v>
      </c>
      <c r="L14" s="28">
        <f t="shared" si="5"/>
        <v>0.013764461584099674</v>
      </c>
    </row>
    <row r="15" spans="1:12" ht="15" customHeight="1">
      <c r="A15" s="25" t="s">
        <v>84</v>
      </c>
      <c r="B15" s="43">
        <v>9001</v>
      </c>
      <c r="C15" s="25">
        <v>111203</v>
      </c>
      <c r="D15" s="25" t="s">
        <v>85</v>
      </c>
      <c r="E15" s="26">
        <v>13000000</v>
      </c>
      <c r="F15" s="26">
        <v>0</v>
      </c>
      <c r="G15" s="26">
        <v>0</v>
      </c>
      <c r="H15" s="27">
        <v>13000000</v>
      </c>
      <c r="I15" s="44">
        <v>7628223</v>
      </c>
      <c r="J15" s="47">
        <v>5371777</v>
      </c>
      <c r="K15" s="47">
        <f>H15*1.045</f>
        <v>13585000</v>
      </c>
      <c r="L15" s="28">
        <f t="shared" si="5"/>
        <v>0.5867863846153846</v>
      </c>
    </row>
    <row r="16" spans="1:12" ht="15" customHeight="1">
      <c r="A16" s="25" t="s">
        <v>86</v>
      </c>
      <c r="B16" s="43">
        <v>9001</v>
      </c>
      <c r="C16" s="25">
        <v>111204</v>
      </c>
      <c r="D16" s="25" t="s">
        <v>87</v>
      </c>
      <c r="E16" s="26">
        <v>2000000</v>
      </c>
      <c r="F16" s="26">
        <v>0</v>
      </c>
      <c r="G16" s="26">
        <v>0</v>
      </c>
      <c r="H16" s="27">
        <v>2000000</v>
      </c>
      <c r="I16" s="44">
        <v>1723852</v>
      </c>
      <c r="J16" s="47">
        <v>276148</v>
      </c>
      <c r="K16" s="47">
        <f>H16*1.045</f>
        <v>2089999.9999999998</v>
      </c>
      <c r="L16" s="28">
        <f t="shared" si="5"/>
        <v>0.861926</v>
      </c>
    </row>
    <row r="17" spans="1:12" ht="15" customHeight="1">
      <c r="A17" s="25" t="s">
        <v>88</v>
      </c>
      <c r="B17" s="43">
        <v>9001</v>
      </c>
      <c r="C17" s="25">
        <v>111205</v>
      </c>
      <c r="D17" s="25" t="s">
        <v>89</v>
      </c>
      <c r="E17" s="26">
        <v>5600360</v>
      </c>
      <c r="F17" s="26">
        <v>0</v>
      </c>
      <c r="G17" s="26">
        <v>0</v>
      </c>
      <c r="H17" s="27">
        <v>5600360</v>
      </c>
      <c r="I17" s="44">
        <v>5411281</v>
      </c>
      <c r="J17" s="47">
        <v>189079</v>
      </c>
      <c r="K17" s="47">
        <f>(K13+K14+K15+K16)*15%</f>
        <v>10765962.75</v>
      </c>
      <c r="L17" s="28">
        <f t="shared" si="5"/>
        <v>0.9662380632673614</v>
      </c>
    </row>
    <row r="18" spans="1:12" ht="15" customHeight="1">
      <c r="A18" s="25" t="s">
        <v>90</v>
      </c>
      <c r="B18" s="43">
        <v>9001</v>
      </c>
      <c r="C18" s="25">
        <v>111206</v>
      </c>
      <c r="D18" s="25" t="s">
        <v>91</v>
      </c>
      <c r="E18" s="26">
        <v>120000000</v>
      </c>
      <c r="F18" s="26">
        <v>0</v>
      </c>
      <c r="G18" s="26">
        <v>0</v>
      </c>
      <c r="H18" s="27">
        <v>120000000</v>
      </c>
      <c r="I18" s="44">
        <v>55122000</v>
      </c>
      <c r="J18" s="47">
        <v>64878000</v>
      </c>
      <c r="K18" s="47">
        <f>H18</f>
        <v>120000000</v>
      </c>
      <c r="L18" s="28">
        <f t="shared" si="5"/>
        <v>0.45935</v>
      </c>
    </row>
    <row r="19" spans="1:12" ht="15" customHeight="1">
      <c r="A19" s="25" t="s">
        <v>92</v>
      </c>
      <c r="B19" s="43">
        <v>9001</v>
      </c>
      <c r="C19" s="25">
        <v>111207</v>
      </c>
      <c r="D19" s="25" t="s">
        <v>93</v>
      </c>
      <c r="E19" s="26">
        <v>6000000</v>
      </c>
      <c r="F19" s="26">
        <v>0</v>
      </c>
      <c r="G19" s="26">
        <v>0</v>
      </c>
      <c r="H19" s="27">
        <v>6000000</v>
      </c>
      <c r="I19" s="44">
        <v>663600</v>
      </c>
      <c r="J19" s="47">
        <v>5336400</v>
      </c>
      <c r="K19" s="47">
        <f>H19</f>
        <v>6000000</v>
      </c>
      <c r="L19" s="28">
        <f t="shared" si="5"/>
        <v>0.1106</v>
      </c>
    </row>
    <row r="20" spans="1:12" ht="15" customHeight="1">
      <c r="A20" s="29" t="s">
        <v>223</v>
      </c>
      <c r="B20" s="43">
        <v>9001</v>
      </c>
      <c r="C20" s="25">
        <v>111208</v>
      </c>
      <c r="D20" s="29" t="s">
        <v>94</v>
      </c>
      <c r="E20" s="26">
        <v>0</v>
      </c>
      <c r="F20" s="26">
        <v>0</v>
      </c>
      <c r="G20" s="26">
        <v>0</v>
      </c>
      <c r="H20" s="27">
        <v>0</v>
      </c>
      <c r="I20" s="44">
        <v>0</v>
      </c>
      <c r="J20" s="47">
        <v>217000</v>
      </c>
      <c r="K20" s="47">
        <v>3000000</v>
      </c>
      <c r="L20" s="28" t="e">
        <f t="shared" si="5"/>
        <v>#DIV/0!</v>
      </c>
    </row>
    <row r="21" spans="1:12" s="34" customFormat="1" ht="15" customHeight="1">
      <c r="A21" s="30" t="s">
        <v>95</v>
      </c>
      <c r="B21" s="43">
        <v>9999</v>
      </c>
      <c r="C21" s="30">
        <v>111208</v>
      </c>
      <c r="D21" s="30" t="s">
        <v>96</v>
      </c>
      <c r="E21" s="31">
        <v>627000</v>
      </c>
      <c r="F21" s="31">
        <v>0</v>
      </c>
      <c r="G21" s="31">
        <v>0</v>
      </c>
      <c r="H21" s="32">
        <v>627000</v>
      </c>
      <c r="I21" s="45">
        <v>472500</v>
      </c>
      <c r="J21" s="48">
        <v>154500</v>
      </c>
      <c r="K21" s="48">
        <v>0</v>
      </c>
      <c r="L21" s="33">
        <f t="shared" si="5"/>
        <v>0.7535885167464115</v>
      </c>
    </row>
    <row r="22" spans="1:12" ht="15" customHeight="1">
      <c r="A22" s="25" t="s">
        <v>97</v>
      </c>
      <c r="B22" s="43">
        <v>9001</v>
      </c>
      <c r="C22" s="25">
        <v>111209</v>
      </c>
      <c r="D22" s="25" t="s">
        <v>98</v>
      </c>
      <c r="E22" s="26">
        <v>420000</v>
      </c>
      <c r="F22" s="26">
        <v>0</v>
      </c>
      <c r="G22" s="26">
        <v>0</v>
      </c>
      <c r="H22" s="27">
        <v>420000</v>
      </c>
      <c r="I22" s="44">
        <v>161600</v>
      </c>
      <c r="J22" s="47">
        <v>258400</v>
      </c>
      <c r="K22" s="47">
        <v>500000</v>
      </c>
      <c r="L22" s="28">
        <f t="shared" si="5"/>
        <v>0.38476190476190475</v>
      </c>
    </row>
    <row r="23" spans="1:12" ht="15" customHeight="1">
      <c r="A23" s="25" t="s">
        <v>99</v>
      </c>
      <c r="B23" s="43">
        <v>9001</v>
      </c>
      <c r="C23" s="25">
        <v>111210</v>
      </c>
      <c r="D23" s="25" t="s">
        <v>100</v>
      </c>
      <c r="E23" s="26">
        <v>1000000</v>
      </c>
      <c r="F23" s="26">
        <v>0</v>
      </c>
      <c r="G23" s="26">
        <v>0</v>
      </c>
      <c r="H23" s="27">
        <v>1000000</v>
      </c>
      <c r="I23" s="44">
        <v>2789042</v>
      </c>
      <c r="J23" s="47">
        <v>-1789042</v>
      </c>
      <c r="K23" s="47">
        <v>4000000</v>
      </c>
      <c r="L23" s="28">
        <f t="shared" si="5"/>
        <v>2.789042</v>
      </c>
    </row>
    <row r="24" spans="1:12" ht="15" customHeight="1">
      <c r="A24" s="25" t="s">
        <v>101</v>
      </c>
      <c r="B24" s="43">
        <v>9001</v>
      </c>
      <c r="C24" s="25">
        <v>111211</v>
      </c>
      <c r="D24" s="25" t="s">
        <v>102</v>
      </c>
      <c r="E24" s="26">
        <v>1045000</v>
      </c>
      <c r="F24" s="26">
        <v>0</v>
      </c>
      <c r="G24" s="26">
        <v>0</v>
      </c>
      <c r="H24" s="27">
        <v>1045000</v>
      </c>
      <c r="I24" s="44">
        <v>1043814</v>
      </c>
      <c r="J24" s="47">
        <v>1186</v>
      </c>
      <c r="K24" s="47">
        <v>4000000</v>
      </c>
      <c r="L24" s="28">
        <f t="shared" si="5"/>
        <v>0.9988650717703349</v>
      </c>
    </row>
    <row r="25" spans="1:12" ht="15" customHeight="1">
      <c r="A25" s="25" t="s">
        <v>97</v>
      </c>
      <c r="B25" s="43">
        <v>9001</v>
      </c>
      <c r="C25" s="25">
        <v>111212</v>
      </c>
      <c r="D25" s="25" t="s">
        <v>103</v>
      </c>
      <c r="E25" s="26">
        <v>217000</v>
      </c>
      <c r="F25" s="26">
        <v>0</v>
      </c>
      <c r="G25" s="26">
        <v>0</v>
      </c>
      <c r="H25" s="27">
        <v>217000</v>
      </c>
      <c r="I25" s="44">
        <v>0</v>
      </c>
      <c r="J25" s="47">
        <v>217000</v>
      </c>
      <c r="K25" s="47">
        <v>1000000</v>
      </c>
      <c r="L25" s="28">
        <f t="shared" si="5"/>
        <v>0</v>
      </c>
    </row>
    <row r="26" spans="1:11" ht="12.75" customHeight="1">
      <c r="A26" s="25"/>
      <c r="B26" s="69"/>
      <c r="C26" s="50">
        <v>112</v>
      </c>
      <c r="D26" s="50" t="s">
        <v>104</v>
      </c>
      <c r="E26" s="51">
        <f aca="true" t="shared" si="6" ref="E26:K26">E27+E37+E40+E46+E50+E53+E68</f>
        <v>1523399421</v>
      </c>
      <c r="F26" s="51">
        <f t="shared" si="6"/>
        <v>1489509262</v>
      </c>
      <c r="G26" s="51">
        <f t="shared" si="6"/>
        <v>0</v>
      </c>
      <c r="H26" s="51">
        <f t="shared" si="6"/>
        <v>3012908683</v>
      </c>
      <c r="I26" s="93">
        <f t="shared" si="6"/>
        <v>1440793661</v>
      </c>
      <c r="J26" s="53">
        <f t="shared" si="6"/>
        <v>1572115022</v>
      </c>
      <c r="K26" s="53">
        <f t="shared" si="6"/>
        <v>2116095517</v>
      </c>
    </row>
    <row r="27" spans="1:11" ht="12.75" customHeight="1">
      <c r="A27" s="25"/>
      <c r="B27" s="69"/>
      <c r="C27" s="50">
        <v>1121</v>
      </c>
      <c r="D27" s="50" t="s">
        <v>105</v>
      </c>
      <c r="E27" s="51">
        <f>SUM(E28:E36)</f>
        <v>66435000</v>
      </c>
      <c r="F27" s="51">
        <f aca="true" t="shared" si="7" ref="F27:K27">SUM(F28:F36)</f>
        <v>0</v>
      </c>
      <c r="G27" s="51">
        <f t="shared" si="7"/>
        <v>0</v>
      </c>
      <c r="H27" s="51">
        <f t="shared" si="7"/>
        <v>66435000</v>
      </c>
      <c r="I27" s="93">
        <f t="shared" si="7"/>
        <v>37569237</v>
      </c>
      <c r="J27" s="53">
        <f t="shared" si="7"/>
        <v>28865763</v>
      </c>
      <c r="K27" s="53">
        <f t="shared" si="7"/>
        <v>84560000</v>
      </c>
    </row>
    <row r="28" spans="1:12" ht="15" customHeight="1">
      <c r="A28" s="25" t="s">
        <v>106</v>
      </c>
      <c r="B28" s="43">
        <v>9001</v>
      </c>
      <c r="C28" s="25">
        <v>112101</v>
      </c>
      <c r="D28" s="25" t="s">
        <v>107</v>
      </c>
      <c r="E28" s="26">
        <v>13200000</v>
      </c>
      <c r="F28" s="26">
        <v>0</v>
      </c>
      <c r="G28" s="26">
        <v>0</v>
      </c>
      <c r="H28" s="27">
        <v>13200000</v>
      </c>
      <c r="I28" s="44">
        <v>7843700</v>
      </c>
      <c r="J28" s="47">
        <v>5356300</v>
      </c>
      <c r="K28" s="47">
        <v>15000000</v>
      </c>
      <c r="L28" s="28">
        <f aca="true" t="shared" si="8" ref="L28:L36">I28/H28</f>
        <v>0.594219696969697</v>
      </c>
    </row>
    <row r="29" spans="1:12" ht="15" customHeight="1">
      <c r="A29" s="25" t="s">
        <v>108</v>
      </c>
      <c r="B29" s="43">
        <v>9001</v>
      </c>
      <c r="C29" s="25">
        <v>112102</v>
      </c>
      <c r="D29" s="25" t="s">
        <v>109</v>
      </c>
      <c r="E29" s="26">
        <v>10000000</v>
      </c>
      <c r="F29" s="26">
        <v>0</v>
      </c>
      <c r="G29" s="26">
        <v>0</v>
      </c>
      <c r="H29" s="27">
        <v>10000000</v>
      </c>
      <c r="I29" s="44">
        <v>4365600</v>
      </c>
      <c r="J29" s="47">
        <v>5634400</v>
      </c>
      <c r="K29" s="47">
        <v>10000000</v>
      </c>
      <c r="L29" s="28">
        <f t="shared" si="8"/>
        <v>0.43656</v>
      </c>
    </row>
    <row r="30" spans="1:12" ht="15" customHeight="1">
      <c r="A30" s="25" t="s">
        <v>110</v>
      </c>
      <c r="B30" s="43">
        <v>9001</v>
      </c>
      <c r="C30" s="25">
        <v>112103</v>
      </c>
      <c r="D30" s="25" t="s">
        <v>111</v>
      </c>
      <c r="E30" s="26">
        <v>10450000</v>
      </c>
      <c r="F30" s="26">
        <v>0</v>
      </c>
      <c r="G30" s="26">
        <v>0</v>
      </c>
      <c r="H30" s="27">
        <v>10450000</v>
      </c>
      <c r="I30" s="44">
        <v>698100</v>
      </c>
      <c r="J30" s="47">
        <v>9751900</v>
      </c>
      <c r="K30" s="47">
        <v>15000000</v>
      </c>
      <c r="L30" s="28">
        <f t="shared" si="8"/>
        <v>0.06680382775119617</v>
      </c>
    </row>
    <row r="31" spans="1:12" ht="15" customHeight="1">
      <c r="A31" s="25" t="s">
        <v>112</v>
      </c>
      <c r="B31" s="43">
        <v>9001</v>
      </c>
      <c r="C31" s="25">
        <v>112104</v>
      </c>
      <c r="D31" s="35" t="s">
        <v>113</v>
      </c>
      <c r="E31" s="26">
        <v>8000000</v>
      </c>
      <c r="F31" s="26">
        <v>0</v>
      </c>
      <c r="G31" s="26">
        <v>0</v>
      </c>
      <c r="H31" s="27">
        <v>8000000</v>
      </c>
      <c r="I31" s="44">
        <v>5807510</v>
      </c>
      <c r="J31" s="47">
        <v>2192490</v>
      </c>
      <c r="K31" s="47">
        <v>10000000</v>
      </c>
      <c r="L31" s="28">
        <f t="shared" si="8"/>
        <v>0.72593875</v>
      </c>
    </row>
    <row r="32" spans="1:12" ht="15" customHeight="1">
      <c r="A32" s="25" t="s">
        <v>114</v>
      </c>
      <c r="B32" s="43">
        <v>9001</v>
      </c>
      <c r="C32" s="25">
        <v>112105</v>
      </c>
      <c r="D32" s="25" t="s">
        <v>115</v>
      </c>
      <c r="E32" s="26">
        <v>6326000</v>
      </c>
      <c r="F32" s="26">
        <v>0</v>
      </c>
      <c r="G32" s="26">
        <v>0</v>
      </c>
      <c r="H32" s="27">
        <v>6326000</v>
      </c>
      <c r="I32" s="44">
        <v>10959100</v>
      </c>
      <c r="J32" s="47">
        <v>-4633100</v>
      </c>
      <c r="K32" s="47">
        <v>15000000</v>
      </c>
      <c r="L32" s="28">
        <f t="shared" si="8"/>
        <v>1.7323901359468858</v>
      </c>
    </row>
    <row r="33" spans="1:12" ht="15" customHeight="1">
      <c r="A33" s="25" t="s">
        <v>116</v>
      </c>
      <c r="B33" s="43">
        <v>9001</v>
      </c>
      <c r="C33" s="25">
        <v>112106</v>
      </c>
      <c r="D33" s="25" t="s">
        <v>117</v>
      </c>
      <c r="E33" s="26">
        <v>56000</v>
      </c>
      <c r="F33" s="26">
        <v>0</v>
      </c>
      <c r="G33" s="26">
        <v>0</v>
      </c>
      <c r="H33" s="27">
        <v>56000</v>
      </c>
      <c r="I33" s="44">
        <v>18000</v>
      </c>
      <c r="J33" s="47">
        <v>38000</v>
      </c>
      <c r="K33" s="47">
        <v>60000</v>
      </c>
      <c r="L33" s="28">
        <f t="shared" si="8"/>
        <v>0.32142857142857145</v>
      </c>
    </row>
    <row r="34" spans="1:12" ht="15" customHeight="1">
      <c r="A34" s="25" t="s">
        <v>118</v>
      </c>
      <c r="B34" s="43">
        <v>9001</v>
      </c>
      <c r="C34" s="25">
        <v>112107</v>
      </c>
      <c r="D34" s="25" t="s">
        <v>119</v>
      </c>
      <c r="E34" s="26">
        <v>4500000</v>
      </c>
      <c r="F34" s="26">
        <v>0</v>
      </c>
      <c r="G34" s="26">
        <v>0</v>
      </c>
      <c r="H34" s="27">
        <v>4500000</v>
      </c>
      <c r="I34" s="44">
        <v>2730900</v>
      </c>
      <c r="J34" s="47">
        <v>1769100</v>
      </c>
      <c r="K34" s="47">
        <v>7000000</v>
      </c>
      <c r="L34" s="28">
        <f t="shared" si="8"/>
        <v>0.6068666666666667</v>
      </c>
    </row>
    <row r="35" spans="1:12" ht="15" customHeight="1">
      <c r="A35" s="25" t="s">
        <v>120</v>
      </c>
      <c r="B35" s="43">
        <v>9001</v>
      </c>
      <c r="C35" s="25">
        <v>112108</v>
      </c>
      <c r="D35" s="25" t="s">
        <v>121</v>
      </c>
      <c r="E35" s="26">
        <v>12540000</v>
      </c>
      <c r="F35" s="26">
        <v>0</v>
      </c>
      <c r="G35" s="26">
        <v>0</v>
      </c>
      <c r="H35" s="27">
        <v>12540000</v>
      </c>
      <c r="I35" s="44">
        <v>5146327</v>
      </c>
      <c r="J35" s="47">
        <v>7393673</v>
      </c>
      <c r="K35" s="47">
        <v>12500000</v>
      </c>
      <c r="L35" s="28">
        <f t="shared" si="8"/>
        <v>0.4103929027113238</v>
      </c>
    </row>
    <row r="36" spans="1:12" ht="15" customHeight="1">
      <c r="A36" s="25" t="s">
        <v>122</v>
      </c>
      <c r="B36" s="43">
        <v>9999</v>
      </c>
      <c r="C36" s="25">
        <v>112109</v>
      </c>
      <c r="D36" s="25" t="s">
        <v>123</v>
      </c>
      <c r="E36" s="26">
        <v>1363000</v>
      </c>
      <c r="F36" s="26">
        <v>0</v>
      </c>
      <c r="G36" s="26">
        <v>0</v>
      </c>
      <c r="H36" s="27">
        <v>1363000</v>
      </c>
      <c r="I36" s="44">
        <v>0</v>
      </c>
      <c r="J36" s="47">
        <v>1363000</v>
      </c>
      <c r="K36" s="47">
        <f>I36</f>
        <v>0</v>
      </c>
      <c r="L36" s="28">
        <f t="shared" si="8"/>
        <v>0</v>
      </c>
    </row>
    <row r="37" spans="1:11" ht="12.75" customHeight="1">
      <c r="A37" s="25"/>
      <c r="B37" s="69"/>
      <c r="C37" s="50">
        <v>1122</v>
      </c>
      <c r="D37" s="50" t="s">
        <v>124</v>
      </c>
      <c r="E37" s="51">
        <f>SUM(E38:E39)</f>
        <v>217000</v>
      </c>
      <c r="F37" s="51">
        <f aca="true" t="shared" si="9" ref="F37:K37">SUM(F38:F39)</f>
        <v>0</v>
      </c>
      <c r="G37" s="51">
        <f t="shared" si="9"/>
        <v>0</v>
      </c>
      <c r="H37" s="51">
        <f t="shared" si="9"/>
        <v>217000</v>
      </c>
      <c r="I37" s="93">
        <f t="shared" si="9"/>
        <v>0</v>
      </c>
      <c r="J37" s="53">
        <f t="shared" si="9"/>
        <v>217000</v>
      </c>
      <c r="K37" s="53">
        <f t="shared" si="9"/>
        <v>3500000</v>
      </c>
    </row>
    <row r="38" spans="1:12" ht="15" customHeight="1">
      <c r="A38" s="25" t="s">
        <v>125</v>
      </c>
      <c r="B38" s="43">
        <v>9001</v>
      </c>
      <c r="C38" s="25">
        <v>112201</v>
      </c>
      <c r="D38" s="25" t="s">
        <v>126</v>
      </c>
      <c r="E38" s="26">
        <v>217000</v>
      </c>
      <c r="F38" s="26">
        <v>0</v>
      </c>
      <c r="G38" s="26">
        <v>0</v>
      </c>
      <c r="H38" s="27">
        <v>217000</v>
      </c>
      <c r="I38" s="44">
        <v>0</v>
      </c>
      <c r="J38" s="47">
        <v>217000</v>
      </c>
      <c r="K38" s="47">
        <v>500000</v>
      </c>
      <c r="L38" s="28">
        <f>I38/H38</f>
        <v>0</v>
      </c>
    </row>
    <row r="39" spans="1:12" ht="15" customHeight="1">
      <c r="A39" s="35" t="s">
        <v>223</v>
      </c>
      <c r="B39" s="43">
        <v>9001</v>
      </c>
      <c r="C39" s="25">
        <v>112202</v>
      </c>
      <c r="D39" s="35" t="s">
        <v>590</v>
      </c>
      <c r="E39" s="26">
        <v>0</v>
      </c>
      <c r="F39" s="26">
        <v>0</v>
      </c>
      <c r="G39" s="26">
        <v>0</v>
      </c>
      <c r="H39" s="27">
        <v>0</v>
      </c>
      <c r="I39" s="44">
        <v>0</v>
      </c>
      <c r="J39" s="47">
        <v>0</v>
      </c>
      <c r="K39" s="47">
        <v>3000000</v>
      </c>
      <c r="L39" s="28"/>
    </row>
    <row r="40" spans="1:11" ht="12.75" customHeight="1">
      <c r="A40" s="25"/>
      <c r="B40" s="69"/>
      <c r="C40" s="50">
        <v>1123</v>
      </c>
      <c r="D40" s="50" t="s">
        <v>127</v>
      </c>
      <c r="E40" s="51">
        <f>SUM(E41:E45)</f>
        <v>33000000</v>
      </c>
      <c r="F40" s="51">
        <f aca="true" t="shared" si="10" ref="F40:K40">SUM(F41:F45)</f>
        <v>0</v>
      </c>
      <c r="G40" s="51">
        <f t="shared" si="10"/>
        <v>0</v>
      </c>
      <c r="H40" s="51">
        <f t="shared" si="10"/>
        <v>33000000</v>
      </c>
      <c r="I40" s="93">
        <f t="shared" si="10"/>
        <v>10275970</v>
      </c>
      <c r="J40" s="53">
        <f t="shared" si="10"/>
        <v>22724030</v>
      </c>
      <c r="K40" s="53">
        <f t="shared" si="10"/>
        <v>21000000</v>
      </c>
    </row>
    <row r="41" spans="1:12" ht="15" customHeight="1">
      <c r="A41" s="25" t="s">
        <v>128</v>
      </c>
      <c r="B41" s="43">
        <v>9001</v>
      </c>
      <c r="C41" s="99">
        <v>112301</v>
      </c>
      <c r="D41" s="25" t="s">
        <v>129</v>
      </c>
      <c r="E41" s="26">
        <v>3000000</v>
      </c>
      <c r="F41" s="26">
        <v>0</v>
      </c>
      <c r="G41" s="26">
        <v>0</v>
      </c>
      <c r="H41" s="27">
        <v>3000000</v>
      </c>
      <c r="I41" s="44">
        <v>876800</v>
      </c>
      <c r="J41" s="47">
        <v>2123200</v>
      </c>
      <c r="K41" s="47">
        <v>3000000</v>
      </c>
      <c r="L41" s="28">
        <f>I41/H41</f>
        <v>0.2922666666666667</v>
      </c>
    </row>
    <row r="42" spans="1:12" s="34" customFormat="1" ht="15" customHeight="1">
      <c r="A42" s="30" t="s">
        <v>128</v>
      </c>
      <c r="B42" s="43">
        <v>9999</v>
      </c>
      <c r="C42" s="99">
        <v>112302</v>
      </c>
      <c r="D42" s="30" t="s">
        <v>130</v>
      </c>
      <c r="E42" s="31">
        <v>30000000</v>
      </c>
      <c r="F42" s="31">
        <v>0</v>
      </c>
      <c r="G42" s="31">
        <v>0</v>
      </c>
      <c r="H42" s="32">
        <v>30000000</v>
      </c>
      <c r="I42" s="45">
        <v>9399170</v>
      </c>
      <c r="J42" s="48">
        <v>20600830</v>
      </c>
      <c r="K42" s="48">
        <v>0</v>
      </c>
      <c r="L42" s="33">
        <f>I42/H42</f>
        <v>0.31330566666666665</v>
      </c>
    </row>
    <row r="43" spans="1:12" s="102" customFormat="1" ht="15" customHeight="1">
      <c r="A43" s="35" t="s">
        <v>223</v>
      </c>
      <c r="B43" s="43">
        <v>9001</v>
      </c>
      <c r="C43" s="99">
        <v>112303</v>
      </c>
      <c r="D43" s="103" t="s">
        <v>587</v>
      </c>
      <c r="E43" s="100">
        <v>0</v>
      </c>
      <c r="F43" s="100">
        <v>0</v>
      </c>
      <c r="G43" s="100">
        <v>0</v>
      </c>
      <c r="H43" s="100">
        <v>0</v>
      </c>
      <c r="I43" s="104">
        <v>0</v>
      </c>
      <c r="J43" s="108">
        <v>0</v>
      </c>
      <c r="K43" s="98">
        <v>5000000</v>
      </c>
      <c r="L43" s="101"/>
    </row>
    <row r="44" spans="1:12" s="102" customFormat="1" ht="15" customHeight="1">
      <c r="A44" s="35" t="s">
        <v>223</v>
      </c>
      <c r="B44" s="43">
        <v>9001</v>
      </c>
      <c r="C44" s="99">
        <v>112304</v>
      </c>
      <c r="D44" s="103" t="s">
        <v>588</v>
      </c>
      <c r="E44" s="100">
        <v>0</v>
      </c>
      <c r="F44" s="100">
        <v>0</v>
      </c>
      <c r="G44" s="100">
        <v>0</v>
      </c>
      <c r="H44" s="100">
        <v>0</v>
      </c>
      <c r="I44" s="104">
        <v>0</v>
      </c>
      <c r="J44" s="108">
        <v>0</v>
      </c>
      <c r="K44" s="98">
        <v>7000000</v>
      </c>
      <c r="L44" s="101"/>
    </row>
    <row r="45" spans="1:12" s="102" customFormat="1" ht="15" customHeight="1">
      <c r="A45" s="35" t="s">
        <v>223</v>
      </c>
      <c r="B45" s="43">
        <v>9001</v>
      </c>
      <c r="C45" s="99">
        <v>112305</v>
      </c>
      <c r="D45" s="103" t="s">
        <v>589</v>
      </c>
      <c r="E45" s="100">
        <v>0</v>
      </c>
      <c r="F45" s="100">
        <v>0</v>
      </c>
      <c r="G45" s="100">
        <v>0</v>
      </c>
      <c r="H45" s="100">
        <v>0</v>
      </c>
      <c r="I45" s="104">
        <v>0</v>
      </c>
      <c r="J45" s="108">
        <v>0</v>
      </c>
      <c r="K45" s="98">
        <v>6000000</v>
      </c>
      <c r="L45" s="101"/>
    </row>
    <row r="46" spans="1:11" ht="12.75" customHeight="1">
      <c r="A46" s="25"/>
      <c r="B46" s="69"/>
      <c r="C46" s="50">
        <v>1124</v>
      </c>
      <c r="D46" s="50" t="s">
        <v>131</v>
      </c>
      <c r="E46" s="51">
        <f>SUM(E47:E49)</f>
        <v>11419000</v>
      </c>
      <c r="F46" s="51">
        <f aca="true" t="shared" si="11" ref="F46:K46">SUM(F47:F49)</f>
        <v>0</v>
      </c>
      <c r="G46" s="51">
        <f t="shared" si="11"/>
        <v>0</v>
      </c>
      <c r="H46" s="51">
        <f t="shared" si="11"/>
        <v>11419000</v>
      </c>
      <c r="I46" s="93">
        <f t="shared" si="11"/>
        <v>4996309</v>
      </c>
      <c r="J46" s="53">
        <f t="shared" si="11"/>
        <v>6422691</v>
      </c>
      <c r="K46" s="53">
        <f t="shared" si="11"/>
        <v>11686000</v>
      </c>
    </row>
    <row r="47" spans="1:12" ht="15" customHeight="1">
      <c r="A47" s="25" t="s">
        <v>132</v>
      </c>
      <c r="B47" s="43">
        <v>9001</v>
      </c>
      <c r="C47" s="25">
        <v>112401</v>
      </c>
      <c r="D47" s="25" t="s">
        <v>133</v>
      </c>
      <c r="E47" s="26">
        <v>3186000</v>
      </c>
      <c r="F47" s="26">
        <v>0</v>
      </c>
      <c r="G47" s="26">
        <v>0</v>
      </c>
      <c r="H47" s="27">
        <v>3186000</v>
      </c>
      <c r="I47" s="44">
        <v>1251609</v>
      </c>
      <c r="J47" s="47">
        <v>1934391</v>
      </c>
      <c r="K47" s="47">
        <f>H47</f>
        <v>3186000</v>
      </c>
      <c r="L47" s="28">
        <f>I47/H47</f>
        <v>0.39284651600753295</v>
      </c>
    </row>
    <row r="48" spans="1:12" ht="15" customHeight="1">
      <c r="A48" s="25" t="s">
        <v>134</v>
      </c>
      <c r="B48" s="43">
        <v>9001</v>
      </c>
      <c r="C48" s="25">
        <v>112402</v>
      </c>
      <c r="D48" s="25" t="s">
        <v>135</v>
      </c>
      <c r="E48" s="26">
        <v>4233000</v>
      </c>
      <c r="F48" s="26">
        <v>0</v>
      </c>
      <c r="G48" s="26">
        <v>0</v>
      </c>
      <c r="H48" s="27">
        <v>4233000</v>
      </c>
      <c r="I48" s="44">
        <v>2514700</v>
      </c>
      <c r="J48" s="47">
        <v>1718300</v>
      </c>
      <c r="K48" s="47">
        <v>4500000</v>
      </c>
      <c r="L48" s="28">
        <f>I48/H48</f>
        <v>0.5940703992440349</v>
      </c>
    </row>
    <row r="49" spans="1:12" ht="15" customHeight="1">
      <c r="A49" s="25" t="s">
        <v>134</v>
      </c>
      <c r="B49" s="43">
        <v>9001</v>
      </c>
      <c r="C49" s="25">
        <v>112403</v>
      </c>
      <c r="D49" s="25" t="s">
        <v>136</v>
      </c>
      <c r="E49" s="26">
        <v>4000000</v>
      </c>
      <c r="F49" s="26">
        <v>0</v>
      </c>
      <c r="G49" s="26">
        <v>0</v>
      </c>
      <c r="H49" s="27">
        <v>4000000</v>
      </c>
      <c r="I49" s="44">
        <v>1230000</v>
      </c>
      <c r="J49" s="47">
        <v>2770000</v>
      </c>
      <c r="K49" s="47">
        <f>H49</f>
        <v>4000000</v>
      </c>
      <c r="L49" s="28">
        <f>I49/H49</f>
        <v>0.3075</v>
      </c>
    </row>
    <row r="50" spans="1:11" ht="12.75" customHeight="1">
      <c r="A50" s="25"/>
      <c r="B50" s="69"/>
      <c r="C50" s="50">
        <v>1125</v>
      </c>
      <c r="D50" s="50" t="s">
        <v>137</v>
      </c>
      <c r="E50" s="51">
        <f>SUM(E51:E52)</f>
        <v>100000000</v>
      </c>
      <c r="F50" s="51">
        <f aca="true" t="shared" si="12" ref="F50:K50">SUM(F51:F52)</f>
        <v>0</v>
      </c>
      <c r="G50" s="51">
        <f t="shared" si="12"/>
        <v>0</v>
      </c>
      <c r="H50" s="51">
        <f t="shared" si="12"/>
        <v>100000000</v>
      </c>
      <c r="I50" s="93">
        <f t="shared" si="12"/>
        <v>37531499</v>
      </c>
      <c r="J50" s="53">
        <f t="shared" si="12"/>
        <v>62468501</v>
      </c>
      <c r="K50" s="53">
        <f t="shared" si="12"/>
        <v>108620000</v>
      </c>
    </row>
    <row r="51" spans="1:12" ht="15" customHeight="1">
      <c r="A51" s="25" t="s">
        <v>138</v>
      </c>
      <c r="B51" s="43">
        <v>9001</v>
      </c>
      <c r="C51" s="25">
        <v>112501</v>
      </c>
      <c r="D51" s="25" t="s">
        <v>139</v>
      </c>
      <c r="E51" s="26">
        <v>95000000</v>
      </c>
      <c r="F51" s="26">
        <v>0</v>
      </c>
      <c r="G51" s="26">
        <v>0</v>
      </c>
      <c r="H51" s="27">
        <v>95000000</v>
      </c>
      <c r="I51" s="44">
        <v>36874826</v>
      </c>
      <c r="J51" s="47">
        <v>58125174</v>
      </c>
      <c r="K51" s="47">
        <f>ROUND((K11*33%),-3)</f>
        <v>102620000</v>
      </c>
      <c r="L51" s="28">
        <f>I51/H51</f>
        <v>0.38815606315789475</v>
      </c>
    </row>
    <row r="52" spans="1:12" ht="15" customHeight="1">
      <c r="A52" s="25" t="s">
        <v>140</v>
      </c>
      <c r="B52" s="43">
        <v>9001</v>
      </c>
      <c r="C52" s="25">
        <v>112502</v>
      </c>
      <c r="D52" s="25" t="s">
        <v>141</v>
      </c>
      <c r="E52" s="26">
        <v>5000000</v>
      </c>
      <c r="F52" s="26">
        <v>0</v>
      </c>
      <c r="G52" s="26">
        <v>0</v>
      </c>
      <c r="H52" s="27">
        <v>5000000</v>
      </c>
      <c r="I52" s="44">
        <v>656673</v>
      </c>
      <c r="J52" s="47">
        <v>4343327</v>
      </c>
      <c r="K52" s="47">
        <v>6000000</v>
      </c>
      <c r="L52" s="28">
        <f>I52/H52</f>
        <v>0.1313346</v>
      </c>
    </row>
    <row r="53" spans="1:11" ht="12.75" customHeight="1">
      <c r="A53" s="25"/>
      <c r="B53" s="69"/>
      <c r="C53" s="50">
        <v>1126</v>
      </c>
      <c r="D53" s="50" t="s">
        <v>142</v>
      </c>
      <c r="E53" s="51">
        <f>SUM(E54:E58)</f>
        <v>1307328421</v>
      </c>
      <c r="F53" s="51">
        <f aca="true" t="shared" si="13" ref="F53:K53">SUM(F54:F58)</f>
        <v>1489509262</v>
      </c>
      <c r="G53" s="51">
        <f t="shared" si="13"/>
        <v>0</v>
      </c>
      <c r="H53" s="51">
        <f t="shared" si="13"/>
        <v>2796837683</v>
      </c>
      <c r="I53" s="93">
        <f t="shared" si="13"/>
        <v>1348826046</v>
      </c>
      <c r="J53" s="53">
        <f t="shared" si="13"/>
        <v>1448011637</v>
      </c>
      <c r="K53" s="53">
        <f t="shared" si="13"/>
        <v>1881229517</v>
      </c>
    </row>
    <row r="54" spans="1:12" ht="15" customHeight="1">
      <c r="A54" s="25" t="s">
        <v>143</v>
      </c>
      <c r="B54" s="43">
        <v>9002</v>
      </c>
      <c r="C54" s="25">
        <v>112601</v>
      </c>
      <c r="D54" s="25" t="s">
        <v>144</v>
      </c>
      <c r="E54" s="26">
        <v>44172606</v>
      </c>
      <c r="F54" s="26">
        <v>14297705</v>
      </c>
      <c r="G54" s="26">
        <v>0</v>
      </c>
      <c r="H54" s="27">
        <v>58470311</v>
      </c>
      <c r="I54" s="44">
        <v>38668631</v>
      </c>
      <c r="J54" s="47">
        <v>19801680</v>
      </c>
      <c r="K54" s="47">
        <v>54910652</v>
      </c>
      <c r="L54" s="28">
        <f>I54/H54</f>
        <v>0.6613378711120589</v>
      </c>
    </row>
    <row r="55" spans="1:12" ht="15" customHeight="1">
      <c r="A55" s="25" t="s">
        <v>145</v>
      </c>
      <c r="B55" s="43">
        <v>9003</v>
      </c>
      <c r="C55" s="25">
        <v>112602</v>
      </c>
      <c r="D55" s="25" t="s">
        <v>146</v>
      </c>
      <c r="E55" s="26">
        <v>163414800</v>
      </c>
      <c r="F55" s="26">
        <v>14432272</v>
      </c>
      <c r="G55" s="26">
        <v>0</v>
      </c>
      <c r="H55" s="27">
        <v>177847072</v>
      </c>
      <c r="I55" s="44">
        <v>118545403</v>
      </c>
      <c r="J55" s="47">
        <v>59301669</v>
      </c>
      <c r="K55" s="47">
        <v>163079595</v>
      </c>
      <c r="L55" s="28">
        <f>I55/H55</f>
        <v>0.6665580808662399</v>
      </c>
    </row>
    <row r="56" spans="1:12" ht="15" customHeight="1">
      <c r="A56" s="25" t="s">
        <v>147</v>
      </c>
      <c r="B56" s="43">
        <v>9005</v>
      </c>
      <c r="C56" s="25">
        <v>112603</v>
      </c>
      <c r="D56" s="25" t="s">
        <v>148</v>
      </c>
      <c r="E56" s="26">
        <v>696038737</v>
      </c>
      <c r="F56" s="26">
        <v>540650441</v>
      </c>
      <c r="G56" s="26">
        <v>0</v>
      </c>
      <c r="H56" s="27">
        <v>1236689178</v>
      </c>
      <c r="I56" s="44">
        <v>817869373</v>
      </c>
      <c r="J56" s="47">
        <v>418819805</v>
      </c>
      <c r="K56" s="47">
        <v>1161399835</v>
      </c>
      <c r="L56" s="28">
        <f>I56/H56</f>
        <v>0.6613378588164536</v>
      </c>
    </row>
    <row r="57" spans="1:12" ht="15" customHeight="1">
      <c r="A57" s="25" t="s">
        <v>149</v>
      </c>
      <c r="B57" s="43">
        <v>9009</v>
      </c>
      <c r="C57" s="25">
        <v>112604</v>
      </c>
      <c r="D57" s="25" t="s">
        <v>150</v>
      </c>
      <c r="E57" s="26">
        <v>403702278</v>
      </c>
      <c r="F57" s="26">
        <v>130669589</v>
      </c>
      <c r="G57" s="26">
        <v>0</v>
      </c>
      <c r="H57" s="27">
        <v>534371867</v>
      </c>
      <c r="I57" s="44">
        <v>353400339</v>
      </c>
      <c r="J57" s="47">
        <v>180971528</v>
      </c>
      <c r="K57" s="47">
        <v>501839435</v>
      </c>
      <c r="L57" s="28">
        <f>I57/H57</f>
        <v>0.6613378450928069</v>
      </c>
    </row>
    <row r="58" spans="1:11" ht="15" customHeight="1">
      <c r="A58" s="25"/>
      <c r="B58" s="69"/>
      <c r="C58" s="50">
        <v>112605</v>
      </c>
      <c r="D58" s="50" t="s">
        <v>151</v>
      </c>
      <c r="E58" s="51">
        <f>E59</f>
        <v>0</v>
      </c>
      <c r="F58" s="51">
        <f aca="true" t="shared" si="14" ref="F58:K58">F59</f>
        <v>789459255</v>
      </c>
      <c r="G58" s="51">
        <f t="shared" si="14"/>
        <v>0</v>
      </c>
      <c r="H58" s="51">
        <f t="shared" si="14"/>
        <v>789459255</v>
      </c>
      <c r="I58" s="93">
        <f t="shared" si="14"/>
        <v>20342300</v>
      </c>
      <c r="J58" s="53">
        <f t="shared" si="14"/>
        <v>769116955</v>
      </c>
      <c r="K58" s="53">
        <f t="shared" si="14"/>
        <v>0</v>
      </c>
    </row>
    <row r="59" spans="1:11" ht="15" customHeight="1">
      <c r="A59" s="36"/>
      <c r="B59" s="70"/>
      <c r="C59" s="50">
        <v>1126051</v>
      </c>
      <c r="D59" s="50" t="s">
        <v>152</v>
      </c>
      <c r="E59" s="51">
        <f>SUM(E60:E67)</f>
        <v>0</v>
      </c>
      <c r="F59" s="51">
        <f aca="true" t="shared" si="15" ref="F59:K59">SUM(F60:F67)</f>
        <v>789459255</v>
      </c>
      <c r="G59" s="51">
        <f t="shared" si="15"/>
        <v>0</v>
      </c>
      <c r="H59" s="51">
        <f t="shared" si="15"/>
        <v>789459255</v>
      </c>
      <c r="I59" s="93">
        <f t="shared" si="15"/>
        <v>20342300</v>
      </c>
      <c r="J59" s="53">
        <f t="shared" si="15"/>
        <v>769116955</v>
      </c>
      <c r="K59" s="53">
        <f t="shared" si="15"/>
        <v>0</v>
      </c>
    </row>
    <row r="60" spans="1:12" ht="15" customHeight="1">
      <c r="A60" s="37" t="s">
        <v>153</v>
      </c>
      <c r="B60" s="43">
        <v>9999</v>
      </c>
      <c r="C60" s="38">
        <v>112605101</v>
      </c>
      <c r="D60" s="25" t="s">
        <v>154</v>
      </c>
      <c r="E60" s="26">
        <v>0</v>
      </c>
      <c r="F60" s="26">
        <v>7500000</v>
      </c>
      <c r="G60" s="26">
        <v>0</v>
      </c>
      <c r="H60" s="27">
        <v>7500000</v>
      </c>
      <c r="I60" s="44">
        <v>3747300</v>
      </c>
      <c r="J60" s="47">
        <v>3752700</v>
      </c>
      <c r="K60" s="47">
        <v>0</v>
      </c>
      <c r="L60" s="28">
        <f aca="true" t="shared" si="16" ref="L60:L67">I60/H60</f>
        <v>0.49964</v>
      </c>
    </row>
    <row r="61" spans="1:12" ht="15" customHeight="1">
      <c r="A61" s="37" t="s">
        <v>153</v>
      </c>
      <c r="B61" s="43">
        <v>9999</v>
      </c>
      <c r="C61" s="25">
        <v>112605102</v>
      </c>
      <c r="D61" s="25" t="s">
        <v>155</v>
      </c>
      <c r="E61" s="26">
        <v>0</v>
      </c>
      <c r="F61" s="26">
        <v>7500000</v>
      </c>
      <c r="G61" s="26">
        <v>0</v>
      </c>
      <c r="H61" s="27">
        <v>7500000</v>
      </c>
      <c r="I61" s="44">
        <v>3747300</v>
      </c>
      <c r="J61" s="47">
        <v>3752700</v>
      </c>
      <c r="K61" s="47">
        <v>0</v>
      </c>
      <c r="L61" s="28">
        <f t="shared" si="16"/>
        <v>0.49964</v>
      </c>
    </row>
    <row r="62" spans="1:12" ht="15" customHeight="1">
      <c r="A62" s="37" t="s">
        <v>153</v>
      </c>
      <c r="B62" s="43">
        <v>9999</v>
      </c>
      <c r="C62" s="38">
        <v>112605103</v>
      </c>
      <c r="D62" s="25" t="s">
        <v>156</v>
      </c>
      <c r="E62" s="26">
        <v>0</v>
      </c>
      <c r="F62" s="26">
        <v>3000000</v>
      </c>
      <c r="G62" s="26">
        <v>0</v>
      </c>
      <c r="H62" s="27">
        <v>3000000</v>
      </c>
      <c r="I62" s="44">
        <v>1497300</v>
      </c>
      <c r="J62" s="47">
        <v>1502700</v>
      </c>
      <c r="K62" s="47">
        <v>0</v>
      </c>
      <c r="L62" s="28">
        <f t="shared" si="16"/>
        <v>0.4991</v>
      </c>
    </row>
    <row r="63" spans="1:12" ht="15" customHeight="1">
      <c r="A63" s="37" t="s">
        <v>153</v>
      </c>
      <c r="B63" s="43">
        <v>9999</v>
      </c>
      <c r="C63" s="38">
        <v>112605104</v>
      </c>
      <c r="D63" s="25" t="s">
        <v>157</v>
      </c>
      <c r="E63" s="26">
        <v>0</v>
      </c>
      <c r="F63" s="26">
        <v>150000000</v>
      </c>
      <c r="G63" s="26">
        <v>0</v>
      </c>
      <c r="H63" s="27">
        <v>150000000</v>
      </c>
      <c r="I63" s="44">
        <v>0</v>
      </c>
      <c r="J63" s="47">
        <v>150000000</v>
      </c>
      <c r="K63" s="47">
        <v>0</v>
      </c>
      <c r="L63" s="28">
        <f t="shared" si="16"/>
        <v>0</v>
      </c>
    </row>
    <row r="64" spans="1:12" ht="15" customHeight="1">
      <c r="A64" s="37" t="s">
        <v>153</v>
      </c>
      <c r="B64" s="43">
        <v>9999</v>
      </c>
      <c r="C64" s="38">
        <v>112605105</v>
      </c>
      <c r="D64" s="25" t="s">
        <v>158</v>
      </c>
      <c r="E64" s="26">
        <v>0</v>
      </c>
      <c r="F64" s="26">
        <v>10473100</v>
      </c>
      <c r="G64" s="26">
        <v>0</v>
      </c>
      <c r="H64" s="27">
        <v>10473100</v>
      </c>
      <c r="I64" s="44">
        <v>10470400</v>
      </c>
      <c r="J64" s="47">
        <v>2700</v>
      </c>
      <c r="K64" s="47">
        <v>0</v>
      </c>
      <c r="L64" s="28">
        <f t="shared" si="16"/>
        <v>0.999742196675292</v>
      </c>
    </row>
    <row r="65" spans="1:12" ht="15" customHeight="1">
      <c r="A65" s="37" t="s">
        <v>153</v>
      </c>
      <c r="B65" s="43">
        <v>9999</v>
      </c>
      <c r="C65" s="38">
        <v>112605106</v>
      </c>
      <c r="D65" s="25" t="s">
        <v>159</v>
      </c>
      <c r="E65" s="26">
        <v>0</v>
      </c>
      <c r="F65" s="26">
        <v>10106155</v>
      </c>
      <c r="G65" s="26">
        <v>0</v>
      </c>
      <c r="H65" s="27">
        <v>10106155</v>
      </c>
      <c r="I65" s="44">
        <v>0</v>
      </c>
      <c r="J65" s="47">
        <v>10106155</v>
      </c>
      <c r="K65" s="47">
        <v>0</v>
      </c>
      <c r="L65" s="28">
        <f t="shared" si="16"/>
        <v>0</v>
      </c>
    </row>
    <row r="66" spans="1:12" ht="15" customHeight="1">
      <c r="A66" s="37" t="s">
        <v>153</v>
      </c>
      <c r="B66" s="43">
        <v>9999</v>
      </c>
      <c r="C66" s="38">
        <v>112605107</v>
      </c>
      <c r="D66" s="25" t="s">
        <v>160</v>
      </c>
      <c r="E66" s="26">
        <v>0</v>
      </c>
      <c r="F66" s="26">
        <v>600000000</v>
      </c>
      <c r="G66" s="26">
        <v>0</v>
      </c>
      <c r="H66" s="27">
        <v>600000000</v>
      </c>
      <c r="I66" s="44">
        <v>0</v>
      </c>
      <c r="J66" s="47">
        <v>600000000</v>
      </c>
      <c r="K66" s="47">
        <f>I66</f>
        <v>0</v>
      </c>
      <c r="L66" s="28">
        <f t="shared" si="16"/>
        <v>0</v>
      </c>
    </row>
    <row r="67" spans="1:12" ht="15" customHeight="1">
      <c r="A67" s="37" t="s">
        <v>153</v>
      </c>
      <c r="B67" s="43">
        <v>9999</v>
      </c>
      <c r="C67" s="38">
        <v>112605108</v>
      </c>
      <c r="D67" s="25" t="s">
        <v>161</v>
      </c>
      <c r="E67" s="26">
        <v>0</v>
      </c>
      <c r="F67" s="26">
        <v>880000</v>
      </c>
      <c r="G67" s="26">
        <v>0</v>
      </c>
      <c r="H67" s="27">
        <v>880000</v>
      </c>
      <c r="I67" s="44">
        <v>880000</v>
      </c>
      <c r="J67" s="47">
        <v>0</v>
      </c>
      <c r="K67" s="47">
        <v>0</v>
      </c>
      <c r="L67" s="28">
        <f t="shared" si="16"/>
        <v>1</v>
      </c>
    </row>
    <row r="68" spans="1:11" ht="12.75" customHeight="1">
      <c r="A68" s="39"/>
      <c r="B68" s="23"/>
      <c r="C68" s="52">
        <v>1127</v>
      </c>
      <c r="D68" s="50" t="s">
        <v>162</v>
      </c>
      <c r="E68" s="51">
        <f>E69</f>
        <v>5000000</v>
      </c>
      <c r="F68" s="51">
        <f aca="true" t="shared" si="17" ref="F68:K68">F69</f>
        <v>0</v>
      </c>
      <c r="G68" s="51">
        <f t="shared" si="17"/>
        <v>0</v>
      </c>
      <c r="H68" s="51">
        <f t="shared" si="17"/>
        <v>5000000</v>
      </c>
      <c r="I68" s="93">
        <f t="shared" si="17"/>
        <v>1594600</v>
      </c>
      <c r="J68" s="53">
        <f t="shared" si="17"/>
        <v>3405400</v>
      </c>
      <c r="K68" s="53">
        <f t="shared" si="17"/>
        <v>5500000</v>
      </c>
    </row>
    <row r="69" spans="1:12" ht="15" customHeight="1">
      <c r="A69" s="25" t="s">
        <v>163</v>
      </c>
      <c r="B69" s="43">
        <v>9001</v>
      </c>
      <c r="C69" s="25">
        <v>112701</v>
      </c>
      <c r="D69" s="25" t="s">
        <v>164</v>
      </c>
      <c r="E69" s="26">
        <v>5000000</v>
      </c>
      <c r="F69" s="26">
        <v>0</v>
      </c>
      <c r="G69" s="26">
        <v>0</v>
      </c>
      <c r="H69" s="27">
        <v>5000000</v>
      </c>
      <c r="I69" s="44">
        <v>1594600</v>
      </c>
      <c r="J69" s="47">
        <v>3405400</v>
      </c>
      <c r="K69" s="47">
        <v>5500000</v>
      </c>
      <c r="L69" s="28">
        <f>I69/H69</f>
        <v>0.31892</v>
      </c>
    </row>
    <row r="70" spans="1:11" ht="12.75" customHeight="1">
      <c r="A70" s="25"/>
      <c r="B70" s="69"/>
      <c r="C70" s="50">
        <v>12</v>
      </c>
      <c r="D70" s="50" t="s">
        <v>165</v>
      </c>
      <c r="E70" s="51">
        <f>E71+E84</f>
        <v>70000000</v>
      </c>
      <c r="F70" s="51">
        <f aca="true" t="shared" si="18" ref="F70:K70">F71+F84</f>
        <v>871637784</v>
      </c>
      <c r="G70" s="51">
        <f t="shared" si="18"/>
        <v>0</v>
      </c>
      <c r="H70" s="51">
        <f t="shared" si="18"/>
        <v>941637784</v>
      </c>
      <c r="I70" s="93">
        <f t="shared" si="18"/>
        <v>913435941.79</v>
      </c>
      <c r="J70" s="53">
        <f t="shared" si="18"/>
        <v>28201842.21</v>
      </c>
      <c r="K70" s="53">
        <f t="shared" si="18"/>
        <v>70000000</v>
      </c>
    </row>
    <row r="71" spans="1:11" ht="12.75" customHeight="1">
      <c r="A71" s="25"/>
      <c r="B71" s="69"/>
      <c r="C71" s="50">
        <v>121</v>
      </c>
      <c r="D71" s="50" t="s">
        <v>166</v>
      </c>
      <c r="E71" s="53">
        <f aca="true" t="shared" si="19" ref="E71:J71">E72</f>
        <v>0</v>
      </c>
      <c r="F71" s="53">
        <f t="shared" si="19"/>
        <v>871637784</v>
      </c>
      <c r="G71" s="53">
        <f t="shared" si="19"/>
        <v>0</v>
      </c>
      <c r="H71" s="53">
        <f t="shared" si="19"/>
        <v>871637784</v>
      </c>
      <c r="I71" s="105">
        <f t="shared" si="19"/>
        <v>871637784</v>
      </c>
      <c r="J71" s="53">
        <f t="shared" si="19"/>
        <v>0</v>
      </c>
      <c r="K71" s="53">
        <f>K72</f>
        <v>0</v>
      </c>
    </row>
    <row r="72" spans="1:11" ht="12.75" customHeight="1">
      <c r="A72" s="25"/>
      <c r="B72" s="69"/>
      <c r="C72" s="50">
        <v>12101</v>
      </c>
      <c r="D72" s="50" t="s">
        <v>167</v>
      </c>
      <c r="E72" s="53">
        <f aca="true" t="shared" si="20" ref="E72:J72">E73+E77</f>
        <v>0</v>
      </c>
      <c r="F72" s="53">
        <f t="shared" si="20"/>
        <v>871637784</v>
      </c>
      <c r="G72" s="53">
        <f t="shared" si="20"/>
        <v>0</v>
      </c>
      <c r="H72" s="53">
        <f t="shared" si="20"/>
        <v>871637784</v>
      </c>
      <c r="I72" s="105">
        <f t="shared" si="20"/>
        <v>871637784</v>
      </c>
      <c r="J72" s="53">
        <f t="shared" si="20"/>
        <v>0</v>
      </c>
      <c r="K72" s="53">
        <f>K73+K77</f>
        <v>0</v>
      </c>
    </row>
    <row r="73" spans="1:11" ht="12.75" customHeight="1">
      <c r="A73" s="25"/>
      <c r="B73" s="69"/>
      <c r="C73" s="50">
        <v>1210101</v>
      </c>
      <c r="D73" s="50" t="s">
        <v>168</v>
      </c>
      <c r="E73" s="53">
        <f aca="true" t="shared" si="21" ref="E73:J73">SUM(E74:E76)</f>
        <v>0</v>
      </c>
      <c r="F73" s="53">
        <f t="shared" si="21"/>
        <v>446970360</v>
      </c>
      <c r="G73" s="53">
        <f t="shared" si="21"/>
        <v>0</v>
      </c>
      <c r="H73" s="53">
        <f t="shared" si="21"/>
        <v>446970360</v>
      </c>
      <c r="I73" s="105">
        <f t="shared" si="21"/>
        <v>446970360</v>
      </c>
      <c r="J73" s="53">
        <f t="shared" si="21"/>
        <v>0</v>
      </c>
      <c r="K73" s="53">
        <f>SUM(K74:K76)</f>
        <v>0</v>
      </c>
    </row>
    <row r="74" spans="1:12" ht="15" customHeight="1">
      <c r="A74" s="40" t="s">
        <v>169</v>
      </c>
      <c r="B74" s="43">
        <v>9999</v>
      </c>
      <c r="C74" s="25">
        <v>121010101</v>
      </c>
      <c r="D74" s="25" t="s">
        <v>170</v>
      </c>
      <c r="E74" s="26">
        <v>0</v>
      </c>
      <c r="F74" s="26">
        <v>335710428</v>
      </c>
      <c r="G74" s="26">
        <v>0</v>
      </c>
      <c r="H74" s="27">
        <v>335710428</v>
      </c>
      <c r="I74" s="44">
        <v>335710428</v>
      </c>
      <c r="J74" s="47">
        <v>0</v>
      </c>
      <c r="K74" s="47">
        <v>0</v>
      </c>
      <c r="L74" s="28">
        <f>I74/H74</f>
        <v>1</v>
      </c>
    </row>
    <row r="75" spans="1:12" ht="15" customHeight="1">
      <c r="A75" s="40" t="s">
        <v>171</v>
      </c>
      <c r="B75" s="43">
        <v>9999</v>
      </c>
      <c r="C75" s="25">
        <v>121010102</v>
      </c>
      <c r="D75" s="25" t="s">
        <v>172</v>
      </c>
      <c r="E75" s="26">
        <v>0</v>
      </c>
      <c r="F75" s="26">
        <v>6418792</v>
      </c>
      <c r="G75" s="26">
        <v>0</v>
      </c>
      <c r="H75" s="27">
        <v>6418792</v>
      </c>
      <c r="I75" s="44">
        <v>6418792</v>
      </c>
      <c r="J75" s="47">
        <v>0</v>
      </c>
      <c r="K75" s="47">
        <v>0</v>
      </c>
      <c r="L75" s="28">
        <f>I75/H75</f>
        <v>1</v>
      </c>
    </row>
    <row r="76" spans="1:12" ht="15" customHeight="1">
      <c r="A76" s="40" t="s">
        <v>171</v>
      </c>
      <c r="B76" s="43">
        <v>9999</v>
      </c>
      <c r="C76" s="25">
        <v>121010103</v>
      </c>
      <c r="D76" s="25" t="s">
        <v>173</v>
      </c>
      <c r="E76" s="26">
        <v>0</v>
      </c>
      <c r="F76" s="26">
        <v>104841140</v>
      </c>
      <c r="G76" s="26">
        <v>0</v>
      </c>
      <c r="H76" s="27">
        <v>104841140</v>
      </c>
      <c r="I76" s="44">
        <v>104841140</v>
      </c>
      <c r="J76" s="47">
        <v>0</v>
      </c>
      <c r="K76" s="47">
        <v>0</v>
      </c>
      <c r="L76" s="28">
        <f>I76/H76</f>
        <v>1</v>
      </c>
    </row>
    <row r="77" spans="1:11" ht="15" customHeight="1">
      <c r="A77" s="41"/>
      <c r="B77" s="71"/>
      <c r="C77" s="50">
        <v>1210102</v>
      </c>
      <c r="D77" s="50" t="s">
        <v>174</v>
      </c>
      <c r="E77" s="53">
        <f aca="true" t="shared" si="22" ref="E77:J77">SUM(E78:E83)</f>
        <v>0</v>
      </c>
      <c r="F77" s="53">
        <f t="shared" si="22"/>
        <v>424667424</v>
      </c>
      <c r="G77" s="53">
        <f t="shared" si="22"/>
        <v>0</v>
      </c>
      <c r="H77" s="53">
        <f t="shared" si="22"/>
        <v>424667424</v>
      </c>
      <c r="I77" s="105">
        <f t="shared" si="22"/>
        <v>424667424</v>
      </c>
      <c r="J77" s="53">
        <f t="shared" si="22"/>
        <v>0</v>
      </c>
      <c r="K77" s="53">
        <f>SUM(K78:K83)</f>
        <v>0</v>
      </c>
    </row>
    <row r="78" spans="1:12" ht="15" customHeight="1">
      <c r="A78" s="40" t="s">
        <v>171</v>
      </c>
      <c r="B78" s="43">
        <v>9999</v>
      </c>
      <c r="C78" s="25">
        <v>121010201</v>
      </c>
      <c r="D78" s="25" t="s">
        <v>175</v>
      </c>
      <c r="E78" s="26">
        <v>0</v>
      </c>
      <c r="F78" s="26">
        <v>979760</v>
      </c>
      <c r="G78" s="26">
        <v>0</v>
      </c>
      <c r="H78" s="27">
        <v>979760</v>
      </c>
      <c r="I78" s="44">
        <v>979760</v>
      </c>
      <c r="J78" s="47">
        <v>0</v>
      </c>
      <c r="K78" s="47">
        <v>0</v>
      </c>
      <c r="L78" s="28">
        <f aca="true" t="shared" si="23" ref="L78:L83">I78/H78</f>
        <v>1</v>
      </c>
    </row>
    <row r="79" spans="1:12" ht="15" customHeight="1">
      <c r="A79" s="40" t="s">
        <v>169</v>
      </c>
      <c r="B79" s="43">
        <v>9999</v>
      </c>
      <c r="C79" s="25">
        <v>121010202</v>
      </c>
      <c r="D79" s="25" t="s">
        <v>170</v>
      </c>
      <c r="E79" s="26">
        <v>0</v>
      </c>
      <c r="F79" s="26">
        <v>380485148</v>
      </c>
      <c r="G79" s="26">
        <v>0</v>
      </c>
      <c r="H79" s="27">
        <v>380485148</v>
      </c>
      <c r="I79" s="44">
        <v>380485148</v>
      </c>
      <c r="J79" s="47">
        <v>0</v>
      </c>
      <c r="K79" s="47">
        <v>0</v>
      </c>
      <c r="L79" s="28">
        <f t="shared" si="23"/>
        <v>1</v>
      </c>
    </row>
    <row r="80" spans="1:12" ht="15" customHeight="1">
      <c r="A80" s="40" t="s">
        <v>171</v>
      </c>
      <c r="B80" s="43">
        <v>9999</v>
      </c>
      <c r="C80" s="25">
        <v>121010205</v>
      </c>
      <c r="D80" s="25" t="s">
        <v>176</v>
      </c>
      <c r="E80" s="26">
        <v>0</v>
      </c>
      <c r="F80" s="26">
        <v>14673693</v>
      </c>
      <c r="G80" s="26">
        <v>0</v>
      </c>
      <c r="H80" s="27">
        <v>14673693</v>
      </c>
      <c r="I80" s="44">
        <v>14673693</v>
      </c>
      <c r="J80" s="47">
        <v>0</v>
      </c>
      <c r="K80" s="47">
        <v>0</v>
      </c>
      <c r="L80" s="28">
        <f t="shared" si="23"/>
        <v>1</v>
      </c>
    </row>
    <row r="81" spans="1:12" ht="15" customHeight="1">
      <c r="A81" s="40" t="s">
        <v>171</v>
      </c>
      <c r="B81" s="43">
        <v>9999</v>
      </c>
      <c r="C81" s="25">
        <v>121010206</v>
      </c>
      <c r="D81" s="25" t="s">
        <v>177</v>
      </c>
      <c r="E81" s="26">
        <v>0</v>
      </c>
      <c r="F81" s="26">
        <v>8892350</v>
      </c>
      <c r="G81" s="26">
        <v>0</v>
      </c>
      <c r="H81" s="27">
        <v>8892350</v>
      </c>
      <c r="I81" s="44">
        <v>8892350</v>
      </c>
      <c r="J81" s="47">
        <v>0</v>
      </c>
      <c r="K81" s="47">
        <v>0</v>
      </c>
      <c r="L81" s="28">
        <f t="shared" si="23"/>
        <v>1</v>
      </c>
    </row>
    <row r="82" spans="1:12" ht="15" customHeight="1">
      <c r="A82" s="40" t="s">
        <v>171</v>
      </c>
      <c r="B82" s="43">
        <v>9999</v>
      </c>
      <c r="C82" s="25">
        <v>121010207</v>
      </c>
      <c r="D82" s="25" t="s">
        <v>178</v>
      </c>
      <c r="E82" s="26">
        <v>0</v>
      </c>
      <c r="F82" s="26">
        <v>18932191</v>
      </c>
      <c r="G82" s="26">
        <v>0</v>
      </c>
      <c r="H82" s="27">
        <v>18932191</v>
      </c>
      <c r="I82" s="44">
        <v>18932191</v>
      </c>
      <c r="J82" s="47">
        <v>0</v>
      </c>
      <c r="K82" s="47">
        <v>0</v>
      </c>
      <c r="L82" s="28">
        <f t="shared" si="23"/>
        <v>1</v>
      </c>
    </row>
    <row r="83" spans="1:12" ht="15" customHeight="1">
      <c r="A83" s="40" t="s">
        <v>171</v>
      </c>
      <c r="B83" s="43">
        <v>9999</v>
      </c>
      <c r="C83" s="25">
        <v>121010208</v>
      </c>
      <c r="D83" s="25" t="s">
        <v>179</v>
      </c>
      <c r="E83" s="26">
        <v>0</v>
      </c>
      <c r="F83" s="26">
        <v>704282</v>
      </c>
      <c r="G83" s="26">
        <v>0</v>
      </c>
      <c r="H83" s="27">
        <v>704282</v>
      </c>
      <c r="I83" s="44">
        <v>704282</v>
      </c>
      <c r="J83" s="47">
        <v>0</v>
      </c>
      <c r="K83" s="47">
        <v>0</v>
      </c>
      <c r="L83" s="28">
        <f t="shared" si="23"/>
        <v>1</v>
      </c>
    </row>
    <row r="84" spans="1:11" ht="12.75" customHeight="1">
      <c r="A84" s="25"/>
      <c r="B84" s="69"/>
      <c r="C84" s="50">
        <v>122</v>
      </c>
      <c r="D84" s="50" t="s">
        <v>180</v>
      </c>
      <c r="E84" s="53">
        <f aca="true" t="shared" si="24" ref="E84:J84">SUM(E85:E87)</f>
        <v>70000000</v>
      </c>
      <c r="F84" s="53">
        <f t="shared" si="24"/>
        <v>0</v>
      </c>
      <c r="G84" s="53">
        <f t="shared" si="24"/>
        <v>0</v>
      </c>
      <c r="H84" s="53">
        <f t="shared" si="24"/>
        <v>70000000</v>
      </c>
      <c r="I84" s="105">
        <f t="shared" si="24"/>
        <v>41798157.79</v>
      </c>
      <c r="J84" s="53">
        <f t="shared" si="24"/>
        <v>28201842.21</v>
      </c>
      <c r="K84" s="53">
        <f>SUM(K85:K87)</f>
        <v>70000000</v>
      </c>
    </row>
    <row r="85" spans="1:12" ht="15" customHeight="1">
      <c r="A85" s="25" t="s">
        <v>181</v>
      </c>
      <c r="B85" s="43">
        <v>9001</v>
      </c>
      <c r="C85" s="25">
        <v>12201</v>
      </c>
      <c r="D85" s="29" t="s">
        <v>221</v>
      </c>
      <c r="E85" s="26">
        <v>70000000</v>
      </c>
      <c r="F85" s="26">
        <v>0</v>
      </c>
      <c r="G85" s="26">
        <v>0</v>
      </c>
      <c r="H85" s="27">
        <v>70000000</v>
      </c>
      <c r="I85" s="44">
        <v>41798157.79</v>
      </c>
      <c r="J85" s="47">
        <v>28201842.21</v>
      </c>
      <c r="K85" s="47">
        <v>10000000</v>
      </c>
      <c r="L85" s="28">
        <f>I85/H85</f>
        <v>0.5971165398571429</v>
      </c>
    </row>
    <row r="86" spans="1:12" ht="15" customHeight="1">
      <c r="A86" s="29" t="s">
        <v>223</v>
      </c>
      <c r="B86" s="43">
        <v>9001</v>
      </c>
      <c r="C86" s="25">
        <v>12202</v>
      </c>
      <c r="D86" s="29" t="s">
        <v>219</v>
      </c>
      <c r="E86" s="26">
        <v>0</v>
      </c>
      <c r="F86" s="26">
        <v>0</v>
      </c>
      <c r="G86" s="26">
        <v>0</v>
      </c>
      <c r="H86" s="26">
        <v>0</v>
      </c>
      <c r="I86" s="46">
        <v>0</v>
      </c>
      <c r="J86" s="109">
        <v>0</v>
      </c>
      <c r="K86" s="47">
        <v>40000000</v>
      </c>
      <c r="L86" s="28" t="e">
        <f>I86/H86</f>
        <v>#DIV/0!</v>
      </c>
    </row>
    <row r="87" spans="1:12" ht="15" customHeight="1">
      <c r="A87" s="29" t="s">
        <v>223</v>
      </c>
      <c r="B87" s="43">
        <v>9001</v>
      </c>
      <c r="C87" s="25">
        <v>12203</v>
      </c>
      <c r="D87" s="29" t="s">
        <v>220</v>
      </c>
      <c r="E87" s="26">
        <v>0</v>
      </c>
      <c r="F87" s="26">
        <v>0</v>
      </c>
      <c r="G87" s="26">
        <v>0</v>
      </c>
      <c r="H87" s="26">
        <v>0</v>
      </c>
      <c r="I87" s="46">
        <v>0</v>
      </c>
      <c r="J87" s="109">
        <v>0</v>
      </c>
      <c r="K87" s="47">
        <v>20000000</v>
      </c>
      <c r="L87" s="28" t="e">
        <f>I87/H87</f>
        <v>#DIV/0!</v>
      </c>
    </row>
    <row r="88" spans="1:11" ht="12.75" customHeight="1">
      <c r="A88" s="25"/>
      <c r="B88" s="69"/>
      <c r="C88" s="50">
        <v>13</v>
      </c>
      <c r="D88" s="50" t="s">
        <v>182</v>
      </c>
      <c r="E88" s="53">
        <f aca="true" t="shared" si="25" ref="E88:J88">E89+E91+E93+E103</f>
        <v>1598068081</v>
      </c>
      <c r="F88" s="53">
        <f t="shared" si="25"/>
        <v>198148102</v>
      </c>
      <c r="G88" s="53">
        <f t="shared" si="25"/>
        <v>18281445</v>
      </c>
      <c r="H88" s="53">
        <f t="shared" si="25"/>
        <v>1777934738</v>
      </c>
      <c r="I88" s="105">
        <f t="shared" si="25"/>
        <v>1018730033.15</v>
      </c>
      <c r="J88" s="53">
        <f t="shared" si="25"/>
        <v>759204704.85</v>
      </c>
      <c r="K88" s="53">
        <f>K89+K91+K93+K103</f>
        <v>1723196088</v>
      </c>
    </row>
    <row r="89" spans="1:11" ht="12.75" customHeight="1">
      <c r="A89" s="25"/>
      <c r="B89" s="69"/>
      <c r="C89" s="50">
        <v>131</v>
      </c>
      <c r="D89" s="50" t="s">
        <v>183</v>
      </c>
      <c r="E89" s="51">
        <v>254276000</v>
      </c>
      <c r="F89" s="51">
        <v>0</v>
      </c>
      <c r="G89" s="51">
        <v>0</v>
      </c>
      <c r="H89" s="54">
        <v>254276000</v>
      </c>
      <c r="I89" s="55">
        <v>176806396</v>
      </c>
      <c r="J89" s="53">
        <v>77469604</v>
      </c>
      <c r="K89" s="53">
        <f>K90</f>
        <v>277800000</v>
      </c>
    </row>
    <row r="90" spans="1:13" ht="15" customHeight="1">
      <c r="A90" s="25" t="s">
        <v>184</v>
      </c>
      <c r="B90" s="43">
        <v>9001</v>
      </c>
      <c r="C90" s="25">
        <v>13101</v>
      </c>
      <c r="D90" s="25" t="s">
        <v>185</v>
      </c>
      <c r="E90" s="26">
        <v>254276000</v>
      </c>
      <c r="F90" s="26">
        <v>0</v>
      </c>
      <c r="G90" s="26">
        <v>0</v>
      </c>
      <c r="H90" s="27">
        <v>254276000</v>
      </c>
      <c r="I90" s="44">
        <v>176806396</v>
      </c>
      <c r="J90" s="47">
        <v>77469604</v>
      </c>
      <c r="K90" s="47">
        <v>277800000</v>
      </c>
      <c r="L90" s="28">
        <f>I90/H90</f>
        <v>0.6953326149538297</v>
      </c>
      <c r="M90" s="89"/>
    </row>
    <row r="91" spans="1:11" ht="12.75" customHeight="1">
      <c r="A91" s="25"/>
      <c r="B91" s="69"/>
      <c r="C91" s="50">
        <v>132</v>
      </c>
      <c r="D91" s="50" t="s">
        <v>186</v>
      </c>
      <c r="E91" s="53">
        <f aca="true" t="shared" si="26" ref="E91:J91">E92</f>
        <v>10000000</v>
      </c>
      <c r="F91" s="53">
        <f t="shared" si="26"/>
        <v>0</v>
      </c>
      <c r="G91" s="53">
        <f t="shared" si="26"/>
        <v>0</v>
      </c>
      <c r="H91" s="53">
        <f t="shared" si="26"/>
        <v>10000000</v>
      </c>
      <c r="I91" s="105">
        <f t="shared" si="26"/>
        <v>499684</v>
      </c>
      <c r="J91" s="53">
        <f t="shared" si="26"/>
        <v>9500316</v>
      </c>
      <c r="K91" s="53">
        <f>K92</f>
        <v>15000000</v>
      </c>
    </row>
    <row r="92" spans="1:12" ht="15" customHeight="1">
      <c r="A92" s="25" t="s">
        <v>187</v>
      </c>
      <c r="B92" s="43">
        <v>9001</v>
      </c>
      <c r="C92" s="25">
        <v>13201</v>
      </c>
      <c r="D92" s="25" t="s">
        <v>188</v>
      </c>
      <c r="E92" s="26">
        <v>10000000</v>
      </c>
      <c r="F92" s="26">
        <v>0</v>
      </c>
      <c r="G92" s="26">
        <v>0</v>
      </c>
      <c r="H92" s="27">
        <v>10000000</v>
      </c>
      <c r="I92" s="44">
        <v>499684</v>
      </c>
      <c r="J92" s="47">
        <v>9500316</v>
      </c>
      <c r="K92" s="47">
        <v>15000000</v>
      </c>
      <c r="L92" s="28">
        <f>I92/H92</f>
        <v>0.0499684</v>
      </c>
    </row>
    <row r="93" spans="1:11" ht="12.75" customHeight="1">
      <c r="A93" s="25"/>
      <c r="B93" s="69"/>
      <c r="C93" s="50">
        <v>133</v>
      </c>
      <c r="D93" s="50" t="s">
        <v>189</v>
      </c>
      <c r="E93" s="53">
        <f aca="true" t="shared" si="27" ref="E93:J93">SUM(E94:E102)</f>
        <v>1313269081</v>
      </c>
      <c r="F93" s="53">
        <f t="shared" si="27"/>
        <v>198148102</v>
      </c>
      <c r="G93" s="53">
        <f t="shared" si="27"/>
        <v>18281445</v>
      </c>
      <c r="H93" s="53">
        <f t="shared" si="27"/>
        <v>1493135738</v>
      </c>
      <c r="I93" s="105">
        <f t="shared" si="27"/>
        <v>841423953.15</v>
      </c>
      <c r="J93" s="53">
        <f t="shared" si="27"/>
        <v>651711784.85</v>
      </c>
      <c r="K93" s="53">
        <f>SUM(K94:K102)</f>
        <v>1389896088</v>
      </c>
    </row>
    <row r="94" spans="1:12" ht="15" customHeight="1">
      <c r="A94" s="25" t="s">
        <v>190</v>
      </c>
      <c r="B94" s="43">
        <v>9004</v>
      </c>
      <c r="C94" s="25">
        <v>13301</v>
      </c>
      <c r="D94" s="25" t="s">
        <v>191</v>
      </c>
      <c r="E94" s="26">
        <v>784940153</v>
      </c>
      <c r="F94" s="26">
        <v>0</v>
      </c>
      <c r="G94" s="26">
        <v>13845950</v>
      </c>
      <c r="H94" s="27">
        <v>771094203</v>
      </c>
      <c r="I94" s="44">
        <v>516639936</v>
      </c>
      <c r="J94" s="47">
        <v>254454267</v>
      </c>
      <c r="K94" s="47">
        <v>699749243</v>
      </c>
      <c r="L94" s="28">
        <f aca="true" t="shared" si="28" ref="L94:L102">I94/H94</f>
        <v>0.6700088445613693</v>
      </c>
    </row>
    <row r="95" spans="1:12" ht="15" customHeight="1">
      <c r="A95" s="25" t="s">
        <v>192</v>
      </c>
      <c r="B95" s="43">
        <v>9004</v>
      </c>
      <c r="C95" s="25">
        <v>13302</v>
      </c>
      <c r="D95" s="25" t="s">
        <v>193</v>
      </c>
      <c r="E95" s="26">
        <v>4879044</v>
      </c>
      <c r="F95" s="26">
        <v>0</v>
      </c>
      <c r="G95" s="26">
        <v>4435495</v>
      </c>
      <c r="H95" s="27">
        <v>443549</v>
      </c>
      <c r="I95" s="44">
        <v>443549</v>
      </c>
      <c r="J95" s="47">
        <v>0</v>
      </c>
      <c r="K95" s="47">
        <v>0</v>
      </c>
      <c r="L95" s="28">
        <f t="shared" si="28"/>
        <v>1</v>
      </c>
    </row>
    <row r="96" spans="1:12" ht="15" customHeight="1">
      <c r="A96" s="36" t="s">
        <v>194</v>
      </c>
      <c r="B96" s="43">
        <v>9004</v>
      </c>
      <c r="C96" s="25">
        <v>13303</v>
      </c>
      <c r="D96" s="25" t="s">
        <v>195</v>
      </c>
      <c r="E96" s="26">
        <v>104496436</v>
      </c>
      <c r="F96" s="26">
        <v>9499676</v>
      </c>
      <c r="G96" s="26">
        <v>0</v>
      </c>
      <c r="H96" s="27">
        <v>113996112</v>
      </c>
      <c r="I96" s="44">
        <v>75997408</v>
      </c>
      <c r="J96" s="47">
        <v>37998704</v>
      </c>
      <c r="K96" s="47">
        <v>104496436</v>
      </c>
      <c r="L96" s="28">
        <f t="shared" si="28"/>
        <v>0.6666666666666666</v>
      </c>
    </row>
    <row r="97" spans="1:12" ht="15" customHeight="1">
      <c r="A97" s="39" t="s">
        <v>196</v>
      </c>
      <c r="B97" s="43">
        <v>9011</v>
      </c>
      <c r="C97" s="38">
        <v>13304</v>
      </c>
      <c r="D97" s="25" t="s">
        <v>197</v>
      </c>
      <c r="E97" s="26">
        <v>17000000</v>
      </c>
      <c r="F97" s="26">
        <v>0</v>
      </c>
      <c r="G97" s="26">
        <v>0</v>
      </c>
      <c r="H97" s="27">
        <v>17000000</v>
      </c>
      <c r="I97" s="44">
        <v>12447721.149999999</v>
      </c>
      <c r="J97" s="47">
        <v>4552278.8500000015</v>
      </c>
      <c r="K97" s="47">
        <v>19000000</v>
      </c>
      <c r="L97" s="28">
        <f t="shared" si="28"/>
        <v>0.7322188911764705</v>
      </c>
    </row>
    <row r="98" spans="1:12" ht="15" customHeight="1">
      <c r="A98" s="39" t="s">
        <v>198</v>
      </c>
      <c r="B98" s="43">
        <v>9010</v>
      </c>
      <c r="C98" s="38">
        <v>13305</v>
      </c>
      <c r="D98" s="25" t="s">
        <v>199</v>
      </c>
      <c r="E98" s="26">
        <v>370606846</v>
      </c>
      <c r="F98" s="26">
        <v>0</v>
      </c>
      <c r="G98" s="26">
        <v>0</v>
      </c>
      <c r="H98" s="27">
        <v>370606846</v>
      </c>
      <c r="I98" s="44">
        <v>109994571</v>
      </c>
      <c r="J98" s="47">
        <v>260612275</v>
      </c>
      <c r="K98" s="47">
        <v>566650409</v>
      </c>
      <c r="L98" s="28">
        <f t="shared" si="28"/>
        <v>0.29679584224410144</v>
      </c>
    </row>
    <row r="99" spans="1:12" ht="15" customHeight="1">
      <c r="A99" s="39" t="s">
        <v>200</v>
      </c>
      <c r="B99" s="43">
        <v>9999</v>
      </c>
      <c r="C99" s="38">
        <v>13306</v>
      </c>
      <c r="D99" s="25" t="s">
        <v>201</v>
      </c>
      <c r="E99" s="26">
        <v>31346602</v>
      </c>
      <c r="F99" s="26">
        <v>0</v>
      </c>
      <c r="G99" s="26">
        <v>0</v>
      </c>
      <c r="H99" s="27">
        <v>31346602</v>
      </c>
      <c r="I99" s="44">
        <v>0</v>
      </c>
      <c r="J99" s="47">
        <v>31346602</v>
      </c>
      <c r="K99" s="47">
        <f>I99</f>
        <v>0</v>
      </c>
      <c r="L99" s="28">
        <f t="shared" si="28"/>
        <v>0</v>
      </c>
    </row>
    <row r="100" spans="1:12" ht="15" customHeight="1">
      <c r="A100" s="37" t="s">
        <v>202</v>
      </c>
      <c r="B100" s="43">
        <v>9999</v>
      </c>
      <c r="C100" s="38">
        <v>13307</v>
      </c>
      <c r="D100" s="25" t="s">
        <v>203</v>
      </c>
      <c r="E100" s="26">
        <v>0</v>
      </c>
      <c r="F100" s="26">
        <v>179858241</v>
      </c>
      <c r="G100" s="26">
        <v>0</v>
      </c>
      <c r="H100" s="27">
        <v>179858241</v>
      </c>
      <c r="I100" s="44">
        <v>125900768</v>
      </c>
      <c r="J100" s="47">
        <v>53957473</v>
      </c>
      <c r="K100" s="47">
        <v>0</v>
      </c>
      <c r="L100" s="28">
        <f t="shared" si="28"/>
        <v>0.699999996108046</v>
      </c>
    </row>
    <row r="101" spans="1:12" ht="15" customHeight="1">
      <c r="A101" s="37" t="s">
        <v>202</v>
      </c>
      <c r="B101" s="43">
        <v>9999</v>
      </c>
      <c r="C101" s="25">
        <v>13308</v>
      </c>
      <c r="D101" s="25" t="s">
        <v>204</v>
      </c>
      <c r="E101" s="26">
        <v>0</v>
      </c>
      <c r="F101" s="26">
        <v>6400620</v>
      </c>
      <c r="G101" s="26">
        <v>0</v>
      </c>
      <c r="H101" s="27">
        <v>6400620</v>
      </c>
      <c r="I101" s="44">
        <v>0</v>
      </c>
      <c r="J101" s="47">
        <v>6400620</v>
      </c>
      <c r="K101" s="47">
        <f>I101</f>
        <v>0</v>
      </c>
      <c r="L101" s="28">
        <f t="shared" si="28"/>
        <v>0</v>
      </c>
    </row>
    <row r="102" spans="1:12" ht="15" customHeight="1">
      <c r="A102" s="37" t="s">
        <v>202</v>
      </c>
      <c r="B102" s="43">
        <v>9999</v>
      </c>
      <c r="C102" s="25">
        <v>13309</v>
      </c>
      <c r="D102" s="25" t="s">
        <v>205</v>
      </c>
      <c r="E102" s="26">
        <v>0</v>
      </c>
      <c r="F102" s="26">
        <v>2389565</v>
      </c>
      <c r="G102" s="26">
        <v>0</v>
      </c>
      <c r="H102" s="27">
        <v>2389565</v>
      </c>
      <c r="I102" s="44">
        <v>0</v>
      </c>
      <c r="J102" s="47">
        <v>2389565</v>
      </c>
      <c r="K102" s="47">
        <f>I102</f>
        <v>0</v>
      </c>
      <c r="L102" s="28">
        <f t="shared" si="28"/>
        <v>0</v>
      </c>
    </row>
    <row r="103" spans="1:11" ht="12.75" customHeight="1">
      <c r="A103" s="25"/>
      <c r="B103" s="69"/>
      <c r="C103" s="50">
        <v>134</v>
      </c>
      <c r="D103" s="50" t="s">
        <v>206</v>
      </c>
      <c r="E103" s="53">
        <f aca="true" t="shared" si="29" ref="E103:J103">SUM(E104:E107)</f>
        <v>20523000</v>
      </c>
      <c r="F103" s="53">
        <f t="shared" si="29"/>
        <v>0</v>
      </c>
      <c r="G103" s="53">
        <f t="shared" si="29"/>
        <v>0</v>
      </c>
      <c r="H103" s="53">
        <f t="shared" si="29"/>
        <v>20523000</v>
      </c>
      <c r="I103" s="105">
        <f t="shared" si="29"/>
        <v>0</v>
      </c>
      <c r="J103" s="53">
        <f t="shared" si="29"/>
        <v>20523000</v>
      </c>
      <c r="K103" s="53">
        <f>SUM(K104:K107)</f>
        <v>40500000</v>
      </c>
    </row>
    <row r="104" spans="1:12" ht="15" customHeight="1">
      <c r="A104" s="25" t="s">
        <v>207</v>
      </c>
      <c r="B104" s="43">
        <v>9001</v>
      </c>
      <c r="C104" s="25">
        <v>13401</v>
      </c>
      <c r="D104" s="25" t="s">
        <v>208</v>
      </c>
      <c r="E104" s="26">
        <v>523000</v>
      </c>
      <c r="F104" s="26">
        <v>0</v>
      </c>
      <c r="G104" s="26">
        <v>0</v>
      </c>
      <c r="H104" s="27">
        <v>523000</v>
      </c>
      <c r="I104" s="44">
        <v>0</v>
      </c>
      <c r="J104" s="47">
        <v>523000</v>
      </c>
      <c r="K104" s="47">
        <v>500000</v>
      </c>
      <c r="L104" s="28">
        <f>I104/H104</f>
        <v>0</v>
      </c>
    </row>
    <row r="105" spans="1:12" ht="15" customHeight="1">
      <c r="A105" s="25" t="s">
        <v>209</v>
      </c>
      <c r="B105" s="43">
        <v>9001</v>
      </c>
      <c r="C105" s="25">
        <v>13402</v>
      </c>
      <c r="D105" s="25" t="s">
        <v>210</v>
      </c>
      <c r="E105" s="26">
        <v>20000000</v>
      </c>
      <c r="F105" s="26">
        <v>0</v>
      </c>
      <c r="G105" s="26">
        <v>0</v>
      </c>
      <c r="H105" s="27">
        <v>20000000</v>
      </c>
      <c r="I105" s="44">
        <v>0</v>
      </c>
      <c r="J105" s="47">
        <v>20000000</v>
      </c>
      <c r="K105" s="47">
        <v>10000000</v>
      </c>
      <c r="L105" s="28">
        <f>I105/H105</f>
        <v>0</v>
      </c>
    </row>
    <row r="106" spans="1:12" ht="15" customHeight="1">
      <c r="A106" s="29" t="s">
        <v>223</v>
      </c>
      <c r="B106" s="43">
        <v>9001</v>
      </c>
      <c r="C106" s="25">
        <v>13403</v>
      </c>
      <c r="D106" s="29" t="s">
        <v>211</v>
      </c>
      <c r="E106" s="26">
        <v>0</v>
      </c>
      <c r="F106" s="26">
        <v>0</v>
      </c>
      <c r="G106" s="26">
        <v>0</v>
      </c>
      <c r="H106" s="27">
        <v>0</v>
      </c>
      <c r="I106" s="44">
        <v>0</v>
      </c>
      <c r="J106" s="47">
        <v>0</v>
      </c>
      <c r="K106" s="47">
        <v>30000000</v>
      </c>
      <c r="L106" s="28" t="e">
        <f>I106/H106</f>
        <v>#DIV/0!</v>
      </c>
    </row>
    <row r="107" spans="1:12" s="34" customFormat="1" ht="15" customHeight="1">
      <c r="A107" s="75" t="s">
        <v>223</v>
      </c>
      <c r="B107" s="76">
        <v>9001</v>
      </c>
      <c r="C107" s="30">
        <v>13404</v>
      </c>
      <c r="D107" s="75" t="s">
        <v>212</v>
      </c>
      <c r="E107" s="31">
        <v>0</v>
      </c>
      <c r="F107" s="31">
        <v>0</v>
      </c>
      <c r="G107" s="31">
        <v>0</v>
      </c>
      <c r="H107" s="32">
        <v>0</v>
      </c>
      <c r="I107" s="45">
        <v>0</v>
      </c>
      <c r="J107" s="48">
        <v>0</v>
      </c>
      <c r="K107" s="48">
        <v>0</v>
      </c>
      <c r="L107" s="33" t="e">
        <f>I107/H107</f>
        <v>#DIV/0!</v>
      </c>
    </row>
    <row r="109" spans="5:11" ht="15" customHeight="1">
      <c r="E109" s="26">
        <f aca="true" t="shared" si="30" ref="E109:K109">SUBTOTAL(9,E6:E108)</f>
        <v>19297381229</v>
      </c>
      <c r="F109" s="26">
        <f t="shared" si="30"/>
        <v>15048883932</v>
      </c>
      <c r="G109" s="26">
        <f t="shared" si="30"/>
        <v>73125780</v>
      </c>
      <c r="H109" s="26">
        <f t="shared" si="30"/>
        <v>34273139381</v>
      </c>
      <c r="I109" s="26">
        <f t="shared" si="30"/>
        <v>19788680212.760006</v>
      </c>
      <c r="J109" s="26">
        <f t="shared" si="30"/>
        <v>14485544168.239998</v>
      </c>
      <c r="K109" s="26">
        <f t="shared" si="30"/>
        <v>23298220780.75</v>
      </c>
    </row>
    <row r="110" spans="8:11" ht="15" customHeight="1">
      <c r="H110" s="42"/>
      <c r="I110" s="42"/>
      <c r="J110" s="42"/>
      <c r="K110" s="42"/>
    </row>
    <row r="111" ht="12.75">
      <c r="K111" s="42"/>
    </row>
    <row r="112" ht="12.75">
      <c r="K112" s="42"/>
    </row>
    <row r="113" ht="12.75">
      <c r="K113" s="42"/>
    </row>
    <row r="114" ht="12.75">
      <c r="K114" s="42"/>
    </row>
  </sheetData>
  <sheetProtection/>
  <autoFilter ref="A5:K107"/>
  <mergeCells count="4">
    <mergeCell ref="E4:J4"/>
    <mergeCell ref="C1:K1"/>
    <mergeCell ref="C3:K3"/>
    <mergeCell ref="C2:K2"/>
  </mergeCells>
  <printOptions horizontalCentered="1"/>
  <pageMargins left="0.1968503937007874" right="0.1968503937007874" top="0.5905511811023623" bottom="1.3779527559055118" header="0.31496062992125984" footer="0.31496062992125984"/>
  <pageSetup fitToHeight="2" fitToWidth="1" horizontalDpi="600" verticalDpi="600" orientation="portrait" paperSize="5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314" sqref="E314"/>
    </sheetView>
  </sheetViews>
  <sheetFormatPr defaultColWidth="11.421875" defaultRowHeight="12.75"/>
  <cols>
    <col min="1" max="1" width="11.421875" style="56" customWidth="1"/>
    <col min="2" max="2" width="10.7109375" style="56" customWidth="1"/>
    <col min="3" max="3" width="10.7109375" style="57" customWidth="1"/>
    <col min="4" max="4" width="10.7109375" style="56" customWidth="1"/>
    <col min="5" max="5" width="73.00390625" style="56" customWidth="1"/>
    <col min="6" max="6" width="16.7109375" style="58" customWidth="1"/>
    <col min="7" max="7" width="13.7109375" style="58" customWidth="1"/>
    <col min="8" max="16384" width="11.421875" style="56" customWidth="1"/>
  </cols>
  <sheetData>
    <row r="1" spans="3:6" ht="12.75">
      <c r="C1" s="126" t="s">
        <v>591</v>
      </c>
      <c r="D1" s="126"/>
      <c r="E1" s="126"/>
      <c r="F1" s="126"/>
    </row>
    <row r="2" spans="3:6" ht="12.75">
      <c r="C2" s="127" t="s">
        <v>600</v>
      </c>
      <c r="D2" s="127"/>
      <c r="E2" s="127"/>
      <c r="F2" s="127"/>
    </row>
    <row r="3" spans="3:6" ht="12.75">
      <c r="C3" s="127" t="s">
        <v>592</v>
      </c>
      <c r="D3" s="127"/>
      <c r="E3" s="127"/>
      <c r="F3" s="127"/>
    </row>
    <row r="5" spans="1:6" ht="15" customHeight="1">
      <c r="A5" s="43" t="s">
        <v>543</v>
      </c>
      <c r="B5" s="43" t="s">
        <v>463</v>
      </c>
      <c r="C5" s="43" t="s">
        <v>464</v>
      </c>
      <c r="D5" s="43" t="s">
        <v>544</v>
      </c>
      <c r="E5" s="79" t="s">
        <v>545</v>
      </c>
      <c r="F5" s="59" t="s">
        <v>601</v>
      </c>
    </row>
    <row r="6" spans="1:7" s="81" customFormat="1" ht="12.75" customHeight="1">
      <c r="A6" s="78"/>
      <c r="B6" s="78"/>
      <c r="C6" s="79"/>
      <c r="D6" s="78">
        <v>2</v>
      </c>
      <c r="E6" s="78" t="s">
        <v>224</v>
      </c>
      <c r="F6" s="51">
        <f>F7+F207+F214</f>
        <v>5018283373.666667</v>
      </c>
      <c r="G6" s="80">
        <f>+Ingresos!K6-Gastos!F6</f>
        <v>0.08333301544189453</v>
      </c>
    </row>
    <row r="7" spans="1:6" ht="12.75" customHeight="1">
      <c r="A7" s="60"/>
      <c r="B7" s="60"/>
      <c r="C7" s="43"/>
      <c r="D7" s="78">
        <v>21</v>
      </c>
      <c r="E7" s="78" t="s">
        <v>225</v>
      </c>
      <c r="F7" s="51">
        <f>F8+F51+F90+F160</f>
        <v>1633615203.6666667</v>
      </c>
    </row>
    <row r="8" spans="1:7" ht="12.75" customHeight="1">
      <c r="A8" s="60"/>
      <c r="B8" s="60" t="s">
        <v>465</v>
      </c>
      <c r="C8" s="43"/>
      <c r="D8" s="78">
        <v>211</v>
      </c>
      <c r="E8" s="78" t="s">
        <v>226</v>
      </c>
      <c r="F8" s="51">
        <f>F9+F32</f>
        <v>94707494</v>
      </c>
      <c r="G8" s="58">
        <f>94707494-F8</f>
        <v>0</v>
      </c>
    </row>
    <row r="9" spans="1:6" ht="12.75" customHeight="1">
      <c r="A9" s="60"/>
      <c r="B9" s="60" t="s">
        <v>465</v>
      </c>
      <c r="C9" s="43"/>
      <c r="D9" s="78">
        <v>2111</v>
      </c>
      <c r="E9" s="78" t="s">
        <v>227</v>
      </c>
      <c r="F9" s="51">
        <f>F10+F17+F21+F26</f>
        <v>66467494</v>
      </c>
    </row>
    <row r="10" spans="1:6" ht="12.75" customHeight="1">
      <c r="A10" s="60"/>
      <c r="B10" s="60" t="s">
        <v>465</v>
      </c>
      <c r="C10" s="43"/>
      <c r="D10" s="78">
        <v>21111</v>
      </c>
      <c r="E10" s="78" t="s">
        <v>228</v>
      </c>
      <c r="F10" s="51">
        <f>SUM(F11:F16)</f>
        <v>11331993</v>
      </c>
    </row>
    <row r="11" spans="1:6" ht="12.75" customHeight="1">
      <c r="A11" s="60" t="s">
        <v>466</v>
      </c>
      <c r="B11" s="60" t="s">
        <v>465</v>
      </c>
      <c r="C11" s="43">
        <v>9001</v>
      </c>
      <c r="D11" s="60">
        <v>2111101</v>
      </c>
      <c r="E11" s="60" t="s">
        <v>229</v>
      </c>
      <c r="F11" s="74">
        <v>8989286</v>
      </c>
    </row>
    <row r="12" spans="1:6" ht="12.75" customHeight="1">
      <c r="A12" s="60" t="s">
        <v>467</v>
      </c>
      <c r="B12" s="60" t="s">
        <v>465</v>
      </c>
      <c r="C12" s="43">
        <v>9001</v>
      </c>
      <c r="D12" s="60">
        <v>2111102</v>
      </c>
      <c r="E12" s="60" t="s">
        <v>230</v>
      </c>
      <c r="F12" s="49">
        <v>424493</v>
      </c>
    </row>
    <row r="13" spans="1:6" ht="12.75" customHeight="1">
      <c r="A13" s="60" t="s">
        <v>468</v>
      </c>
      <c r="B13" s="60" t="s">
        <v>465</v>
      </c>
      <c r="C13" s="43">
        <v>9001</v>
      </c>
      <c r="D13" s="60">
        <v>2111103</v>
      </c>
      <c r="E13" s="60" t="s">
        <v>231</v>
      </c>
      <c r="F13" s="49">
        <v>749107</v>
      </c>
    </row>
    <row r="14" spans="1:6" ht="12.75" customHeight="1">
      <c r="A14" s="60" t="s">
        <v>223</v>
      </c>
      <c r="B14" s="60" t="s">
        <v>465</v>
      </c>
      <c r="C14" s="43">
        <v>9001</v>
      </c>
      <c r="D14" s="60">
        <v>2111104</v>
      </c>
      <c r="E14" s="73" t="s">
        <v>548</v>
      </c>
      <c r="F14" s="49">
        <v>374553</v>
      </c>
    </row>
    <row r="15" spans="1:6" ht="12.75" customHeight="1">
      <c r="A15" s="60" t="s">
        <v>223</v>
      </c>
      <c r="B15" s="60" t="s">
        <v>465</v>
      </c>
      <c r="C15" s="43">
        <v>9001</v>
      </c>
      <c r="D15" s="60">
        <v>2111105</v>
      </c>
      <c r="E15" s="73" t="s">
        <v>565</v>
      </c>
      <c r="F15" s="49">
        <v>420000</v>
      </c>
    </row>
    <row r="16" spans="1:6" ht="12.75" customHeight="1">
      <c r="A16" s="60" t="s">
        <v>469</v>
      </c>
      <c r="B16" s="60" t="s">
        <v>465</v>
      </c>
      <c r="C16" s="43">
        <v>9001</v>
      </c>
      <c r="D16" s="60">
        <v>2111106</v>
      </c>
      <c r="E16" s="60" t="s">
        <v>232</v>
      </c>
      <c r="F16" s="49">
        <v>374554</v>
      </c>
    </row>
    <row r="17" spans="1:6" ht="12.75" customHeight="1">
      <c r="A17" s="60"/>
      <c r="B17" s="60" t="s">
        <v>465</v>
      </c>
      <c r="C17" s="43"/>
      <c r="D17" s="78">
        <v>21112</v>
      </c>
      <c r="E17" s="78" t="s">
        <v>233</v>
      </c>
      <c r="F17" s="51">
        <f>SUM(F18:F20)</f>
        <v>51183330</v>
      </c>
    </row>
    <row r="18" spans="1:6" ht="12.75" customHeight="1">
      <c r="A18" s="60" t="s">
        <v>470</v>
      </c>
      <c r="B18" s="60" t="s">
        <v>465</v>
      </c>
      <c r="C18" s="43">
        <v>9001</v>
      </c>
      <c r="D18" s="60">
        <v>2111201</v>
      </c>
      <c r="E18" s="60" t="s">
        <v>234</v>
      </c>
      <c r="F18" s="49">
        <v>50436776</v>
      </c>
    </row>
    <row r="19" spans="1:6" ht="12.75" customHeight="1">
      <c r="A19" s="60" t="s">
        <v>223</v>
      </c>
      <c r="B19" s="60" t="s">
        <v>465</v>
      </c>
      <c r="C19" s="43">
        <v>9001</v>
      </c>
      <c r="D19" s="60">
        <v>2111202</v>
      </c>
      <c r="E19" s="73" t="s">
        <v>549</v>
      </c>
      <c r="F19" s="49">
        <v>372000</v>
      </c>
    </row>
    <row r="20" spans="1:6" ht="12.75" customHeight="1">
      <c r="A20" s="60" t="s">
        <v>471</v>
      </c>
      <c r="B20" s="60" t="s">
        <v>465</v>
      </c>
      <c r="C20" s="43">
        <v>9001</v>
      </c>
      <c r="D20" s="60">
        <v>2111203</v>
      </c>
      <c r="E20" s="73" t="s">
        <v>550</v>
      </c>
      <c r="F20" s="49">
        <v>374554</v>
      </c>
    </row>
    <row r="21" spans="1:6" ht="12.75" customHeight="1">
      <c r="A21" s="60"/>
      <c r="B21" s="60" t="s">
        <v>465</v>
      </c>
      <c r="C21" s="43"/>
      <c r="D21" s="78">
        <v>21113</v>
      </c>
      <c r="E21" s="78" t="s">
        <v>236</v>
      </c>
      <c r="F21" s="51">
        <f>SUM(F22:F25)</f>
        <v>3370295</v>
      </c>
    </row>
    <row r="22" spans="1:6" ht="12.75" customHeight="1">
      <c r="A22" s="60" t="s">
        <v>472</v>
      </c>
      <c r="B22" s="60" t="s">
        <v>465</v>
      </c>
      <c r="C22" s="43">
        <v>9001</v>
      </c>
      <c r="D22" s="60">
        <v>2111301</v>
      </c>
      <c r="E22" s="60" t="s">
        <v>237</v>
      </c>
      <c r="F22" s="49">
        <v>421498</v>
      </c>
    </row>
    <row r="23" spans="1:6" ht="12.75" customHeight="1">
      <c r="A23" s="60" t="s">
        <v>473</v>
      </c>
      <c r="B23" s="60" t="s">
        <v>465</v>
      </c>
      <c r="C23" s="43">
        <v>9001</v>
      </c>
      <c r="D23" s="60">
        <v>2111302</v>
      </c>
      <c r="E23" s="73" t="s">
        <v>551</v>
      </c>
      <c r="F23" s="49">
        <v>749107</v>
      </c>
    </row>
    <row r="24" spans="1:6" ht="12.75" customHeight="1">
      <c r="A24" s="60" t="s">
        <v>473</v>
      </c>
      <c r="B24" s="60" t="s">
        <v>465</v>
      </c>
      <c r="C24" s="43">
        <v>9001</v>
      </c>
      <c r="D24" s="60">
        <v>2111303</v>
      </c>
      <c r="E24" s="73" t="s">
        <v>552</v>
      </c>
      <c r="F24" s="49">
        <v>1304008</v>
      </c>
    </row>
    <row r="25" spans="1:6" ht="12.75" customHeight="1">
      <c r="A25" s="60" t="s">
        <v>223</v>
      </c>
      <c r="B25" s="60" t="s">
        <v>465</v>
      </c>
      <c r="C25" s="43">
        <v>9001</v>
      </c>
      <c r="D25" s="60">
        <v>2111304</v>
      </c>
      <c r="E25" s="73" t="s">
        <v>553</v>
      </c>
      <c r="F25" s="49">
        <v>895682</v>
      </c>
    </row>
    <row r="26" spans="1:6" ht="12.75" customHeight="1">
      <c r="A26" s="60"/>
      <c r="B26" s="60" t="s">
        <v>465</v>
      </c>
      <c r="C26" s="43"/>
      <c r="D26" s="78">
        <v>21114</v>
      </c>
      <c r="E26" s="78" t="s">
        <v>239</v>
      </c>
      <c r="F26" s="51">
        <f>SUM(F27:F31)</f>
        <v>581876</v>
      </c>
    </row>
    <row r="27" spans="1:6" ht="12.75" customHeight="1">
      <c r="A27" s="60" t="s">
        <v>223</v>
      </c>
      <c r="B27" s="60" t="s">
        <v>465</v>
      </c>
      <c r="C27" s="43">
        <v>9001</v>
      </c>
      <c r="D27" s="60">
        <v>2111401</v>
      </c>
      <c r="E27" s="60" t="s">
        <v>246</v>
      </c>
      <c r="F27" s="49">
        <v>55005</v>
      </c>
    </row>
    <row r="28" spans="1:6" ht="12.75" customHeight="1">
      <c r="A28" s="60" t="s">
        <v>474</v>
      </c>
      <c r="B28" s="60" t="s">
        <v>465</v>
      </c>
      <c r="C28" s="43">
        <v>9001</v>
      </c>
      <c r="D28" s="60">
        <v>2111402</v>
      </c>
      <c r="E28" s="60" t="s">
        <v>240</v>
      </c>
      <c r="F28" s="49">
        <v>316123</v>
      </c>
    </row>
    <row r="29" spans="1:6" ht="12.75" customHeight="1">
      <c r="A29" s="60" t="s">
        <v>475</v>
      </c>
      <c r="B29" s="60" t="s">
        <v>465</v>
      </c>
      <c r="C29" s="43">
        <v>9001</v>
      </c>
      <c r="D29" s="60">
        <v>2111403</v>
      </c>
      <c r="E29" s="60" t="s">
        <v>241</v>
      </c>
      <c r="F29" s="49">
        <v>105374</v>
      </c>
    </row>
    <row r="30" spans="1:6" ht="12.75" customHeight="1">
      <c r="A30" s="60" t="s">
        <v>476</v>
      </c>
      <c r="B30" s="60" t="s">
        <v>465</v>
      </c>
      <c r="C30" s="43">
        <v>9001</v>
      </c>
      <c r="D30" s="60">
        <v>2111404</v>
      </c>
      <c r="E30" s="60" t="s">
        <v>242</v>
      </c>
      <c r="F30" s="49">
        <v>52687</v>
      </c>
    </row>
    <row r="31" spans="1:6" ht="12.75" customHeight="1">
      <c r="A31" s="60" t="s">
        <v>477</v>
      </c>
      <c r="B31" s="60" t="s">
        <v>465</v>
      </c>
      <c r="C31" s="43">
        <v>9001</v>
      </c>
      <c r="D31" s="60">
        <v>2111405</v>
      </c>
      <c r="E31" s="60" t="s">
        <v>243</v>
      </c>
      <c r="F31" s="49">
        <v>52687</v>
      </c>
    </row>
    <row r="32" spans="1:6" ht="12.75" customHeight="1">
      <c r="A32" s="60"/>
      <c r="B32" s="60" t="s">
        <v>465</v>
      </c>
      <c r="C32" s="43"/>
      <c r="D32" s="78">
        <v>2112</v>
      </c>
      <c r="E32" s="78" t="s">
        <v>247</v>
      </c>
      <c r="F32" s="51">
        <f>F33+F37+F49</f>
        <v>28240000</v>
      </c>
    </row>
    <row r="33" spans="1:6" ht="12.75" customHeight="1">
      <c r="A33" s="60"/>
      <c r="B33" s="60" t="s">
        <v>465</v>
      </c>
      <c r="C33" s="43"/>
      <c r="D33" s="78">
        <v>21121</v>
      </c>
      <c r="E33" s="78" t="s">
        <v>248</v>
      </c>
      <c r="F33" s="51">
        <f>SUM(F34:F36)</f>
        <v>11150000</v>
      </c>
    </row>
    <row r="34" spans="1:6" ht="12.75" customHeight="1">
      <c r="A34" s="60" t="s">
        <v>223</v>
      </c>
      <c r="B34" s="60" t="s">
        <v>465</v>
      </c>
      <c r="C34" s="43">
        <v>9001</v>
      </c>
      <c r="D34" s="60">
        <v>2112101</v>
      </c>
      <c r="E34" s="73" t="s">
        <v>554</v>
      </c>
      <c r="F34" s="49">
        <v>650000</v>
      </c>
    </row>
    <row r="35" spans="1:6" ht="12.75" customHeight="1">
      <c r="A35" s="60" t="s">
        <v>481</v>
      </c>
      <c r="B35" s="60" t="s">
        <v>465</v>
      </c>
      <c r="C35" s="43">
        <v>9001</v>
      </c>
      <c r="D35" s="60">
        <v>2112102</v>
      </c>
      <c r="E35" s="60" t="s">
        <v>249</v>
      </c>
      <c r="F35" s="49">
        <v>8000000</v>
      </c>
    </row>
    <row r="36" spans="1:6" ht="12.75" customHeight="1">
      <c r="A36" s="60" t="s">
        <v>482</v>
      </c>
      <c r="B36" s="60" t="s">
        <v>465</v>
      </c>
      <c r="C36" s="43">
        <v>9001</v>
      </c>
      <c r="D36" s="60">
        <v>2112103</v>
      </c>
      <c r="E36" s="60" t="s">
        <v>250</v>
      </c>
      <c r="F36" s="49">
        <v>2500000</v>
      </c>
    </row>
    <row r="37" spans="1:6" ht="12.75" customHeight="1">
      <c r="A37" s="60"/>
      <c r="B37" s="60" t="s">
        <v>465</v>
      </c>
      <c r="C37" s="43"/>
      <c r="D37" s="78">
        <v>21122</v>
      </c>
      <c r="E37" s="78" t="s">
        <v>251</v>
      </c>
      <c r="F37" s="51">
        <f>SUM(F38:F48)</f>
        <v>16950000</v>
      </c>
    </row>
    <row r="38" spans="1:6" ht="12.75" customHeight="1">
      <c r="A38" s="60" t="s">
        <v>483</v>
      </c>
      <c r="B38" s="60" t="s">
        <v>465</v>
      </c>
      <c r="C38" s="43">
        <v>9001</v>
      </c>
      <c r="D38" s="60">
        <v>2112201</v>
      </c>
      <c r="E38" s="60" t="s">
        <v>252</v>
      </c>
      <c r="F38" s="49">
        <v>1000000</v>
      </c>
    </row>
    <row r="39" spans="1:6" ht="12.75" customHeight="1">
      <c r="A39" s="60" t="s">
        <v>484</v>
      </c>
      <c r="B39" s="60" t="s">
        <v>465</v>
      </c>
      <c r="C39" s="43">
        <v>9001</v>
      </c>
      <c r="D39" s="60">
        <v>2112202</v>
      </c>
      <c r="E39" s="60" t="s">
        <v>253</v>
      </c>
      <c r="F39" s="49">
        <v>2500000</v>
      </c>
    </row>
    <row r="40" spans="1:6" ht="12.75" customHeight="1">
      <c r="A40" s="60" t="s">
        <v>223</v>
      </c>
      <c r="B40" s="60" t="s">
        <v>465</v>
      </c>
      <c r="C40" s="43">
        <v>9001</v>
      </c>
      <c r="D40" s="60">
        <v>2112203</v>
      </c>
      <c r="E40" s="73" t="s">
        <v>555</v>
      </c>
      <c r="F40" s="49">
        <v>200000</v>
      </c>
    </row>
    <row r="41" spans="1:6" ht="12.75" customHeight="1">
      <c r="A41" s="60" t="s">
        <v>485</v>
      </c>
      <c r="B41" s="60" t="s">
        <v>465</v>
      </c>
      <c r="C41" s="43">
        <v>9001</v>
      </c>
      <c r="D41" s="60">
        <v>2112204</v>
      </c>
      <c r="E41" s="60" t="s">
        <v>254</v>
      </c>
      <c r="F41" s="49">
        <v>100000</v>
      </c>
    </row>
    <row r="42" spans="1:6" ht="12.75" customHeight="1">
      <c r="A42" s="60" t="s">
        <v>486</v>
      </c>
      <c r="B42" s="60" t="s">
        <v>465</v>
      </c>
      <c r="C42" s="43">
        <v>9001</v>
      </c>
      <c r="D42" s="60">
        <v>2112205</v>
      </c>
      <c r="E42" s="60" t="s">
        <v>255</v>
      </c>
      <c r="F42" s="49">
        <v>400000</v>
      </c>
    </row>
    <row r="43" spans="1:6" ht="12.75" customHeight="1">
      <c r="A43" s="60" t="s">
        <v>487</v>
      </c>
      <c r="B43" s="60" t="s">
        <v>465</v>
      </c>
      <c r="C43" s="43">
        <v>9001</v>
      </c>
      <c r="D43" s="60">
        <v>2112206</v>
      </c>
      <c r="E43" s="60" t="s">
        <v>256</v>
      </c>
      <c r="F43" s="49">
        <v>150000</v>
      </c>
    </row>
    <row r="44" spans="1:6" ht="12.75" customHeight="1">
      <c r="A44" s="60" t="s">
        <v>489</v>
      </c>
      <c r="B44" s="60" t="s">
        <v>465</v>
      </c>
      <c r="C44" s="43">
        <v>9001</v>
      </c>
      <c r="D44" s="60">
        <v>2112207</v>
      </c>
      <c r="E44" s="60" t="s">
        <v>257</v>
      </c>
      <c r="F44" s="49">
        <v>800000</v>
      </c>
    </row>
    <row r="45" spans="1:6" ht="12.75" customHeight="1">
      <c r="A45" s="60" t="s">
        <v>487</v>
      </c>
      <c r="B45" s="60" t="s">
        <v>465</v>
      </c>
      <c r="C45" s="43">
        <v>9001</v>
      </c>
      <c r="D45" s="60">
        <v>2112208</v>
      </c>
      <c r="E45" s="60" t="s">
        <v>258</v>
      </c>
      <c r="F45" s="49">
        <v>7000000</v>
      </c>
    </row>
    <row r="46" spans="1:6" ht="12.75" customHeight="1">
      <c r="A46" s="60" t="s">
        <v>485</v>
      </c>
      <c r="B46" s="60" t="s">
        <v>465</v>
      </c>
      <c r="C46" s="43">
        <v>9001</v>
      </c>
      <c r="D46" s="60">
        <v>2112209</v>
      </c>
      <c r="E46" s="60" t="s">
        <v>259</v>
      </c>
      <c r="F46" s="49">
        <v>1500000</v>
      </c>
    </row>
    <row r="47" spans="1:6" ht="12.75" customHeight="1">
      <c r="A47" s="60" t="s">
        <v>485</v>
      </c>
      <c r="B47" s="60" t="s">
        <v>465</v>
      </c>
      <c r="C47" s="43">
        <v>9001</v>
      </c>
      <c r="D47" s="60">
        <v>2112210</v>
      </c>
      <c r="E47" s="60" t="s">
        <v>260</v>
      </c>
      <c r="F47" s="49">
        <v>3000000</v>
      </c>
    </row>
    <row r="48" spans="1:6" ht="12.75" customHeight="1">
      <c r="A48" s="60" t="s">
        <v>485</v>
      </c>
      <c r="B48" s="60" t="s">
        <v>465</v>
      </c>
      <c r="C48" s="43">
        <v>9001</v>
      </c>
      <c r="D48" s="60">
        <v>2112211</v>
      </c>
      <c r="E48" s="60" t="s">
        <v>261</v>
      </c>
      <c r="F48" s="49">
        <v>300000</v>
      </c>
    </row>
    <row r="49" spans="1:6" ht="12.75" customHeight="1">
      <c r="A49" s="60"/>
      <c r="B49" s="60" t="s">
        <v>465</v>
      </c>
      <c r="C49" s="43"/>
      <c r="D49" s="78">
        <v>21123</v>
      </c>
      <c r="E49" s="78" t="s">
        <v>556</v>
      </c>
      <c r="F49" s="51">
        <f>F50</f>
        <v>140000</v>
      </c>
    </row>
    <row r="50" spans="1:6" ht="12.75" customHeight="1">
      <c r="A50" s="60" t="s">
        <v>223</v>
      </c>
      <c r="B50" s="60" t="s">
        <v>465</v>
      </c>
      <c r="C50" s="43">
        <v>9001</v>
      </c>
      <c r="D50" s="60">
        <v>2112301</v>
      </c>
      <c r="E50" s="73" t="s">
        <v>557</v>
      </c>
      <c r="F50" s="49">
        <v>140000</v>
      </c>
    </row>
    <row r="51" spans="1:7" ht="12.75" customHeight="1">
      <c r="A51" s="60"/>
      <c r="B51" s="60" t="s">
        <v>491</v>
      </c>
      <c r="C51" s="43"/>
      <c r="D51" s="78">
        <v>212</v>
      </c>
      <c r="E51" s="78" t="s">
        <v>263</v>
      </c>
      <c r="F51" s="51">
        <f>F52+F74</f>
        <v>67827300</v>
      </c>
      <c r="G51" s="58">
        <f>67827300-F51</f>
        <v>0</v>
      </c>
    </row>
    <row r="52" spans="1:6" ht="12.75" customHeight="1">
      <c r="A52" s="60"/>
      <c r="B52" s="60" t="s">
        <v>491</v>
      </c>
      <c r="C52" s="43"/>
      <c r="D52" s="78">
        <v>2121</v>
      </c>
      <c r="E52" s="78" t="s">
        <v>227</v>
      </c>
      <c r="F52" s="51">
        <f>F53+F61+F63+F66</f>
        <v>52577158</v>
      </c>
    </row>
    <row r="53" spans="1:6" ht="12.75" customHeight="1">
      <c r="A53" s="60"/>
      <c r="B53" s="60" t="s">
        <v>491</v>
      </c>
      <c r="C53" s="43"/>
      <c r="D53" s="78">
        <v>21211</v>
      </c>
      <c r="E53" s="78" t="s">
        <v>228</v>
      </c>
      <c r="F53" s="51">
        <f>SUM(F54:F60)</f>
        <v>39428578</v>
      </c>
    </row>
    <row r="54" spans="1:6" ht="12.75" customHeight="1">
      <c r="A54" s="60" t="s">
        <v>466</v>
      </c>
      <c r="B54" s="60" t="s">
        <v>491</v>
      </c>
      <c r="C54" s="43">
        <v>9001</v>
      </c>
      <c r="D54" s="60">
        <v>2121101</v>
      </c>
      <c r="E54" s="60" t="s">
        <v>229</v>
      </c>
      <c r="F54" s="74">
        <v>31695968</v>
      </c>
    </row>
    <row r="55" spans="1:6" ht="12.75" customHeight="1">
      <c r="A55" s="60" t="s">
        <v>467</v>
      </c>
      <c r="B55" s="60" t="s">
        <v>491</v>
      </c>
      <c r="C55" s="43">
        <v>9001</v>
      </c>
      <c r="D55" s="60">
        <v>2121102</v>
      </c>
      <c r="E55" s="60" t="s">
        <v>230</v>
      </c>
      <c r="F55" s="49">
        <v>1485500</v>
      </c>
    </row>
    <row r="56" spans="1:6" ht="12.75" customHeight="1">
      <c r="A56" s="60" t="s">
        <v>468</v>
      </c>
      <c r="B56" s="60" t="s">
        <v>491</v>
      </c>
      <c r="C56" s="43">
        <v>9001</v>
      </c>
      <c r="D56" s="60">
        <v>2121103</v>
      </c>
      <c r="E56" s="60" t="s">
        <v>231</v>
      </c>
      <c r="F56" s="49">
        <v>2671000</v>
      </c>
    </row>
    <row r="57" spans="1:6" ht="12.75" customHeight="1">
      <c r="A57" s="60" t="s">
        <v>492</v>
      </c>
      <c r="B57" s="60" t="s">
        <v>491</v>
      </c>
      <c r="C57" s="43">
        <v>9001</v>
      </c>
      <c r="D57" s="60">
        <v>2121104</v>
      </c>
      <c r="E57" s="60" t="s">
        <v>232</v>
      </c>
      <c r="F57" s="49">
        <v>955510</v>
      </c>
    </row>
    <row r="58" spans="1:6" ht="12.75" customHeight="1">
      <c r="A58" s="60" t="s">
        <v>223</v>
      </c>
      <c r="B58" s="60" t="s">
        <v>491</v>
      </c>
      <c r="C58" s="43">
        <v>9001</v>
      </c>
      <c r="D58" s="60">
        <v>2121105</v>
      </c>
      <c r="E58" s="60" t="s">
        <v>561</v>
      </c>
      <c r="F58" s="49">
        <v>1145500</v>
      </c>
    </row>
    <row r="59" spans="1:6" ht="12.75" customHeight="1">
      <c r="A59" s="60" t="s">
        <v>223</v>
      </c>
      <c r="B59" s="60" t="s">
        <v>491</v>
      </c>
      <c r="C59" s="43">
        <v>9001</v>
      </c>
      <c r="D59" s="60">
        <v>2121106</v>
      </c>
      <c r="E59" s="60" t="s">
        <v>562</v>
      </c>
      <c r="F59" s="49">
        <v>1048900</v>
      </c>
    </row>
    <row r="60" spans="1:6" ht="12.75" customHeight="1">
      <c r="A60" s="60" t="s">
        <v>223</v>
      </c>
      <c r="B60" s="60" t="s">
        <v>491</v>
      </c>
      <c r="C60" s="43">
        <v>9001</v>
      </c>
      <c r="D60" s="60">
        <v>2121107</v>
      </c>
      <c r="E60" s="60" t="s">
        <v>563</v>
      </c>
      <c r="F60" s="49">
        <v>426200</v>
      </c>
    </row>
    <row r="61" spans="1:6" ht="12.75" customHeight="1">
      <c r="A61" s="60"/>
      <c r="B61" s="60" t="s">
        <v>491</v>
      </c>
      <c r="C61" s="43"/>
      <c r="D61" s="78">
        <v>21212</v>
      </c>
      <c r="E61" s="78" t="s">
        <v>233</v>
      </c>
      <c r="F61" s="51">
        <f>F62</f>
        <v>380000</v>
      </c>
    </row>
    <row r="62" spans="1:6" ht="12.75" customHeight="1">
      <c r="A62" s="60" t="s">
        <v>471</v>
      </c>
      <c r="B62" s="60" t="s">
        <v>491</v>
      </c>
      <c r="C62" s="43">
        <v>9001</v>
      </c>
      <c r="D62" s="60">
        <v>2121201</v>
      </c>
      <c r="E62" s="60" t="s">
        <v>264</v>
      </c>
      <c r="F62" s="49">
        <v>380000</v>
      </c>
    </row>
    <row r="63" spans="1:6" ht="12.75" customHeight="1">
      <c r="A63" s="60"/>
      <c r="B63" s="60" t="s">
        <v>491</v>
      </c>
      <c r="C63" s="43"/>
      <c r="D63" s="78">
        <v>21213</v>
      </c>
      <c r="E63" s="78" t="s">
        <v>236</v>
      </c>
      <c r="F63" s="51">
        <f>SUM(F64:F65)</f>
        <v>4268900</v>
      </c>
    </row>
    <row r="64" spans="1:6" ht="12.75" customHeight="1">
      <c r="A64" s="60" t="s">
        <v>472</v>
      </c>
      <c r="B64" s="60" t="s">
        <v>491</v>
      </c>
      <c r="C64" s="43">
        <v>9001</v>
      </c>
      <c r="D64" s="60">
        <v>2121301</v>
      </c>
      <c r="E64" s="60" t="s">
        <v>237</v>
      </c>
      <c r="F64" s="49">
        <v>1373900</v>
      </c>
    </row>
    <row r="65" spans="1:6" ht="12.75" customHeight="1">
      <c r="A65" s="60" t="s">
        <v>473</v>
      </c>
      <c r="B65" s="60" t="s">
        <v>491</v>
      </c>
      <c r="C65" s="43">
        <v>9001</v>
      </c>
      <c r="D65" s="60">
        <v>2121302</v>
      </c>
      <c r="E65" s="60" t="s">
        <v>238</v>
      </c>
      <c r="F65" s="49">
        <v>2895000</v>
      </c>
    </row>
    <row r="66" spans="1:6" ht="12.75" customHeight="1">
      <c r="A66" s="60"/>
      <c r="B66" s="60" t="s">
        <v>491</v>
      </c>
      <c r="C66" s="43"/>
      <c r="D66" s="78">
        <v>21214</v>
      </c>
      <c r="E66" s="78" t="s">
        <v>239</v>
      </c>
      <c r="F66" s="51">
        <f>SUM(F67:F73)</f>
        <v>8499680</v>
      </c>
    </row>
    <row r="67" spans="1:6" ht="12.75" customHeight="1">
      <c r="A67" s="60" t="s">
        <v>474</v>
      </c>
      <c r="B67" s="60" t="s">
        <v>491</v>
      </c>
      <c r="C67" s="43">
        <v>9001</v>
      </c>
      <c r="D67" s="60">
        <v>2121401</v>
      </c>
      <c r="E67" s="60" t="s">
        <v>240</v>
      </c>
      <c r="F67" s="49">
        <v>1030500</v>
      </c>
    </row>
    <row r="68" spans="1:6" ht="12.75" customHeight="1">
      <c r="A68" s="60" t="s">
        <v>475</v>
      </c>
      <c r="B68" s="60" t="s">
        <v>491</v>
      </c>
      <c r="C68" s="43">
        <v>9001</v>
      </c>
      <c r="D68" s="60">
        <v>2121402</v>
      </c>
      <c r="E68" s="60" t="s">
        <v>241</v>
      </c>
      <c r="F68" s="49">
        <v>343500</v>
      </c>
    </row>
    <row r="69" spans="1:6" ht="12.75" customHeight="1">
      <c r="A69" s="60" t="s">
        <v>476</v>
      </c>
      <c r="B69" s="60" t="s">
        <v>491</v>
      </c>
      <c r="C69" s="43">
        <v>9001</v>
      </c>
      <c r="D69" s="60">
        <v>2121403</v>
      </c>
      <c r="E69" s="60" t="s">
        <v>242</v>
      </c>
      <c r="F69" s="49">
        <v>171800</v>
      </c>
    </row>
    <row r="70" spans="1:6" ht="12.75" customHeight="1">
      <c r="A70" s="60" t="s">
        <v>477</v>
      </c>
      <c r="B70" s="60" t="s">
        <v>491</v>
      </c>
      <c r="C70" s="43">
        <v>9001</v>
      </c>
      <c r="D70" s="60">
        <v>2121404</v>
      </c>
      <c r="E70" s="60" t="s">
        <v>243</v>
      </c>
      <c r="F70" s="49">
        <v>171800</v>
      </c>
    </row>
    <row r="71" spans="1:6" ht="12.75" customHeight="1">
      <c r="A71" s="60" t="s">
        <v>478</v>
      </c>
      <c r="B71" s="60" t="s">
        <v>491</v>
      </c>
      <c r="C71" s="43">
        <v>9001</v>
      </c>
      <c r="D71" s="60">
        <v>2121405</v>
      </c>
      <c r="E71" s="60" t="s">
        <v>265</v>
      </c>
      <c r="F71" s="49">
        <v>2694200</v>
      </c>
    </row>
    <row r="72" spans="1:6" ht="12.75" customHeight="1">
      <c r="A72" s="60" t="s">
        <v>479</v>
      </c>
      <c r="B72" s="60" t="s">
        <v>491</v>
      </c>
      <c r="C72" s="43">
        <v>9001</v>
      </c>
      <c r="D72" s="60">
        <v>2121406</v>
      </c>
      <c r="E72" s="60" t="s">
        <v>266</v>
      </c>
      <c r="F72" s="49">
        <v>3922380</v>
      </c>
    </row>
    <row r="73" spans="1:6" ht="12.75" customHeight="1">
      <c r="A73" s="60" t="s">
        <v>480</v>
      </c>
      <c r="B73" s="60" t="s">
        <v>491</v>
      </c>
      <c r="C73" s="43">
        <v>9001</v>
      </c>
      <c r="D73" s="60">
        <v>2121407</v>
      </c>
      <c r="E73" s="60" t="s">
        <v>246</v>
      </c>
      <c r="F73" s="49">
        <v>165500</v>
      </c>
    </row>
    <row r="74" spans="1:7" s="81" customFormat="1" ht="12.75" customHeight="1">
      <c r="A74" s="78"/>
      <c r="B74" s="73" t="s">
        <v>491</v>
      </c>
      <c r="C74" s="79"/>
      <c r="D74" s="78">
        <v>2122</v>
      </c>
      <c r="E74" s="78" t="s">
        <v>247</v>
      </c>
      <c r="F74" s="51">
        <f>F75+F78</f>
        <v>15250142</v>
      </c>
      <c r="G74" s="80"/>
    </row>
    <row r="75" spans="1:6" ht="12.75" customHeight="1">
      <c r="A75" s="60"/>
      <c r="B75" s="60" t="s">
        <v>491</v>
      </c>
      <c r="C75" s="43"/>
      <c r="D75" s="78">
        <v>21221</v>
      </c>
      <c r="E75" s="78" t="s">
        <v>248</v>
      </c>
      <c r="F75" s="51">
        <f>SUM(F76:F77)</f>
        <v>2722106</v>
      </c>
    </row>
    <row r="76" spans="1:6" ht="12.75" customHeight="1">
      <c r="A76" s="60" t="s">
        <v>481</v>
      </c>
      <c r="B76" s="60" t="s">
        <v>491</v>
      </c>
      <c r="C76" s="43">
        <v>9001</v>
      </c>
      <c r="D76" s="60">
        <v>2122101</v>
      </c>
      <c r="E76" s="60" t="s">
        <v>249</v>
      </c>
      <c r="F76" s="49">
        <v>1500000</v>
      </c>
    </row>
    <row r="77" spans="1:6" ht="12.75" customHeight="1">
      <c r="A77" s="60" t="s">
        <v>490</v>
      </c>
      <c r="B77" s="60" t="s">
        <v>491</v>
      </c>
      <c r="C77" s="43">
        <v>9001</v>
      </c>
      <c r="D77" s="60">
        <v>2122102</v>
      </c>
      <c r="E77" s="60" t="s">
        <v>250</v>
      </c>
      <c r="F77" s="49">
        <v>1222106</v>
      </c>
    </row>
    <row r="78" spans="1:6" ht="12.75" customHeight="1">
      <c r="A78" s="60"/>
      <c r="B78" s="60" t="s">
        <v>491</v>
      </c>
      <c r="C78" s="79"/>
      <c r="D78" s="78">
        <v>21222</v>
      </c>
      <c r="E78" s="78" t="s">
        <v>251</v>
      </c>
      <c r="F78" s="51">
        <f>SUM(F79:F89)</f>
        <v>12528036</v>
      </c>
    </row>
    <row r="79" spans="1:6" ht="12.75" customHeight="1">
      <c r="A79" s="60" t="s">
        <v>483</v>
      </c>
      <c r="B79" s="60" t="s">
        <v>491</v>
      </c>
      <c r="C79" s="43">
        <v>9001</v>
      </c>
      <c r="D79" s="60">
        <v>2122201</v>
      </c>
      <c r="E79" s="60" t="s">
        <v>252</v>
      </c>
      <c r="F79" s="49">
        <v>1600000</v>
      </c>
    </row>
    <row r="80" spans="1:6" ht="12.75" customHeight="1">
      <c r="A80" s="60" t="s">
        <v>484</v>
      </c>
      <c r="B80" s="60" t="s">
        <v>491</v>
      </c>
      <c r="C80" s="43">
        <v>9001</v>
      </c>
      <c r="D80" s="60">
        <v>2122202</v>
      </c>
      <c r="E80" s="60" t="s">
        <v>253</v>
      </c>
      <c r="F80" s="49">
        <v>1450000</v>
      </c>
    </row>
    <row r="81" spans="1:6" ht="12.75" customHeight="1">
      <c r="A81" s="60" t="s">
        <v>486</v>
      </c>
      <c r="B81" s="60" t="s">
        <v>491</v>
      </c>
      <c r="C81" s="43">
        <v>9001</v>
      </c>
      <c r="D81" s="60">
        <v>2122203</v>
      </c>
      <c r="E81" s="60" t="s">
        <v>255</v>
      </c>
      <c r="F81" s="49">
        <v>1500000</v>
      </c>
    </row>
    <row r="82" spans="1:6" ht="12.75" customHeight="1">
      <c r="A82" s="60" t="s">
        <v>487</v>
      </c>
      <c r="B82" s="60" t="s">
        <v>491</v>
      </c>
      <c r="C82" s="43">
        <v>9001</v>
      </c>
      <c r="D82" s="60">
        <v>2122204</v>
      </c>
      <c r="E82" s="60" t="s">
        <v>256</v>
      </c>
      <c r="F82" s="49">
        <v>400000</v>
      </c>
    </row>
    <row r="83" spans="1:6" ht="12.75" customHeight="1">
      <c r="A83" s="60" t="s">
        <v>489</v>
      </c>
      <c r="B83" s="60" t="s">
        <v>491</v>
      </c>
      <c r="C83" s="43">
        <v>9001</v>
      </c>
      <c r="D83" s="60">
        <v>2122205</v>
      </c>
      <c r="E83" s="60" t="s">
        <v>267</v>
      </c>
      <c r="F83" s="49">
        <v>600000</v>
      </c>
    </row>
    <row r="84" spans="1:6" ht="12.75" customHeight="1">
      <c r="A84" s="60" t="s">
        <v>487</v>
      </c>
      <c r="B84" s="60" t="s">
        <v>491</v>
      </c>
      <c r="C84" s="43">
        <v>9001</v>
      </c>
      <c r="D84" s="60">
        <v>2122206</v>
      </c>
      <c r="E84" s="60" t="s">
        <v>268</v>
      </c>
      <c r="F84" s="49">
        <v>2000000</v>
      </c>
    </row>
    <row r="85" spans="1:6" ht="12.75" customHeight="1">
      <c r="A85" s="60" t="s">
        <v>494</v>
      </c>
      <c r="B85" s="60" t="s">
        <v>491</v>
      </c>
      <c r="C85" s="43">
        <v>9001</v>
      </c>
      <c r="D85" s="60">
        <v>2122207</v>
      </c>
      <c r="E85" s="60" t="s">
        <v>493</v>
      </c>
      <c r="F85" s="49">
        <v>1200000</v>
      </c>
    </row>
    <row r="86" spans="1:6" ht="12.75" customHeight="1">
      <c r="A86" s="60" t="s">
        <v>488</v>
      </c>
      <c r="B86" s="60" t="s">
        <v>491</v>
      </c>
      <c r="C86" s="43">
        <v>9001</v>
      </c>
      <c r="D86" s="60">
        <v>2122208</v>
      </c>
      <c r="E86" s="60" t="s">
        <v>269</v>
      </c>
      <c r="F86" s="49">
        <v>550000</v>
      </c>
    </row>
    <row r="87" spans="1:6" ht="12.75" customHeight="1">
      <c r="A87" s="60" t="s">
        <v>482</v>
      </c>
      <c r="B87" s="60" t="s">
        <v>491</v>
      </c>
      <c r="C87" s="43">
        <v>9001</v>
      </c>
      <c r="D87" s="60">
        <v>2122209</v>
      </c>
      <c r="E87" s="60" t="s">
        <v>270</v>
      </c>
      <c r="F87" s="49">
        <v>650000</v>
      </c>
    </row>
    <row r="88" spans="1:6" ht="12.75" customHeight="1">
      <c r="A88" s="60" t="s">
        <v>495</v>
      </c>
      <c r="B88" s="60" t="s">
        <v>491</v>
      </c>
      <c r="C88" s="43">
        <v>9001</v>
      </c>
      <c r="D88" s="60">
        <v>2122210</v>
      </c>
      <c r="E88" s="60" t="s">
        <v>564</v>
      </c>
      <c r="F88" s="49">
        <v>1850000</v>
      </c>
    </row>
    <row r="89" spans="1:6" ht="12.75" customHeight="1">
      <c r="A89" s="40" t="s">
        <v>496</v>
      </c>
      <c r="B89" s="60" t="s">
        <v>491</v>
      </c>
      <c r="C89" s="43">
        <v>9001</v>
      </c>
      <c r="D89" s="60">
        <v>2122211</v>
      </c>
      <c r="E89" s="60" t="s">
        <v>271</v>
      </c>
      <c r="F89" s="49">
        <v>728036</v>
      </c>
    </row>
    <row r="90" spans="1:6" ht="12.75" customHeight="1">
      <c r="A90" s="60"/>
      <c r="B90" s="60" t="s">
        <v>497</v>
      </c>
      <c r="C90" s="79"/>
      <c r="D90" s="78">
        <v>213</v>
      </c>
      <c r="E90" s="78" t="s">
        <v>272</v>
      </c>
      <c r="F90" s="51">
        <f>F91+F117+F142</f>
        <v>1248840409.6666667</v>
      </c>
    </row>
    <row r="91" spans="1:6" ht="12.75" customHeight="1">
      <c r="A91" s="60"/>
      <c r="B91" s="60" t="s">
        <v>497</v>
      </c>
      <c r="C91" s="79"/>
      <c r="D91" s="78">
        <v>2131</v>
      </c>
      <c r="E91" s="78" t="s">
        <v>227</v>
      </c>
      <c r="F91" s="51">
        <f>F92+F101+F106+F109</f>
        <v>620891610.6666667</v>
      </c>
    </row>
    <row r="92" spans="1:6" ht="12.75" customHeight="1">
      <c r="A92" s="60"/>
      <c r="B92" s="60" t="s">
        <v>497</v>
      </c>
      <c r="C92" s="79"/>
      <c r="D92" s="78">
        <v>21311</v>
      </c>
      <c r="E92" s="78" t="s">
        <v>228</v>
      </c>
      <c r="F92" s="51">
        <f>SUM(F93:F100)</f>
        <v>460291410.6666667</v>
      </c>
    </row>
    <row r="93" spans="1:6" ht="12.75" customHeight="1">
      <c r="A93" s="60" t="s">
        <v>466</v>
      </c>
      <c r="B93" s="60" t="s">
        <v>497</v>
      </c>
      <c r="C93" s="43">
        <v>9001</v>
      </c>
      <c r="D93" s="60">
        <v>2131101</v>
      </c>
      <c r="E93" s="60" t="s">
        <v>229</v>
      </c>
      <c r="F93" s="49">
        <f>SUM(Nomina!I13:I40)*12</f>
        <v>356844000</v>
      </c>
    </row>
    <row r="94" spans="1:6" ht="12.75" customHeight="1">
      <c r="A94" s="60" t="s">
        <v>498</v>
      </c>
      <c r="B94" s="60" t="s">
        <v>497</v>
      </c>
      <c r="C94" s="43">
        <v>9001</v>
      </c>
      <c r="D94" s="60">
        <v>2131102</v>
      </c>
      <c r="E94" s="60" t="s">
        <v>586</v>
      </c>
      <c r="F94" s="49">
        <f>SUM(Nomina!V13:V40)*12+SUM(Nomina!I13:I40)/15</f>
        <v>16845078.666666668</v>
      </c>
    </row>
    <row r="95" spans="1:6" ht="12.75" customHeight="1">
      <c r="A95" s="60" t="s">
        <v>499</v>
      </c>
      <c r="B95" s="60" t="s">
        <v>497</v>
      </c>
      <c r="C95" s="43">
        <v>9001</v>
      </c>
      <c r="D95" s="60">
        <v>2131103</v>
      </c>
      <c r="E95" s="60" t="s">
        <v>231</v>
      </c>
      <c r="F95" s="49">
        <f>SUM(Nomina!Y13:Y40)*12</f>
        <v>29725104</v>
      </c>
    </row>
    <row r="96" spans="1:6" ht="12.75" customHeight="1">
      <c r="A96" s="60" t="s">
        <v>223</v>
      </c>
      <c r="B96" s="60" t="s">
        <v>497</v>
      </c>
      <c r="C96" s="43">
        <v>9001</v>
      </c>
      <c r="D96" s="60">
        <v>2131104</v>
      </c>
      <c r="E96" s="60" t="s">
        <v>571</v>
      </c>
      <c r="F96" s="49">
        <f>SUM(Nomina!X13:X40)*12</f>
        <v>14862612</v>
      </c>
    </row>
    <row r="97" spans="1:6" ht="12.75" customHeight="1">
      <c r="A97" s="60" t="s">
        <v>223</v>
      </c>
      <c r="B97" s="60" t="s">
        <v>497</v>
      </c>
      <c r="C97" s="43">
        <v>9001</v>
      </c>
      <c r="D97" s="60">
        <v>2131105</v>
      </c>
      <c r="E97" s="60" t="s">
        <v>572</v>
      </c>
      <c r="F97" s="49">
        <f>SUM(Nomina!M13:M40)*12</f>
        <v>12464148</v>
      </c>
    </row>
    <row r="98" spans="1:6" ht="12.75" customHeight="1">
      <c r="A98" s="60" t="s">
        <v>223</v>
      </c>
      <c r="B98" s="60" t="s">
        <v>497</v>
      </c>
      <c r="C98" s="43">
        <v>9001</v>
      </c>
      <c r="D98" s="60">
        <v>2131106</v>
      </c>
      <c r="E98" s="60" t="s">
        <v>573</v>
      </c>
      <c r="F98" s="49">
        <f>SUM(Nomina!N13:N40)*12</f>
        <v>7670592</v>
      </c>
    </row>
    <row r="99" spans="1:6" ht="12.75" customHeight="1">
      <c r="A99" s="60" t="s">
        <v>500</v>
      </c>
      <c r="B99" s="60" t="s">
        <v>497</v>
      </c>
      <c r="C99" s="43">
        <v>9001</v>
      </c>
      <c r="D99" s="60">
        <v>2131107</v>
      </c>
      <c r="E99" s="60" t="s">
        <v>232</v>
      </c>
      <c r="F99" s="49">
        <f>SUM(Nomina!W13:W40)*12</f>
        <v>7905876</v>
      </c>
    </row>
    <row r="100" spans="1:6" ht="12.75" customHeight="1">
      <c r="A100" s="60" t="s">
        <v>492</v>
      </c>
      <c r="B100" s="60" t="s">
        <v>497</v>
      </c>
      <c r="C100" s="43">
        <v>9001</v>
      </c>
      <c r="D100" s="60">
        <v>2131108</v>
      </c>
      <c r="E100" s="60" t="s">
        <v>273</v>
      </c>
      <c r="F100" s="49">
        <f>Nomina!I13*6</f>
        <v>13974000</v>
      </c>
    </row>
    <row r="101" spans="1:6" ht="12.75" customHeight="1">
      <c r="A101" s="60"/>
      <c r="B101" s="60" t="s">
        <v>497</v>
      </c>
      <c r="C101" s="79"/>
      <c r="D101" s="78">
        <v>21312</v>
      </c>
      <c r="E101" s="78" t="s">
        <v>233</v>
      </c>
      <c r="F101" s="51">
        <f>SUM(F102:F105)</f>
        <v>17502000</v>
      </c>
    </row>
    <row r="102" spans="1:6" ht="12.75" customHeight="1">
      <c r="A102" s="60" t="s">
        <v>470</v>
      </c>
      <c r="B102" s="60" t="s">
        <v>497</v>
      </c>
      <c r="C102" s="43">
        <v>9001</v>
      </c>
      <c r="D102" s="60">
        <v>2131201</v>
      </c>
      <c r="E102" s="60" t="s">
        <v>234</v>
      </c>
      <c r="F102" s="49">
        <v>5000000</v>
      </c>
    </row>
    <row r="103" spans="1:6" ht="12.75" customHeight="1">
      <c r="A103" s="60" t="s">
        <v>501</v>
      </c>
      <c r="B103" s="60" t="s">
        <v>497</v>
      </c>
      <c r="C103" s="43">
        <v>9001</v>
      </c>
      <c r="D103" s="60">
        <v>2131202</v>
      </c>
      <c r="E103" s="60" t="s">
        <v>264</v>
      </c>
      <c r="F103" s="49">
        <v>3000000</v>
      </c>
    </row>
    <row r="104" spans="1:6" ht="12.75" customHeight="1">
      <c r="A104" s="60" t="s">
        <v>502</v>
      </c>
      <c r="B104" s="60" t="s">
        <v>497</v>
      </c>
      <c r="C104" s="43">
        <v>9001</v>
      </c>
      <c r="D104" s="60">
        <v>2131203</v>
      </c>
      <c r="E104" s="60" t="s">
        <v>235</v>
      </c>
      <c r="F104" s="49">
        <v>1000000</v>
      </c>
    </row>
    <row r="105" spans="1:6" ht="12.75" customHeight="1">
      <c r="A105" s="60" t="s">
        <v>501</v>
      </c>
      <c r="B105" s="60" t="s">
        <v>497</v>
      </c>
      <c r="C105" s="43">
        <v>9001</v>
      </c>
      <c r="D105" s="60">
        <v>2131204</v>
      </c>
      <c r="E105" s="60" t="s">
        <v>274</v>
      </c>
      <c r="F105" s="49">
        <v>8502000</v>
      </c>
    </row>
    <row r="106" spans="1:6" ht="12.75" customHeight="1">
      <c r="A106" s="60"/>
      <c r="B106" s="60" t="s">
        <v>497</v>
      </c>
      <c r="C106" s="79"/>
      <c r="D106" s="78">
        <v>21313</v>
      </c>
      <c r="E106" s="78" t="s">
        <v>236</v>
      </c>
      <c r="F106" s="51">
        <f>SUM(F107:F108)</f>
        <v>49349400</v>
      </c>
    </row>
    <row r="107" spans="1:6" ht="12.75" customHeight="1">
      <c r="A107" s="60" t="s">
        <v>472</v>
      </c>
      <c r="B107" s="60" t="s">
        <v>497</v>
      </c>
      <c r="C107" s="43">
        <v>9001</v>
      </c>
      <c r="D107" s="60">
        <v>2131301</v>
      </c>
      <c r="E107" s="60" t="s">
        <v>237</v>
      </c>
      <c r="F107" s="49">
        <f>SUM(Nomina!P13:P40)*12</f>
        <v>16057200</v>
      </c>
    </row>
    <row r="108" spans="1:6" ht="12.75" customHeight="1">
      <c r="A108" s="60" t="s">
        <v>473</v>
      </c>
      <c r="B108" s="60" t="s">
        <v>497</v>
      </c>
      <c r="C108" s="43">
        <v>9001</v>
      </c>
      <c r="D108" s="60">
        <v>2131302</v>
      </c>
      <c r="E108" s="60" t="s">
        <v>574</v>
      </c>
      <c r="F108" s="49">
        <f>SUM(Nomina!T13:U40)*12</f>
        <v>33292200</v>
      </c>
    </row>
    <row r="109" spans="1:6" ht="12.75" customHeight="1">
      <c r="A109" s="60"/>
      <c r="B109" s="60" t="s">
        <v>497</v>
      </c>
      <c r="C109" s="79"/>
      <c r="D109" s="78">
        <v>21314</v>
      </c>
      <c r="E109" s="78" t="s">
        <v>239</v>
      </c>
      <c r="F109" s="51">
        <f>SUM(F110:F116)</f>
        <v>93748800</v>
      </c>
    </row>
    <row r="110" spans="1:6" ht="12.75" customHeight="1">
      <c r="A110" s="60" t="s">
        <v>474</v>
      </c>
      <c r="B110" s="60" t="s">
        <v>497</v>
      </c>
      <c r="C110" s="43">
        <v>9001</v>
      </c>
      <c r="D110" s="60">
        <v>2131401</v>
      </c>
      <c r="E110" s="60" t="s">
        <v>240</v>
      </c>
      <c r="F110" s="49">
        <f>SUM(Nomina!O13:O40)*12</f>
        <v>12034800</v>
      </c>
    </row>
    <row r="111" spans="1:6" ht="12.75" customHeight="1">
      <c r="A111" s="60" t="s">
        <v>475</v>
      </c>
      <c r="B111" s="60" t="s">
        <v>497</v>
      </c>
      <c r="C111" s="43">
        <v>9001</v>
      </c>
      <c r="D111" s="60">
        <v>2131402</v>
      </c>
      <c r="E111" s="60" t="s">
        <v>241</v>
      </c>
      <c r="F111" s="49">
        <f>SUM(Nomina!Q13:Q40)*12</f>
        <v>4008000</v>
      </c>
    </row>
    <row r="112" spans="1:6" ht="12.75" customHeight="1">
      <c r="A112" s="60" t="s">
        <v>476</v>
      </c>
      <c r="B112" s="60" t="s">
        <v>497</v>
      </c>
      <c r="C112" s="43">
        <v>9001</v>
      </c>
      <c r="D112" s="60">
        <v>2131403</v>
      </c>
      <c r="E112" s="60" t="s">
        <v>242</v>
      </c>
      <c r="F112" s="49">
        <f>SUM(Nomina!R13:R40)*12</f>
        <v>2008800</v>
      </c>
    </row>
    <row r="113" spans="1:6" ht="12.75" customHeight="1">
      <c r="A113" s="60" t="s">
        <v>477</v>
      </c>
      <c r="B113" s="60" t="s">
        <v>497</v>
      </c>
      <c r="C113" s="43">
        <v>9001</v>
      </c>
      <c r="D113" s="60">
        <v>2131404</v>
      </c>
      <c r="E113" s="60" t="s">
        <v>243</v>
      </c>
      <c r="F113" s="49">
        <f>SUM(Nomina!S13:S40)*12</f>
        <v>2008800</v>
      </c>
    </row>
    <row r="114" spans="1:6" ht="12.75" customHeight="1">
      <c r="A114" s="60" t="s">
        <v>478</v>
      </c>
      <c r="B114" s="60" t="s">
        <v>497</v>
      </c>
      <c r="C114" s="43">
        <v>9001</v>
      </c>
      <c r="D114" s="60">
        <v>2131405</v>
      </c>
      <c r="E114" s="60" t="s">
        <v>244</v>
      </c>
      <c r="F114" s="49">
        <f>SUM(Nomina!K13:K40)*12</f>
        <v>30332400</v>
      </c>
    </row>
    <row r="115" spans="1:6" ht="12.75" customHeight="1">
      <c r="A115" s="60" t="s">
        <v>479</v>
      </c>
      <c r="B115" s="60" t="s">
        <v>497</v>
      </c>
      <c r="C115" s="43">
        <v>9001</v>
      </c>
      <c r="D115" s="60">
        <v>2131406</v>
      </c>
      <c r="E115" s="60" t="s">
        <v>245</v>
      </c>
      <c r="F115" s="49">
        <f>SUM(Nomina!J13:J40)*12</f>
        <v>41490000</v>
      </c>
    </row>
    <row r="116" spans="1:6" ht="12.75" customHeight="1">
      <c r="A116" s="60" t="s">
        <v>480</v>
      </c>
      <c r="B116" s="60" t="s">
        <v>497</v>
      </c>
      <c r="C116" s="43">
        <v>9001</v>
      </c>
      <c r="D116" s="60">
        <v>2131407</v>
      </c>
      <c r="E116" s="60" t="s">
        <v>246</v>
      </c>
      <c r="F116" s="49">
        <f>SUM(Nomina!L13:L40)*12</f>
        <v>1866000</v>
      </c>
    </row>
    <row r="117" spans="1:6" ht="12.75" customHeight="1">
      <c r="A117" s="60"/>
      <c r="B117" s="60" t="s">
        <v>497</v>
      </c>
      <c r="C117" s="79"/>
      <c r="D117" s="78">
        <v>2132</v>
      </c>
      <c r="E117" s="78" t="s">
        <v>247</v>
      </c>
      <c r="F117" s="51">
        <f>F118+F121+F138</f>
        <v>178000000</v>
      </c>
    </row>
    <row r="118" spans="1:6" ht="12.75" customHeight="1">
      <c r="A118" s="60"/>
      <c r="B118" s="60" t="s">
        <v>497</v>
      </c>
      <c r="C118" s="79"/>
      <c r="D118" s="78">
        <v>21321</v>
      </c>
      <c r="E118" s="78" t="s">
        <v>248</v>
      </c>
      <c r="F118" s="51">
        <f>SUM(F119:F120)</f>
        <v>26000000</v>
      </c>
    </row>
    <row r="119" spans="1:7" s="63" customFormat="1" ht="12.75" customHeight="1">
      <c r="A119" s="61" t="s">
        <v>490</v>
      </c>
      <c r="B119" s="61" t="s">
        <v>497</v>
      </c>
      <c r="C119" s="62">
        <v>9001</v>
      </c>
      <c r="D119" s="61">
        <v>2132101</v>
      </c>
      <c r="E119" s="60" t="s">
        <v>249</v>
      </c>
      <c r="F119" s="74">
        <v>6000000</v>
      </c>
      <c r="G119" s="72"/>
    </row>
    <row r="120" spans="1:6" ht="12.75" customHeight="1">
      <c r="A120" s="60" t="s">
        <v>481</v>
      </c>
      <c r="B120" s="60" t="s">
        <v>497</v>
      </c>
      <c r="C120" s="43">
        <v>9001</v>
      </c>
      <c r="D120" s="60">
        <v>2132102</v>
      </c>
      <c r="E120" s="60" t="s">
        <v>250</v>
      </c>
      <c r="F120" s="49">
        <v>20000000</v>
      </c>
    </row>
    <row r="121" spans="1:6" ht="12.75" customHeight="1">
      <c r="A121" s="60"/>
      <c r="B121" s="60" t="s">
        <v>497</v>
      </c>
      <c r="C121" s="79"/>
      <c r="D121" s="78">
        <v>21322</v>
      </c>
      <c r="E121" s="78" t="s">
        <v>251</v>
      </c>
      <c r="F121" s="51">
        <f>SUM(F122:F137)</f>
        <v>146400000</v>
      </c>
    </row>
    <row r="122" spans="1:6" ht="12.75" customHeight="1">
      <c r="A122" s="60" t="s">
        <v>483</v>
      </c>
      <c r="B122" s="60" t="s">
        <v>497</v>
      </c>
      <c r="C122" s="43">
        <v>9001</v>
      </c>
      <c r="D122" s="60">
        <v>2132201</v>
      </c>
      <c r="E122" s="60" t="s">
        <v>252</v>
      </c>
      <c r="F122" s="49">
        <v>10000000</v>
      </c>
    </row>
    <row r="123" spans="1:6" ht="12.75" customHeight="1">
      <c r="A123" s="60" t="s">
        <v>484</v>
      </c>
      <c r="B123" s="60" t="s">
        <v>497</v>
      </c>
      <c r="C123" s="43">
        <v>9001</v>
      </c>
      <c r="D123" s="60">
        <v>2132202</v>
      </c>
      <c r="E123" s="60" t="s">
        <v>275</v>
      </c>
      <c r="F123" s="49">
        <v>25000000</v>
      </c>
    </row>
    <row r="124" spans="1:6" ht="12.75" customHeight="1">
      <c r="A124" s="60" t="s">
        <v>496</v>
      </c>
      <c r="B124" s="60" t="s">
        <v>497</v>
      </c>
      <c r="C124" s="43">
        <v>9001</v>
      </c>
      <c r="D124" s="60">
        <v>2132203</v>
      </c>
      <c r="E124" s="60" t="s">
        <v>575</v>
      </c>
      <c r="F124" s="49">
        <v>14000000</v>
      </c>
    </row>
    <row r="125" spans="1:6" ht="12.75" customHeight="1">
      <c r="A125" s="60" t="s">
        <v>496</v>
      </c>
      <c r="B125" s="60" t="s">
        <v>497</v>
      </c>
      <c r="C125" s="43">
        <v>9001</v>
      </c>
      <c r="D125" s="60">
        <v>2132204</v>
      </c>
      <c r="E125" s="60" t="s">
        <v>503</v>
      </c>
      <c r="F125" s="49">
        <v>3000000</v>
      </c>
    </row>
    <row r="126" spans="1:6" ht="12.75" customHeight="1">
      <c r="A126" s="60" t="s">
        <v>486</v>
      </c>
      <c r="B126" s="60" t="s">
        <v>497</v>
      </c>
      <c r="C126" s="43">
        <v>9001</v>
      </c>
      <c r="D126" s="60">
        <v>2132205</v>
      </c>
      <c r="E126" s="60" t="s">
        <v>255</v>
      </c>
      <c r="F126" s="49">
        <v>12000000</v>
      </c>
    </row>
    <row r="127" spans="1:6" ht="12.75" customHeight="1">
      <c r="A127" s="60" t="s">
        <v>487</v>
      </c>
      <c r="B127" s="60" t="s">
        <v>497</v>
      </c>
      <c r="C127" s="43">
        <v>9001</v>
      </c>
      <c r="D127" s="60">
        <v>2132206</v>
      </c>
      <c r="E127" s="60" t="s">
        <v>256</v>
      </c>
      <c r="F127" s="49">
        <v>5000000</v>
      </c>
    </row>
    <row r="128" spans="1:6" ht="12.75" customHeight="1">
      <c r="A128" s="60" t="s">
        <v>488</v>
      </c>
      <c r="B128" s="60" t="s">
        <v>497</v>
      </c>
      <c r="C128" s="43">
        <v>9001</v>
      </c>
      <c r="D128" s="60">
        <v>2132207</v>
      </c>
      <c r="E128" s="60" t="s">
        <v>269</v>
      </c>
      <c r="F128" s="49">
        <v>16000000</v>
      </c>
    </row>
    <row r="129" spans="1:6" ht="12.75" customHeight="1">
      <c r="A129" s="60" t="s">
        <v>504</v>
      </c>
      <c r="B129" s="60" t="s">
        <v>497</v>
      </c>
      <c r="C129" s="43">
        <v>9001</v>
      </c>
      <c r="D129" s="60">
        <v>2132208</v>
      </c>
      <c r="E129" s="60" t="s">
        <v>257</v>
      </c>
      <c r="F129" s="49">
        <v>2500000</v>
      </c>
    </row>
    <row r="130" spans="1:6" ht="12.75" customHeight="1">
      <c r="A130" s="60" t="s">
        <v>505</v>
      </c>
      <c r="B130" s="60" t="s">
        <v>497</v>
      </c>
      <c r="C130" s="43">
        <v>9001</v>
      </c>
      <c r="D130" s="60">
        <v>2132209</v>
      </c>
      <c r="E130" s="60" t="s">
        <v>276</v>
      </c>
      <c r="F130" s="49">
        <v>1000000</v>
      </c>
    </row>
    <row r="131" spans="1:6" ht="12.75" customHeight="1">
      <c r="A131" s="60" t="s">
        <v>505</v>
      </c>
      <c r="B131" s="60" t="s">
        <v>497</v>
      </c>
      <c r="C131" s="43">
        <v>9001</v>
      </c>
      <c r="D131" s="60">
        <v>2132213</v>
      </c>
      <c r="E131" s="60" t="s">
        <v>277</v>
      </c>
      <c r="F131" s="49">
        <v>1500000</v>
      </c>
    </row>
    <row r="132" spans="1:6" ht="12.75" customHeight="1">
      <c r="A132" s="60" t="s">
        <v>506</v>
      </c>
      <c r="B132" s="60" t="s">
        <v>497</v>
      </c>
      <c r="C132" s="43">
        <v>9001</v>
      </c>
      <c r="D132" s="60">
        <v>2132214</v>
      </c>
      <c r="E132" s="60" t="s">
        <v>278</v>
      </c>
      <c r="F132" s="49">
        <v>24000000</v>
      </c>
    </row>
    <row r="133" spans="1:6" ht="12.75" customHeight="1">
      <c r="A133" s="60" t="s">
        <v>483</v>
      </c>
      <c r="B133" s="60" t="s">
        <v>497</v>
      </c>
      <c r="C133" s="43">
        <v>9001</v>
      </c>
      <c r="D133" s="60">
        <v>2132215</v>
      </c>
      <c r="E133" s="60" t="s">
        <v>279</v>
      </c>
      <c r="F133" s="49">
        <v>14400000</v>
      </c>
    </row>
    <row r="134" spans="1:6" ht="12.75" customHeight="1">
      <c r="A134" s="60" t="s">
        <v>505</v>
      </c>
      <c r="B134" s="60" t="s">
        <v>497</v>
      </c>
      <c r="C134" s="43">
        <v>9001</v>
      </c>
      <c r="D134" s="60">
        <v>2132216</v>
      </c>
      <c r="E134" s="60" t="s">
        <v>280</v>
      </c>
      <c r="F134" s="49">
        <v>2500000</v>
      </c>
    </row>
    <row r="135" spans="1:6" ht="12.75" customHeight="1">
      <c r="A135" s="60" t="s">
        <v>482</v>
      </c>
      <c r="B135" s="60" t="s">
        <v>497</v>
      </c>
      <c r="C135" s="43">
        <v>9001</v>
      </c>
      <c r="D135" s="60">
        <v>2132217</v>
      </c>
      <c r="E135" s="60" t="s">
        <v>262</v>
      </c>
      <c r="F135" s="49">
        <v>10500000</v>
      </c>
    </row>
    <row r="136" spans="1:6" ht="12.75" customHeight="1">
      <c r="A136" s="64" t="s">
        <v>505</v>
      </c>
      <c r="B136" s="60" t="s">
        <v>497</v>
      </c>
      <c r="C136" s="43">
        <v>9001</v>
      </c>
      <c r="D136" s="60">
        <v>2132219</v>
      </c>
      <c r="E136" s="60" t="s">
        <v>281</v>
      </c>
      <c r="F136" s="49">
        <v>3000000</v>
      </c>
    </row>
    <row r="137" spans="1:6" ht="12.75" customHeight="1">
      <c r="A137" s="60" t="s">
        <v>507</v>
      </c>
      <c r="B137" s="60" t="s">
        <v>497</v>
      </c>
      <c r="C137" s="43">
        <v>9001</v>
      </c>
      <c r="D137" s="60">
        <v>2132220</v>
      </c>
      <c r="E137" s="60" t="s">
        <v>282</v>
      </c>
      <c r="F137" s="49">
        <v>2000000</v>
      </c>
    </row>
    <row r="138" spans="1:6" ht="12.75" customHeight="1">
      <c r="A138" s="60"/>
      <c r="B138" s="60" t="s">
        <v>497</v>
      </c>
      <c r="C138" s="79"/>
      <c r="D138" s="78">
        <v>21323</v>
      </c>
      <c r="E138" s="78" t="s">
        <v>283</v>
      </c>
      <c r="F138" s="51">
        <f>SUM(F139:F141)</f>
        <v>5600000</v>
      </c>
    </row>
    <row r="139" spans="1:6" ht="12.75" customHeight="1">
      <c r="A139" s="60" t="s">
        <v>495</v>
      </c>
      <c r="B139" s="60" t="s">
        <v>497</v>
      </c>
      <c r="C139" s="43">
        <v>9001</v>
      </c>
      <c r="D139" s="60">
        <v>2132301</v>
      </c>
      <c r="E139" s="60" t="s">
        <v>284</v>
      </c>
      <c r="F139" s="49">
        <v>4000000</v>
      </c>
    </row>
    <row r="140" spans="1:6" ht="12.75" customHeight="1">
      <c r="A140" s="60" t="s">
        <v>495</v>
      </c>
      <c r="B140" s="60" t="s">
        <v>497</v>
      </c>
      <c r="C140" s="43">
        <v>9001</v>
      </c>
      <c r="D140" s="60">
        <v>2132302</v>
      </c>
      <c r="E140" s="60" t="s">
        <v>285</v>
      </c>
      <c r="F140" s="49">
        <v>1000000</v>
      </c>
    </row>
    <row r="141" spans="1:6" ht="12.75" customHeight="1">
      <c r="A141" s="60" t="s">
        <v>495</v>
      </c>
      <c r="B141" s="60" t="s">
        <v>497</v>
      </c>
      <c r="C141" s="43">
        <v>9001</v>
      </c>
      <c r="D141" s="60">
        <v>2132303</v>
      </c>
      <c r="E141" s="60" t="s">
        <v>286</v>
      </c>
      <c r="F141" s="49">
        <v>600000</v>
      </c>
    </row>
    <row r="142" spans="1:6" ht="12.75" customHeight="1">
      <c r="A142" s="60"/>
      <c r="B142" s="60" t="s">
        <v>497</v>
      </c>
      <c r="C142" s="79"/>
      <c r="D142" s="78">
        <v>2133</v>
      </c>
      <c r="E142" s="78" t="s">
        <v>287</v>
      </c>
      <c r="F142" s="51">
        <f>F143+F151</f>
        <v>449948799</v>
      </c>
    </row>
    <row r="143" spans="1:6" ht="12.75" customHeight="1">
      <c r="A143" s="60"/>
      <c r="B143" s="60" t="s">
        <v>497</v>
      </c>
      <c r="C143" s="79"/>
      <c r="D143" s="78">
        <v>21331</v>
      </c>
      <c r="E143" s="78" t="s">
        <v>288</v>
      </c>
      <c r="F143" s="51">
        <f>F144+F149</f>
        <v>300016000</v>
      </c>
    </row>
    <row r="144" spans="1:6" ht="12.75" customHeight="1">
      <c r="A144" s="60"/>
      <c r="B144" s="60" t="s">
        <v>497</v>
      </c>
      <c r="C144" s="79"/>
      <c r="D144" s="78">
        <v>213311</v>
      </c>
      <c r="E144" s="78" t="s">
        <v>289</v>
      </c>
      <c r="F144" s="51">
        <f>SUM(F145:F148)</f>
        <v>299016000</v>
      </c>
    </row>
    <row r="145" spans="1:6" ht="12.75" customHeight="1">
      <c r="A145" s="60" t="s">
        <v>508</v>
      </c>
      <c r="B145" s="60" t="s">
        <v>497</v>
      </c>
      <c r="C145" s="43">
        <v>9001</v>
      </c>
      <c r="D145" s="60">
        <v>21331101</v>
      </c>
      <c r="E145" s="60" t="s">
        <v>290</v>
      </c>
      <c r="F145" s="49">
        <f>SUM(Nomina!I41:I44)*14</f>
        <v>25816000</v>
      </c>
    </row>
    <row r="146" spans="1:6" ht="12.75" customHeight="1">
      <c r="A146" s="60" t="s">
        <v>509</v>
      </c>
      <c r="B146" s="60" t="s">
        <v>497</v>
      </c>
      <c r="C146" s="43">
        <v>9001</v>
      </c>
      <c r="D146" s="60">
        <v>21331102</v>
      </c>
      <c r="E146" s="60" t="s">
        <v>291</v>
      </c>
      <c r="F146" s="49">
        <v>3000000</v>
      </c>
    </row>
    <row r="147" spans="1:6" ht="12.75" customHeight="1">
      <c r="A147" s="60" t="s">
        <v>509</v>
      </c>
      <c r="B147" s="60" t="s">
        <v>497</v>
      </c>
      <c r="C147" s="43">
        <v>9001</v>
      </c>
      <c r="D147" s="60">
        <v>21331103</v>
      </c>
      <c r="E147" s="60" t="s">
        <v>292</v>
      </c>
      <c r="F147" s="49">
        <v>270000000</v>
      </c>
    </row>
    <row r="148" spans="1:6" ht="12.75" customHeight="1">
      <c r="A148" s="60" t="s">
        <v>509</v>
      </c>
      <c r="B148" s="60" t="s">
        <v>497</v>
      </c>
      <c r="C148" s="43">
        <v>9001</v>
      </c>
      <c r="D148" s="60">
        <v>21331104</v>
      </c>
      <c r="E148" s="60" t="s">
        <v>293</v>
      </c>
      <c r="F148" s="49">
        <v>200000</v>
      </c>
    </row>
    <row r="149" spans="1:6" ht="12.75" customHeight="1">
      <c r="A149" s="60"/>
      <c r="B149" s="60" t="s">
        <v>497</v>
      </c>
      <c r="C149" s="79"/>
      <c r="D149" s="78">
        <v>213312</v>
      </c>
      <c r="E149" s="78" t="s">
        <v>13</v>
      </c>
      <c r="F149" s="51">
        <f>F150</f>
        <v>1000000</v>
      </c>
    </row>
    <row r="150" spans="1:6" ht="12.75" customHeight="1">
      <c r="A150" s="60" t="s">
        <v>510</v>
      </c>
      <c r="B150" s="60" t="s">
        <v>497</v>
      </c>
      <c r="C150" s="43">
        <v>9001</v>
      </c>
      <c r="D150" s="60">
        <v>21331201</v>
      </c>
      <c r="E150" s="60" t="s">
        <v>294</v>
      </c>
      <c r="F150" s="49">
        <v>1000000</v>
      </c>
    </row>
    <row r="151" spans="1:6" ht="12.75" customHeight="1">
      <c r="A151" s="60"/>
      <c r="B151" s="60" t="s">
        <v>497</v>
      </c>
      <c r="C151" s="79"/>
      <c r="D151" s="78">
        <v>21332</v>
      </c>
      <c r="E151" s="78" t="s">
        <v>295</v>
      </c>
      <c r="F151" s="51">
        <f>F152+F155</f>
        <v>149932799</v>
      </c>
    </row>
    <row r="152" spans="1:6" ht="12.75" customHeight="1">
      <c r="A152" s="60"/>
      <c r="B152" s="60" t="s">
        <v>497</v>
      </c>
      <c r="C152" s="79"/>
      <c r="D152" s="78">
        <v>213321</v>
      </c>
      <c r="E152" s="78" t="s">
        <v>296</v>
      </c>
      <c r="F152" s="51">
        <f>SUM(F153:F154)</f>
        <v>4500000</v>
      </c>
    </row>
    <row r="153" spans="1:6" ht="12.75" customHeight="1">
      <c r="A153" s="60" t="s">
        <v>511</v>
      </c>
      <c r="B153" s="60" t="s">
        <v>497</v>
      </c>
      <c r="C153" s="43">
        <v>9001</v>
      </c>
      <c r="D153" s="60">
        <v>21332101</v>
      </c>
      <c r="E153" s="60" t="s">
        <v>297</v>
      </c>
      <c r="F153" s="49">
        <v>1500000</v>
      </c>
    </row>
    <row r="154" spans="1:6" ht="12.75" customHeight="1">
      <c r="A154" s="60" t="s">
        <v>511</v>
      </c>
      <c r="B154" s="60" t="s">
        <v>497</v>
      </c>
      <c r="C154" s="43">
        <v>9001</v>
      </c>
      <c r="D154" s="60">
        <v>21332102</v>
      </c>
      <c r="E154" s="60" t="s">
        <v>298</v>
      </c>
      <c r="F154" s="49">
        <v>3000000</v>
      </c>
    </row>
    <row r="155" spans="1:6" ht="12.75" customHeight="1">
      <c r="A155" s="60"/>
      <c r="B155" s="60" t="s">
        <v>497</v>
      </c>
      <c r="C155" s="79"/>
      <c r="D155" s="78">
        <v>213332</v>
      </c>
      <c r="E155" s="78" t="s">
        <v>299</v>
      </c>
      <c r="F155" s="51">
        <f>SUM(F156:F159)</f>
        <v>145432799</v>
      </c>
    </row>
    <row r="156" spans="1:6" ht="12.75" customHeight="1">
      <c r="A156" s="60" t="s">
        <v>512</v>
      </c>
      <c r="B156" s="60" t="s">
        <v>497</v>
      </c>
      <c r="C156" s="43">
        <v>9001</v>
      </c>
      <c r="D156" s="60">
        <v>21333201</v>
      </c>
      <c r="E156" s="60" t="s">
        <v>300</v>
      </c>
      <c r="F156" s="49">
        <v>6500000</v>
      </c>
    </row>
    <row r="157" spans="1:6" ht="12.75" customHeight="1">
      <c r="A157" s="40" t="s">
        <v>513</v>
      </c>
      <c r="B157" s="60" t="s">
        <v>497</v>
      </c>
      <c r="C157" s="43">
        <v>9001</v>
      </c>
      <c r="D157" s="60">
        <v>21333202</v>
      </c>
      <c r="E157" s="60" t="s">
        <v>301</v>
      </c>
      <c r="F157" s="49">
        <v>1400000</v>
      </c>
    </row>
    <row r="158" spans="1:6" ht="12.75" customHeight="1">
      <c r="A158" s="40" t="s">
        <v>514</v>
      </c>
      <c r="B158" s="60" t="s">
        <v>497</v>
      </c>
      <c r="C158" s="43">
        <v>9001</v>
      </c>
      <c r="D158" s="60">
        <v>21333203</v>
      </c>
      <c r="E158" s="60" t="s">
        <v>302</v>
      </c>
      <c r="F158" s="49">
        <v>135000000</v>
      </c>
    </row>
    <row r="159" spans="1:6" ht="12.75" customHeight="1">
      <c r="A159" s="60" t="s">
        <v>223</v>
      </c>
      <c r="B159" s="60" t="s">
        <v>497</v>
      </c>
      <c r="C159" s="43">
        <v>9001</v>
      </c>
      <c r="D159" s="60">
        <v>21333204</v>
      </c>
      <c r="E159" s="60" t="s">
        <v>559</v>
      </c>
      <c r="F159" s="49">
        <v>2532799</v>
      </c>
    </row>
    <row r="160" spans="1:7" ht="12.75" customHeight="1">
      <c r="A160" s="60"/>
      <c r="B160" s="60" t="s">
        <v>497</v>
      </c>
      <c r="C160" s="79"/>
      <c r="D160" s="78">
        <v>214</v>
      </c>
      <c r="E160" s="78" t="s">
        <v>183</v>
      </c>
      <c r="F160" s="51">
        <f>F161+F184+F201</f>
        <v>222240000</v>
      </c>
      <c r="G160" s="58">
        <f>(Ingresos!K90*80%)-F160</f>
        <v>0</v>
      </c>
    </row>
    <row r="161" spans="1:6" ht="12.75" customHeight="1">
      <c r="A161" s="60"/>
      <c r="B161" s="60" t="s">
        <v>497</v>
      </c>
      <c r="C161" s="79"/>
      <c r="D161" s="78">
        <v>2141</v>
      </c>
      <c r="E161" s="78" t="s">
        <v>227</v>
      </c>
      <c r="F161" s="51">
        <f>F162+F170+F173+F176</f>
        <v>112547356</v>
      </c>
    </row>
    <row r="162" spans="1:6" ht="12.75" customHeight="1">
      <c r="A162" s="60"/>
      <c r="B162" s="60" t="s">
        <v>497</v>
      </c>
      <c r="C162" s="79"/>
      <c r="D162" s="78">
        <v>21411</v>
      </c>
      <c r="E162" s="78" t="s">
        <v>228</v>
      </c>
      <c r="F162" s="51">
        <f>SUM(F163:F169)</f>
        <v>81587264</v>
      </c>
    </row>
    <row r="163" spans="1:7" ht="12.75" customHeight="1">
      <c r="A163" s="60" t="s">
        <v>466</v>
      </c>
      <c r="B163" s="60" t="s">
        <v>497</v>
      </c>
      <c r="C163" s="43">
        <v>9001</v>
      </c>
      <c r="D163" s="60">
        <v>2141101</v>
      </c>
      <c r="E163" s="60" t="s">
        <v>303</v>
      </c>
      <c r="F163" s="90">
        <f>SUM(Nomina!I6:I12)*12</f>
        <v>64728000</v>
      </c>
      <c r="G163" s="72"/>
    </row>
    <row r="164" spans="1:7" s="63" customFormat="1" ht="12.75" customHeight="1">
      <c r="A164" s="61" t="s">
        <v>498</v>
      </c>
      <c r="B164" s="61" t="s">
        <v>497</v>
      </c>
      <c r="C164" s="62">
        <v>9001</v>
      </c>
      <c r="D164" s="61">
        <v>2141102</v>
      </c>
      <c r="E164" s="60" t="s">
        <v>230</v>
      </c>
      <c r="F164" s="90">
        <f>SUM(Nomina!V6:V12)*12+SUM(Nomina!I6:I12)/15</f>
        <v>3055532</v>
      </c>
      <c r="G164" s="92"/>
    </row>
    <row r="165" spans="1:7" ht="12.75" customHeight="1">
      <c r="A165" s="60" t="s">
        <v>499</v>
      </c>
      <c r="B165" s="60" t="s">
        <v>497</v>
      </c>
      <c r="C165" s="43">
        <v>9001</v>
      </c>
      <c r="D165" s="60">
        <v>2141103</v>
      </c>
      <c r="E165" s="60" t="s">
        <v>304</v>
      </c>
      <c r="F165" s="49">
        <f>SUM(Nomina!Y6:Y12)*12</f>
        <v>5391852</v>
      </c>
      <c r="G165" s="92"/>
    </row>
    <row r="166" spans="1:7" ht="12.75" customHeight="1">
      <c r="A166" s="60" t="s">
        <v>223</v>
      </c>
      <c r="B166" s="60" t="s">
        <v>497</v>
      </c>
      <c r="C166" s="43">
        <v>9001</v>
      </c>
      <c r="D166" s="60">
        <v>2141104</v>
      </c>
      <c r="E166" s="60" t="s">
        <v>571</v>
      </c>
      <c r="F166" s="49">
        <f>SUM(Nomina!X6:X12)*12</f>
        <v>2695932</v>
      </c>
      <c r="G166" s="72"/>
    </row>
    <row r="167" spans="1:6" ht="12.75" customHeight="1">
      <c r="A167" s="60" t="s">
        <v>223</v>
      </c>
      <c r="B167" s="60" t="s">
        <v>497</v>
      </c>
      <c r="C167" s="43">
        <v>9001</v>
      </c>
      <c r="D167" s="61">
        <v>2141105</v>
      </c>
      <c r="E167" s="60" t="s">
        <v>572</v>
      </c>
      <c r="F167" s="49">
        <f>SUM(Nomina!M6:M12)*12</f>
        <v>2498844</v>
      </c>
    </row>
    <row r="168" spans="1:6" ht="12.75" customHeight="1">
      <c r="A168" s="60" t="s">
        <v>223</v>
      </c>
      <c r="B168" s="60" t="s">
        <v>497</v>
      </c>
      <c r="C168" s="43">
        <v>9001</v>
      </c>
      <c r="D168" s="60">
        <v>2141106</v>
      </c>
      <c r="E168" s="60" t="s">
        <v>573</v>
      </c>
      <c r="F168" s="49">
        <f>SUM(Nomina!N6:N12)*12</f>
        <v>2556864</v>
      </c>
    </row>
    <row r="169" spans="1:6" ht="12.75" customHeight="1">
      <c r="A169" s="60" t="s">
        <v>500</v>
      </c>
      <c r="B169" s="60" t="s">
        <v>497</v>
      </c>
      <c r="C169" s="43">
        <v>9001</v>
      </c>
      <c r="D169" s="60">
        <v>2141107</v>
      </c>
      <c r="E169" s="60" t="s">
        <v>305</v>
      </c>
      <c r="F169" s="49">
        <f>SUM(Nomina!W6:W12)*12</f>
        <v>660240</v>
      </c>
    </row>
    <row r="170" spans="1:6" ht="12.75" customHeight="1">
      <c r="A170" s="60"/>
      <c r="B170" s="60" t="s">
        <v>497</v>
      </c>
      <c r="C170" s="79"/>
      <c r="D170" s="78">
        <v>21412</v>
      </c>
      <c r="E170" s="78" t="s">
        <v>233</v>
      </c>
      <c r="F170" s="51">
        <f>SUM(F171:F172)</f>
        <v>5000000</v>
      </c>
    </row>
    <row r="171" spans="1:6" ht="12.75" customHeight="1">
      <c r="A171" s="60" t="s">
        <v>470</v>
      </c>
      <c r="B171" s="60" t="s">
        <v>497</v>
      </c>
      <c r="C171" s="43">
        <v>9001</v>
      </c>
      <c r="D171" s="60">
        <v>2141201</v>
      </c>
      <c r="E171" s="60" t="s">
        <v>234</v>
      </c>
      <c r="F171" s="74">
        <v>3500000</v>
      </c>
    </row>
    <row r="172" spans="1:6" ht="12.75" customHeight="1">
      <c r="A172" s="60" t="s">
        <v>501</v>
      </c>
      <c r="B172" s="60" t="s">
        <v>497</v>
      </c>
      <c r="C172" s="43">
        <v>9001</v>
      </c>
      <c r="D172" s="60">
        <v>2141202</v>
      </c>
      <c r="E172" s="60" t="s">
        <v>264</v>
      </c>
      <c r="F172" s="49">
        <v>1500000</v>
      </c>
    </row>
    <row r="173" spans="1:6" ht="12.75" customHeight="1">
      <c r="A173" s="60"/>
      <c r="B173" s="60" t="s">
        <v>497</v>
      </c>
      <c r="C173" s="79"/>
      <c r="D173" s="78">
        <v>21413</v>
      </c>
      <c r="E173" s="78" t="s">
        <v>236</v>
      </c>
      <c r="F173" s="51">
        <f>SUM(F174:F175)</f>
        <v>8952492</v>
      </c>
    </row>
    <row r="174" spans="1:6" ht="12.75" customHeight="1">
      <c r="A174" s="60" t="s">
        <v>472</v>
      </c>
      <c r="B174" s="60" t="s">
        <v>497</v>
      </c>
      <c r="C174" s="43">
        <v>9001</v>
      </c>
      <c r="D174" s="60">
        <v>2141301</v>
      </c>
      <c r="E174" s="60" t="s">
        <v>306</v>
      </c>
      <c r="F174" s="49">
        <f>SUM(Nomina!P6:P12)*12</f>
        <v>2913600</v>
      </c>
    </row>
    <row r="175" spans="1:6" ht="12.75" customHeight="1">
      <c r="A175" s="60" t="s">
        <v>473</v>
      </c>
      <c r="B175" s="60" t="s">
        <v>497</v>
      </c>
      <c r="C175" s="43">
        <v>9001</v>
      </c>
      <c r="D175" s="60">
        <v>2141302</v>
      </c>
      <c r="E175" s="60" t="s">
        <v>307</v>
      </c>
      <c r="F175" s="49">
        <f>SUM(Nomina!T6:U12)*12</f>
        <v>6038892</v>
      </c>
    </row>
    <row r="176" spans="1:6" ht="12.75" customHeight="1">
      <c r="A176" s="60"/>
      <c r="B176" s="60" t="s">
        <v>497</v>
      </c>
      <c r="C176" s="79"/>
      <c r="D176" s="78">
        <v>21414</v>
      </c>
      <c r="E176" s="78" t="s">
        <v>239</v>
      </c>
      <c r="F176" s="51">
        <f>SUM(F177:F183)</f>
        <v>17007600</v>
      </c>
    </row>
    <row r="177" spans="1:6" ht="12.75" customHeight="1">
      <c r="A177" s="60" t="s">
        <v>474</v>
      </c>
      <c r="B177" s="60" t="s">
        <v>497</v>
      </c>
      <c r="C177" s="43">
        <v>9001</v>
      </c>
      <c r="D177" s="60">
        <v>2141401</v>
      </c>
      <c r="E177" s="60" t="s">
        <v>240</v>
      </c>
      <c r="F177" s="49">
        <f>SUM(Nomina!O6:O12)*12</f>
        <v>2184000</v>
      </c>
    </row>
    <row r="178" spans="1:6" ht="12.75" customHeight="1">
      <c r="A178" s="60" t="s">
        <v>475</v>
      </c>
      <c r="B178" s="60" t="s">
        <v>497</v>
      </c>
      <c r="C178" s="43">
        <v>9001</v>
      </c>
      <c r="D178" s="60">
        <v>2141402</v>
      </c>
      <c r="E178" s="60" t="s">
        <v>241</v>
      </c>
      <c r="F178" s="49">
        <f>SUM(Nomina!Q6:Q12)*12</f>
        <v>728400</v>
      </c>
    </row>
    <row r="179" spans="1:6" ht="12.75" customHeight="1">
      <c r="A179" s="60" t="s">
        <v>476</v>
      </c>
      <c r="B179" s="60" t="s">
        <v>497</v>
      </c>
      <c r="C179" s="43">
        <v>9001</v>
      </c>
      <c r="D179" s="60">
        <v>2141403</v>
      </c>
      <c r="E179" s="60" t="s">
        <v>242</v>
      </c>
      <c r="F179" s="49">
        <f>SUM(Nomina!R6:R12)*12</f>
        <v>363600</v>
      </c>
    </row>
    <row r="180" spans="1:6" ht="12.75" customHeight="1">
      <c r="A180" s="60" t="s">
        <v>477</v>
      </c>
      <c r="B180" s="60" t="s">
        <v>497</v>
      </c>
      <c r="C180" s="43">
        <v>9001</v>
      </c>
      <c r="D180" s="60">
        <v>2141404</v>
      </c>
      <c r="E180" s="60" t="s">
        <v>243</v>
      </c>
      <c r="F180" s="49">
        <f>SUM(Nomina!S6:S12)*12</f>
        <v>363600</v>
      </c>
    </row>
    <row r="181" spans="1:6" ht="12.75" customHeight="1">
      <c r="A181" s="60" t="s">
        <v>478</v>
      </c>
      <c r="B181" s="60" t="s">
        <v>497</v>
      </c>
      <c r="C181" s="43">
        <v>9001</v>
      </c>
      <c r="D181" s="60">
        <v>2141405</v>
      </c>
      <c r="E181" s="60" t="s">
        <v>265</v>
      </c>
      <c r="F181" s="49">
        <f>SUM(Nomina!K6:K12)*12</f>
        <v>5502000</v>
      </c>
    </row>
    <row r="182" spans="1:6" ht="12.75" customHeight="1">
      <c r="A182" s="60" t="s">
        <v>479</v>
      </c>
      <c r="B182" s="60" t="s">
        <v>497</v>
      </c>
      <c r="C182" s="43">
        <v>9001</v>
      </c>
      <c r="D182" s="60">
        <v>2141406</v>
      </c>
      <c r="E182" s="60" t="s">
        <v>266</v>
      </c>
      <c r="F182" s="49">
        <f>SUM(Nomina!J6:J12)*12</f>
        <v>7526400</v>
      </c>
    </row>
    <row r="183" spans="1:6" ht="12.75" customHeight="1">
      <c r="A183" s="60" t="s">
        <v>480</v>
      </c>
      <c r="B183" s="60" t="s">
        <v>497</v>
      </c>
      <c r="C183" s="43">
        <v>9001</v>
      </c>
      <c r="D183" s="60">
        <v>2141407</v>
      </c>
      <c r="E183" s="60" t="s">
        <v>246</v>
      </c>
      <c r="F183" s="49">
        <f>SUM(Nomina!L6:L12)*12</f>
        <v>339600</v>
      </c>
    </row>
    <row r="184" spans="1:6" ht="12.75" customHeight="1">
      <c r="A184" s="60"/>
      <c r="B184" s="60" t="s">
        <v>497</v>
      </c>
      <c r="C184" s="79"/>
      <c r="D184" s="78">
        <v>2142</v>
      </c>
      <c r="E184" s="78" t="s">
        <v>247</v>
      </c>
      <c r="F184" s="51">
        <f>F185+F189+F199</f>
        <v>107452644</v>
      </c>
    </row>
    <row r="185" spans="1:6" ht="12.75" customHeight="1">
      <c r="A185" s="60"/>
      <c r="B185" s="60" t="s">
        <v>497</v>
      </c>
      <c r="C185" s="79"/>
      <c r="D185" s="78">
        <v>21421</v>
      </c>
      <c r="E185" s="78" t="s">
        <v>248</v>
      </c>
      <c r="F185" s="51">
        <f>SUM(F186:F188)</f>
        <v>29674864</v>
      </c>
    </row>
    <row r="186" spans="1:6" ht="12.75" customHeight="1">
      <c r="A186" s="60" t="s">
        <v>490</v>
      </c>
      <c r="B186" s="60" t="s">
        <v>497</v>
      </c>
      <c r="C186" s="43">
        <v>9001</v>
      </c>
      <c r="D186" s="60">
        <v>2142101</v>
      </c>
      <c r="E186" s="60" t="s">
        <v>308</v>
      </c>
      <c r="F186" s="49">
        <v>5000000</v>
      </c>
    </row>
    <row r="187" spans="1:6" ht="12.75" customHeight="1">
      <c r="A187" s="60" t="s">
        <v>481</v>
      </c>
      <c r="B187" s="60" t="s">
        <v>497</v>
      </c>
      <c r="C187" s="43">
        <v>9001</v>
      </c>
      <c r="D187" s="60">
        <v>2142102</v>
      </c>
      <c r="E187" s="60" t="s">
        <v>309</v>
      </c>
      <c r="F187" s="49">
        <v>20674864</v>
      </c>
    </row>
    <row r="188" spans="1:6" ht="12.75" customHeight="1">
      <c r="A188" s="60" t="s">
        <v>482</v>
      </c>
      <c r="B188" s="60" t="s">
        <v>497</v>
      </c>
      <c r="C188" s="43">
        <v>9001</v>
      </c>
      <c r="D188" s="60">
        <v>2142103</v>
      </c>
      <c r="E188" s="60" t="s">
        <v>270</v>
      </c>
      <c r="F188" s="49">
        <v>4000000</v>
      </c>
    </row>
    <row r="189" spans="1:6" ht="12.75" customHeight="1">
      <c r="A189" s="60"/>
      <c r="B189" s="60" t="s">
        <v>497</v>
      </c>
      <c r="C189" s="79"/>
      <c r="D189" s="78">
        <v>21422</v>
      </c>
      <c r="E189" s="78" t="s">
        <v>251</v>
      </c>
      <c r="F189" s="51">
        <f>SUM(F190:F198)</f>
        <v>77277780</v>
      </c>
    </row>
    <row r="190" spans="1:6" ht="12.75" customHeight="1">
      <c r="A190" s="60" t="s">
        <v>483</v>
      </c>
      <c r="B190" s="60" t="s">
        <v>497</v>
      </c>
      <c r="C190" s="43">
        <v>9001</v>
      </c>
      <c r="D190" s="60">
        <v>2142201</v>
      </c>
      <c r="E190" s="60" t="s">
        <v>252</v>
      </c>
      <c r="F190" s="49">
        <v>21777780</v>
      </c>
    </row>
    <row r="191" spans="1:6" ht="12.75" customHeight="1">
      <c r="A191" s="60" t="s">
        <v>484</v>
      </c>
      <c r="B191" s="60" t="s">
        <v>497</v>
      </c>
      <c r="C191" s="43">
        <v>9001</v>
      </c>
      <c r="D191" s="60">
        <v>2142202</v>
      </c>
      <c r="E191" s="60" t="s">
        <v>310</v>
      </c>
      <c r="F191" s="49">
        <v>7000000</v>
      </c>
    </row>
    <row r="192" spans="1:6" ht="12.75" customHeight="1">
      <c r="A192" s="60" t="s">
        <v>486</v>
      </c>
      <c r="B192" s="60" t="s">
        <v>497</v>
      </c>
      <c r="C192" s="43">
        <v>9001</v>
      </c>
      <c r="D192" s="60">
        <v>2142203</v>
      </c>
      <c r="E192" s="60" t="s">
        <v>311</v>
      </c>
      <c r="F192" s="49">
        <v>3500000</v>
      </c>
    </row>
    <row r="193" spans="1:6" ht="12.75" customHeight="1">
      <c r="A193" s="60" t="s">
        <v>487</v>
      </c>
      <c r="B193" s="60" t="s">
        <v>497</v>
      </c>
      <c r="C193" s="43">
        <v>9001</v>
      </c>
      <c r="D193" s="60">
        <v>2142204</v>
      </c>
      <c r="E193" s="60" t="s">
        <v>312</v>
      </c>
      <c r="F193" s="49">
        <v>3500000</v>
      </c>
    </row>
    <row r="194" spans="1:6" ht="12.75" customHeight="1">
      <c r="A194" s="60" t="s">
        <v>488</v>
      </c>
      <c r="B194" s="60" t="s">
        <v>497</v>
      </c>
      <c r="C194" s="43">
        <v>9001</v>
      </c>
      <c r="D194" s="60">
        <v>2142205</v>
      </c>
      <c r="E194" s="60" t="s">
        <v>269</v>
      </c>
      <c r="F194" s="49">
        <v>1000000</v>
      </c>
    </row>
    <row r="195" spans="1:6" ht="12.75" customHeight="1">
      <c r="A195" s="60" t="s">
        <v>506</v>
      </c>
      <c r="B195" s="60" t="s">
        <v>497</v>
      </c>
      <c r="C195" s="43">
        <v>9001</v>
      </c>
      <c r="D195" s="60">
        <v>2142206</v>
      </c>
      <c r="E195" s="60" t="s">
        <v>278</v>
      </c>
      <c r="F195" s="49">
        <v>8000000</v>
      </c>
    </row>
    <row r="196" spans="1:6" ht="12.75" customHeight="1">
      <c r="A196" s="60" t="s">
        <v>515</v>
      </c>
      <c r="B196" s="60" t="s">
        <v>497</v>
      </c>
      <c r="C196" s="43">
        <v>9001</v>
      </c>
      <c r="D196" s="60">
        <v>2142207</v>
      </c>
      <c r="E196" s="60" t="s">
        <v>313</v>
      </c>
      <c r="F196" s="49">
        <v>30000000</v>
      </c>
    </row>
    <row r="197" spans="1:6" ht="12.75" customHeight="1">
      <c r="A197" s="60" t="s">
        <v>505</v>
      </c>
      <c r="B197" s="60" t="s">
        <v>497</v>
      </c>
      <c r="C197" s="43">
        <v>9001</v>
      </c>
      <c r="D197" s="60">
        <v>2142208</v>
      </c>
      <c r="E197" s="60" t="s">
        <v>314</v>
      </c>
      <c r="F197" s="49">
        <v>1500000</v>
      </c>
    </row>
    <row r="198" spans="1:6" ht="12.75" customHeight="1">
      <c r="A198" s="60" t="s">
        <v>504</v>
      </c>
      <c r="B198" s="60" t="s">
        <v>497</v>
      </c>
      <c r="C198" s="43">
        <v>9001</v>
      </c>
      <c r="D198" s="60">
        <v>2142209</v>
      </c>
      <c r="E198" s="60" t="s">
        <v>257</v>
      </c>
      <c r="F198" s="49">
        <v>1000000</v>
      </c>
    </row>
    <row r="199" spans="1:6" ht="12.75" customHeight="1">
      <c r="A199" s="60"/>
      <c r="B199" s="60" t="s">
        <v>497</v>
      </c>
      <c r="C199" s="79"/>
      <c r="D199" s="78">
        <v>21423</v>
      </c>
      <c r="E199" s="78" t="s">
        <v>283</v>
      </c>
      <c r="F199" s="51">
        <f>F200</f>
        <v>500000</v>
      </c>
    </row>
    <row r="200" spans="1:6" ht="12.75" customHeight="1">
      <c r="A200" s="60" t="s">
        <v>495</v>
      </c>
      <c r="B200" s="60" t="s">
        <v>497</v>
      </c>
      <c r="C200" s="43">
        <v>9001</v>
      </c>
      <c r="D200" s="60">
        <v>2142301</v>
      </c>
      <c r="E200" s="60" t="s">
        <v>315</v>
      </c>
      <c r="F200" s="49">
        <v>500000</v>
      </c>
    </row>
    <row r="201" spans="1:6" ht="12.75" customHeight="1">
      <c r="A201" s="60"/>
      <c r="B201" s="60" t="s">
        <v>497</v>
      </c>
      <c r="C201" s="79"/>
      <c r="D201" s="78">
        <v>2143</v>
      </c>
      <c r="E201" s="78" t="s">
        <v>287</v>
      </c>
      <c r="F201" s="51">
        <f>F202+F205</f>
        <v>2240000</v>
      </c>
    </row>
    <row r="202" spans="1:6" ht="12.75" customHeight="1">
      <c r="A202" s="60"/>
      <c r="B202" s="60" t="s">
        <v>497</v>
      </c>
      <c r="C202" s="79"/>
      <c r="D202" s="78">
        <v>21431</v>
      </c>
      <c r="E202" s="78" t="s">
        <v>288</v>
      </c>
      <c r="F202" s="51">
        <f>F203</f>
        <v>1040000</v>
      </c>
    </row>
    <row r="203" spans="1:6" ht="12.75" customHeight="1">
      <c r="A203" s="60"/>
      <c r="B203" s="60" t="s">
        <v>497</v>
      </c>
      <c r="C203" s="43"/>
      <c r="D203" s="78">
        <v>214311</v>
      </c>
      <c r="E203" s="78" t="s">
        <v>316</v>
      </c>
      <c r="F203" s="51">
        <f>F204</f>
        <v>1040000</v>
      </c>
    </row>
    <row r="204" spans="1:6" ht="12.75" customHeight="1">
      <c r="A204" s="60" t="s">
        <v>510</v>
      </c>
      <c r="B204" s="60" t="s">
        <v>497</v>
      </c>
      <c r="C204" s="43">
        <v>9001</v>
      </c>
      <c r="D204" s="60">
        <v>21431101</v>
      </c>
      <c r="E204" s="60" t="s">
        <v>317</v>
      </c>
      <c r="F204" s="49">
        <v>1040000</v>
      </c>
    </row>
    <row r="205" spans="1:6" ht="12.75" customHeight="1">
      <c r="A205" s="60"/>
      <c r="B205" s="60" t="s">
        <v>497</v>
      </c>
      <c r="C205" s="79"/>
      <c r="D205" s="78">
        <v>21432</v>
      </c>
      <c r="E205" s="78" t="s">
        <v>295</v>
      </c>
      <c r="F205" s="51">
        <f>F206</f>
        <v>1200000</v>
      </c>
    </row>
    <row r="206" spans="1:6" ht="12.75" customHeight="1">
      <c r="A206" s="60" t="s">
        <v>516</v>
      </c>
      <c r="B206" s="60" t="s">
        <v>497</v>
      </c>
      <c r="C206" s="43">
        <v>9001</v>
      </c>
      <c r="D206" s="60">
        <v>2143201</v>
      </c>
      <c r="E206" s="60" t="s">
        <v>318</v>
      </c>
      <c r="F206" s="49">
        <v>1200000</v>
      </c>
    </row>
    <row r="207" spans="1:6" ht="12.75" customHeight="1">
      <c r="A207" s="60"/>
      <c r="B207" s="60" t="s">
        <v>517</v>
      </c>
      <c r="C207" s="79"/>
      <c r="D207" s="78">
        <v>22</v>
      </c>
      <c r="E207" s="78" t="s">
        <v>319</v>
      </c>
      <c r="F207" s="51">
        <f>F208</f>
        <v>210622000</v>
      </c>
    </row>
    <row r="208" spans="1:6" ht="12.75" customHeight="1">
      <c r="A208" s="60"/>
      <c r="B208" s="60" t="s">
        <v>517</v>
      </c>
      <c r="C208" s="43"/>
      <c r="D208" s="78">
        <v>224</v>
      </c>
      <c r="E208" s="78" t="s">
        <v>320</v>
      </c>
      <c r="F208" s="51">
        <f>F209+F212</f>
        <v>210622000</v>
      </c>
    </row>
    <row r="209" spans="1:6" ht="12.75" customHeight="1">
      <c r="A209" s="60"/>
      <c r="B209" s="60" t="s">
        <v>517</v>
      </c>
      <c r="C209" s="43"/>
      <c r="D209" s="78">
        <v>2241</v>
      </c>
      <c r="E209" s="78" t="s">
        <v>321</v>
      </c>
      <c r="F209" s="51">
        <f>SUM(F210:F211)</f>
        <v>10622000</v>
      </c>
    </row>
    <row r="210" spans="1:6" ht="12.75" customHeight="1">
      <c r="A210" s="61" t="s">
        <v>518</v>
      </c>
      <c r="B210" s="60" t="s">
        <v>517</v>
      </c>
      <c r="C210" s="43">
        <v>9001</v>
      </c>
      <c r="D210" s="60">
        <v>224101</v>
      </c>
      <c r="E210" s="60" t="s">
        <v>322</v>
      </c>
      <c r="F210" s="49">
        <v>9582000</v>
      </c>
    </row>
    <row r="211" spans="1:6" ht="12.75" customHeight="1">
      <c r="A211" s="61" t="s">
        <v>519</v>
      </c>
      <c r="B211" s="60" t="s">
        <v>517</v>
      </c>
      <c r="C211" s="43">
        <v>9001</v>
      </c>
      <c r="D211" s="60">
        <v>224102</v>
      </c>
      <c r="E211" s="60" t="s">
        <v>323</v>
      </c>
      <c r="F211" s="49">
        <v>1040000</v>
      </c>
    </row>
    <row r="212" spans="1:6" ht="12.75" customHeight="1">
      <c r="A212" s="60"/>
      <c r="B212" s="60" t="s">
        <v>497</v>
      </c>
      <c r="C212" s="43"/>
      <c r="D212" s="78">
        <v>2242</v>
      </c>
      <c r="E212" s="78" t="s">
        <v>324</v>
      </c>
      <c r="F212" s="51">
        <f>F213</f>
        <v>200000000</v>
      </c>
    </row>
    <row r="213" spans="1:6" ht="12.75" customHeight="1">
      <c r="A213" s="60" t="s">
        <v>520</v>
      </c>
      <c r="B213" s="60" t="s">
        <v>497</v>
      </c>
      <c r="C213" s="43">
        <v>9001</v>
      </c>
      <c r="D213" s="60">
        <v>224201</v>
      </c>
      <c r="E213" s="60" t="s">
        <v>325</v>
      </c>
      <c r="F213" s="49">
        <v>200000000</v>
      </c>
    </row>
    <row r="214" spans="1:6" ht="12.75" customHeight="1">
      <c r="A214" s="60"/>
      <c r="B214" s="60" t="s">
        <v>521</v>
      </c>
      <c r="C214" s="79"/>
      <c r="D214" s="78">
        <v>23</v>
      </c>
      <c r="E214" s="78" t="s">
        <v>326</v>
      </c>
      <c r="F214" s="51">
        <f>F215+F217+F291+F360</f>
        <v>3174046170</v>
      </c>
    </row>
    <row r="215" spans="1:6" ht="12.75" customHeight="1">
      <c r="A215" s="60"/>
      <c r="B215" s="60" t="s">
        <v>521</v>
      </c>
      <c r="C215" s="79"/>
      <c r="D215" s="78">
        <v>231</v>
      </c>
      <c r="E215" s="78" t="s">
        <v>327</v>
      </c>
      <c r="F215" s="51">
        <f>F216</f>
        <v>0</v>
      </c>
    </row>
    <row r="216" spans="1:6" ht="12.75" customHeight="1">
      <c r="A216" s="60"/>
      <c r="B216" s="60" t="s">
        <v>521</v>
      </c>
      <c r="C216" s="79"/>
      <c r="D216" s="78">
        <v>2312</v>
      </c>
      <c r="E216" s="78" t="s">
        <v>328</v>
      </c>
      <c r="F216" s="51">
        <v>0</v>
      </c>
    </row>
    <row r="217" spans="1:6" ht="12.75" customHeight="1">
      <c r="A217" s="60"/>
      <c r="B217" s="60" t="s">
        <v>521</v>
      </c>
      <c r="C217" s="79"/>
      <c r="D217" s="78">
        <v>235</v>
      </c>
      <c r="E217" s="78" t="s">
        <v>329</v>
      </c>
      <c r="F217" s="51">
        <f>F218+F221+F230+F247+F254+F261+F287</f>
        <v>2183635761</v>
      </c>
    </row>
    <row r="218" spans="1:7" ht="12.75" customHeight="1">
      <c r="A218" s="60"/>
      <c r="B218" s="60" t="s">
        <v>521</v>
      </c>
      <c r="C218" s="43"/>
      <c r="D218" s="78">
        <v>2351</v>
      </c>
      <c r="E218" s="78" t="s">
        <v>330</v>
      </c>
      <c r="F218" s="84">
        <f>SUM(F219:F220)</f>
        <v>54910652</v>
      </c>
      <c r="G218" s="58">
        <f>54910652-F218</f>
        <v>0</v>
      </c>
    </row>
    <row r="219" spans="1:7" ht="15" customHeight="1">
      <c r="A219" s="60" t="s">
        <v>524</v>
      </c>
      <c r="B219" s="60" t="s">
        <v>521</v>
      </c>
      <c r="C219" s="43">
        <v>9002</v>
      </c>
      <c r="D219" s="60">
        <v>235101</v>
      </c>
      <c r="E219" s="83" t="s">
        <v>331</v>
      </c>
      <c r="F219" s="86">
        <v>44000000</v>
      </c>
      <c r="G219" s="77"/>
    </row>
    <row r="220" spans="1:6" ht="15" customHeight="1">
      <c r="A220" s="60" t="s">
        <v>524</v>
      </c>
      <c r="B220" s="60" t="s">
        <v>521</v>
      </c>
      <c r="C220" s="43">
        <v>9002</v>
      </c>
      <c r="D220" s="60">
        <v>235102</v>
      </c>
      <c r="E220" s="60" t="s">
        <v>332</v>
      </c>
      <c r="F220" s="85">
        <v>10910652</v>
      </c>
    </row>
    <row r="221" spans="1:7" ht="12.75" customHeight="1">
      <c r="A221" s="60"/>
      <c r="B221" s="60" t="s">
        <v>521</v>
      </c>
      <c r="C221" s="43"/>
      <c r="D221" s="78">
        <v>2352</v>
      </c>
      <c r="E221" s="78" t="s">
        <v>333</v>
      </c>
      <c r="F221" s="51">
        <f>SUM(F222:F225)</f>
        <v>163079595</v>
      </c>
      <c r="G221" s="58">
        <f>163079595-F221</f>
        <v>0</v>
      </c>
    </row>
    <row r="222" spans="1:6" ht="15" customHeight="1">
      <c r="A222" s="60" t="s">
        <v>531</v>
      </c>
      <c r="B222" s="60" t="s">
        <v>521</v>
      </c>
      <c r="C222" s="43">
        <v>9003</v>
      </c>
      <c r="D222" s="60">
        <v>235201</v>
      </c>
      <c r="E222" s="60" t="s">
        <v>334</v>
      </c>
      <c r="F222" s="74">
        <f>50579595-8000000-10000000</f>
        <v>32579595</v>
      </c>
    </row>
    <row r="223" spans="1:6" ht="27.75" customHeight="1">
      <c r="A223" s="60" t="s">
        <v>223</v>
      </c>
      <c r="B223" s="60" t="s">
        <v>521</v>
      </c>
      <c r="C223" s="43">
        <v>9003</v>
      </c>
      <c r="D223" s="60">
        <v>235202</v>
      </c>
      <c r="E223" s="110" t="s">
        <v>584</v>
      </c>
      <c r="F223" s="74">
        <v>10000000</v>
      </c>
    </row>
    <row r="224" spans="1:6" ht="27.75" customHeight="1">
      <c r="A224" s="112"/>
      <c r="B224" s="112"/>
      <c r="C224" s="43">
        <v>9003</v>
      </c>
      <c r="D224" s="60">
        <v>235203</v>
      </c>
      <c r="E224" s="112" t="s">
        <v>599</v>
      </c>
      <c r="F224" s="113">
        <v>8000000</v>
      </c>
    </row>
    <row r="225" spans="1:6" ht="12.75" customHeight="1">
      <c r="A225" s="60"/>
      <c r="B225" s="60" t="s">
        <v>521</v>
      </c>
      <c r="C225" s="43"/>
      <c r="D225" s="78">
        <v>235202</v>
      </c>
      <c r="E225" s="118" t="s">
        <v>335</v>
      </c>
      <c r="F225" s="51">
        <f>SUM(F226:F229)</f>
        <v>112500000</v>
      </c>
    </row>
    <row r="226" spans="1:6" ht="15" customHeight="1">
      <c r="A226" s="60" t="s">
        <v>531</v>
      </c>
      <c r="B226" s="60" t="s">
        <v>521</v>
      </c>
      <c r="C226" s="65">
        <v>9003</v>
      </c>
      <c r="D226" s="60">
        <v>23520201</v>
      </c>
      <c r="E226" s="60" t="s">
        <v>336</v>
      </c>
      <c r="F226" s="49">
        <v>8000000</v>
      </c>
    </row>
    <row r="227" spans="1:6" ht="15" customHeight="1">
      <c r="A227" s="60" t="s">
        <v>531</v>
      </c>
      <c r="B227" s="60" t="s">
        <v>521</v>
      </c>
      <c r="C227" s="43">
        <v>9003</v>
      </c>
      <c r="D227" s="60">
        <v>23520202</v>
      </c>
      <c r="E227" s="60" t="s">
        <v>337</v>
      </c>
      <c r="F227" s="49">
        <v>9500000</v>
      </c>
    </row>
    <row r="228" spans="1:6" ht="15" customHeight="1">
      <c r="A228" s="60" t="s">
        <v>531</v>
      </c>
      <c r="B228" s="60" t="s">
        <v>521</v>
      </c>
      <c r="C228" s="43">
        <v>9003</v>
      </c>
      <c r="D228" s="60">
        <v>23520203</v>
      </c>
      <c r="E228" s="60" t="s">
        <v>338</v>
      </c>
      <c r="F228" s="49">
        <v>10000000</v>
      </c>
    </row>
    <row r="229" spans="1:6" ht="15" customHeight="1">
      <c r="A229" s="60" t="s">
        <v>531</v>
      </c>
      <c r="B229" s="60" t="s">
        <v>521</v>
      </c>
      <c r="C229" s="43">
        <v>9003</v>
      </c>
      <c r="D229" s="60">
        <v>23520204</v>
      </c>
      <c r="E229" s="60" t="s">
        <v>339</v>
      </c>
      <c r="F229" s="49">
        <v>85000000</v>
      </c>
    </row>
    <row r="230" spans="1:7" ht="12.75" customHeight="1">
      <c r="A230" s="60"/>
      <c r="B230" s="60" t="s">
        <v>521</v>
      </c>
      <c r="C230" s="43"/>
      <c r="D230" s="78">
        <v>2353</v>
      </c>
      <c r="E230" s="118" t="s">
        <v>340</v>
      </c>
      <c r="F230" s="51">
        <f>F231+F240</f>
        <v>529082147</v>
      </c>
      <c r="G230" s="58">
        <f>529082147-F230</f>
        <v>0</v>
      </c>
    </row>
    <row r="231" spans="1:6" ht="12.75" customHeight="1">
      <c r="A231" s="60"/>
      <c r="B231" s="60" t="s">
        <v>521</v>
      </c>
      <c r="C231" s="43"/>
      <c r="D231" s="78">
        <v>235301</v>
      </c>
      <c r="E231" s="118" t="s">
        <v>341</v>
      </c>
      <c r="F231" s="51">
        <f>SUM(F232:F239)</f>
        <v>232082147</v>
      </c>
    </row>
    <row r="232" spans="1:6" ht="15" customHeight="1">
      <c r="A232" s="60" t="s">
        <v>526</v>
      </c>
      <c r="B232" s="60" t="s">
        <v>521</v>
      </c>
      <c r="C232" s="43">
        <v>9005</v>
      </c>
      <c r="D232" s="60">
        <v>23530101</v>
      </c>
      <c r="E232" s="60" t="s">
        <v>560</v>
      </c>
      <c r="F232" s="74">
        <v>29000000</v>
      </c>
    </row>
    <row r="233" spans="1:6" ht="15" customHeight="1">
      <c r="A233" s="60" t="s">
        <v>223</v>
      </c>
      <c r="B233" s="60" t="s">
        <v>521</v>
      </c>
      <c r="C233" s="43">
        <v>9005</v>
      </c>
      <c r="D233" s="60">
        <v>23530102</v>
      </c>
      <c r="E233" s="60" t="s">
        <v>580</v>
      </c>
      <c r="F233" s="74">
        <v>11000000</v>
      </c>
    </row>
    <row r="234" spans="1:6" ht="15" customHeight="1">
      <c r="A234" s="60" t="s">
        <v>526</v>
      </c>
      <c r="B234" s="60" t="s">
        <v>521</v>
      </c>
      <c r="C234" s="43">
        <v>9005</v>
      </c>
      <c r="D234" s="60">
        <v>23530103</v>
      </c>
      <c r="E234" s="60" t="s">
        <v>342</v>
      </c>
      <c r="F234" s="49">
        <v>20000000</v>
      </c>
    </row>
    <row r="235" spans="1:6" ht="15" customHeight="1">
      <c r="A235" s="60" t="s">
        <v>526</v>
      </c>
      <c r="B235" s="60" t="s">
        <v>521</v>
      </c>
      <c r="C235" s="43">
        <v>9005</v>
      </c>
      <c r="D235" s="60">
        <v>23530104</v>
      </c>
      <c r="E235" s="60" t="s">
        <v>343</v>
      </c>
      <c r="F235" s="49">
        <f>150082147-30000000</f>
        <v>120082147</v>
      </c>
    </row>
    <row r="236" spans="1:6" ht="15" customHeight="1">
      <c r="A236" s="60" t="s">
        <v>223</v>
      </c>
      <c r="B236" s="60" t="s">
        <v>521</v>
      </c>
      <c r="C236" s="43">
        <v>9005</v>
      </c>
      <c r="D236" s="60">
        <v>23530105</v>
      </c>
      <c r="E236" s="60" t="s">
        <v>581</v>
      </c>
      <c r="F236" s="49">
        <v>10000000</v>
      </c>
    </row>
    <row r="237" spans="1:6" ht="15" customHeight="1">
      <c r="A237" s="60" t="s">
        <v>223</v>
      </c>
      <c r="B237" s="60" t="s">
        <v>521</v>
      </c>
      <c r="C237" s="43">
        <v>9005</v>
      </c>
      <c r="D237" s="60">
        <v>23530106</v>
      </c>
      <c r="E237" s="60" t="s">
        <v>582</v>
      </c>
      <c r="F237" s="49">
        <v>12000000</v>
      </c>
    </row>
    <row r="238" spans="1:6" ht="15" customHeight="1">
      <c r="A238" s="60"/>
      <c r="B238" s="60"/>
      <c r="C238" s="43">
        <v>9005</v>
      </c>
      <c r="D238" s="60">
        <v>23530107</v>
      </c>
      <c r="E238" s="60" t="s">
        <v>594</v>
      </c>
      <c r="F238" s="49">
        <v>15000000</v>
      </c>
    </row>
    <row r="239" spans="1:6" ht="15" customHeight="1">
      <c r="A239" s="60"/>
      <c r="B239" s="60"/>
      <c r="C239" s="43">
        <v>9005</v>
      </c>
      <c r="D239" s="60">
        <v>23530108</v>
      </c>
      <c r="E239" s="60" t="s">
        <v>595</v>
      </c>
      <c r="F239" s="49">
        <v>15000000</v>
      </c>
    </row>
    <row r="240" spans="1:6" ht="12.75" customHeight="1">
      <c r="A240" s="60"/>
      <c r="B240" s="60" t="s">
        <v>521</v>
      </c>
      <c r="C240" s="43"/>
      <c r="D240" s="78">
        <v>235302</v>
      </c>
      <c r="E240" s="118" t="s">
        <v>344</v>
      </c>
      <c r="F240" s="51">
        <f>SUM(F241:F246)</f>
        <v>297000000</v>
      </c>
    </row>
    <row r="241" spans="1:6" ht="15" customHeight="1">
      <c r="A241" s="60" t="s">
        <v>526</v>
      </c>
      <c r="B241" s="60" t="s">
        <v>521</v>
      </c>
      <c r="C241" s="43">
        <v>9005</v>
      </c>
      <c r="D241" s="60">
        <v>23530201</v>
      </c>
      <c r="E241" s="60" t="s">
        <v>345</v>
      </c>
      <c r="F241" s="49">
        <v>70000000</v>
      </c>
    </row>
    <row r="242" spans="1:7" s="63" customFormat="1" ht="15" customHeight="1">
      <c r="A242" s="61" t="s">
        <v>526</v>
      </c>
      <c r="B242" s="61" t="s">
        <v>521</v>
      </c>
      <c r="C242" s="62">
        <v>9005</v>
      </c>
      <c r="D242" s="61">
        <v>23530202</v>
      </c>
      <c r="E242" s="60" t="s">
        <v>346</v>
      </c>
      <c r="F242" s="49">
        <v>70000000</v>
      </c>
      <c r="G242" s="72"/>
    </row>
    <row r="243" spans="1:6" ht="15" customHeight="1">
      <c r="A243" s="60" t="s">
        <v>526</v>
      </c>
      <c r="B243" s="60" t="s">
        <v>521</v>
      </c>
      <c r="C243" s="65">
        <v>9005</v>
      </c>
      <c r="D243" s="60">
        <v>23530203</v>
      </c>
      <c r="E243" s="60" t="s">
        <v>347</v>
      </c>
      <c r="F243" s="49">
        <v>70000000</v>
      </c>
    </row>
    <row r="244" spans="1:6" ht="15" customHeight="1">
      <c r="A244" s="60" t="s">
        <v>526</v>
      </c>
      <c r="B244" s="60" t="s">
        <v>521</v>
      </c>
      <c r="C244" s="43">
        <v>9005</v>
      </c>
      <c r="D244" s="60">
        <v>235303</v>
      </c>
      <c r="E244" s="60" t="s">
        <v>348</v>
      </c>
      <c r="F244" s="49">
        <v>25000000</v>
      </c>
    </row>
    <row r="245" spans="1:6" ht="15" customHeight="1">
      <c r="A245" s="60" t="s">
        <v>526</v>
      </c>
      <c r="B245" s="60" t="s">
        <v>521</v>
      </c>
      <c r="C245" s="65">
        <v>9005</v>
      </c>
      <c r="D245" s="60">
        <v>235304</v>
      </c>
      <c r="E245" s="60" t="s">
        <v>349</v>
      </c>
      <c r="F245" s="49">
        <v>55000000</v>
      </c>
    </row>
    <row r="246" spans="1:6" ht="15" customHeight="1">
      <c r="A246" s="60" t="s">
        <v>526</v>
      </c>
      <c r="B246" s="60" t="s">
        <v>521</v>
      </c>
      <c r="C246" s="43">
        <v>9005</v>
      </c>
      <c r="D246" s="60">
        <v>235305</v>
      </c>
      <c r="E246" s="60" t="s">
        <v>350</v>
      </c>
      <c r="F246" s="49">
        <v>7000000</v>
      </c>
    </row>
    <row r="247" spans="1:7" ht="12.75" customHeight="1">
      <c r="A247" s="60"/>
      <c r="B247" s="60" t="s">
        <v>521</v>
      </c>
      <c r="C247" s="43"/>
      <c r="D247" s="78">
        <v>2354</v>
      </c>
      <c r="E247" s="78" t="s">
        <v>351</v>
      </c>
      <c r="F247" s="51">
        <f>SUM(F248:F250)</f>
        <v>51617770</v>
      </c>
      <c r="G247" s="58">
        <f>51617770-F247</f>
        <v>0</v>
      </c>
    </row>
    <row r="248" spans="1:6" ht="15" customHeight="1">
      <c r="A248" s="60" t="s">
        <v>523</v>
      </c>
      <c r="B248" s="60" t="s">
        <v>521</v>
      </c>
      <c r="C248" s="43">
        <v>9007</v>
      </c>
      <c r="D248" s="119">
        <v>235401</v>
      </c>
      <c r="E248" s="60" t="s">
        <v>352</v>
      </c>
      <c r="F248" s="74">
        <v>20000000</v>
      </c>
    </row>
    <row r="249" spans="1:6" ht="15" customHeight="1">
      <c r="A249" s="60" t="s">
        <v>523</v>
      </c>
      <c r="B249" s="60" t="s">
        <v>521</v>
      </c>
      <c r="C249" s="43">
        <v>9007</v>
      </c>
      <c r="D249" s="119">
        <v>235402</v>
      </c>
      <c r="E249" s="60" t="s">
        <v>353</v>
      </c>
      <c r="F249" s="49">
        <v>9000000</v>
      </c>
    </row>
    <row r="250" spans="1:6" ht="12.75" customHeight="1">
      <c r="A250" s="60"/>
      <c r="B250" s="60" t="s">
        <v>521</v>
      </c>
      <c r="C250" s="65"/>
      <c r="D250" s="78">
        <v>235403</v>
      </c>
      <c r="E250" s="78" t="s">
        <v>354</v>
      </c>
      <c r="F250" s="51">
        <f>SUM(F251:F253)</f>
        <v>22617770</v>
      </c>
    </row>
    <row r="251" spans="1:6" ht="15" customHeight="1">
      <c r="A251" s="60" t="s">
        <v>523</v>
      </c>
      <c r="B251" s="60" t="s">
        <v>521</v>
      </c>
      <c r="C251" s="43">
        <v>9007</v>
      </c>
      <c r="D251" s="119">
        <v>23540301</v>
      </c>
      <c r="E251" s="60" t="s">
        <v>355</v>
      </c>
      <c r="F251" s="49">
        <v>6617770</v>
      </c>
    </row>
    <row r="252" spans="1:6" ht="15" customHeight="1">
      <c r="A252" s="60" t="s">
        <v>523</v>
      </c>
      <c r="B252" s="60" t="s">
        <v>521</v>
      </c>
      <c r="C252" s="43">
        <v>9007</v>
      </c>
      <c r="D252" s="119">
        <v>23540302</v>
      </c>
      <c r="E252" s="119" t="s">
        <v>356</v>
      </c>
      <c r="F252" s="49">
        <v>10000000</v>
      </c>
    </row>
    <row r="253" spans="1:6" ht="15" customHeight="1">
      <c r="A253" s="60" t="s">
        <v>523</v>
      </c>
      <c r="B253" s="60" t="s">
        <v>521</v>
      </c>
      <c r="C253" s="43">
        <v>9007</v>
      </c>
      <c r="D253" s="119">
        <v>23540303</v>
      </c>
      <c r="E253" s="119" t="s">
        <v>357</v>
      </c>
      <c r="F253" s="49">
        <v>6000000</v>
      </c>
    </row>
    <row r="254" spans="1:7" ht="12.75" customHeight="1">
      <c r="A254" s="60"/>
      <c r="B254" s="60" t="s">
        <v>521</v>
      </c>
      <c r="C254" s="43"/>
      <c r="D254" s="78">
        <v>2355</v>
      </c>
      <c r="E254" s="78" t="s">
        <v>358</v>
      </c>
      <c r="F254" s="51">
        <f>SUM(F255:F260)</f>
        <v>38713328</v>
      </c>
      <c r="G254" s="58">
        <f>38713328-F254</f>
        <v>0</v>
      </c>
    </row>
    <row r="255" spans="1:6" ht="15" customHeight="1">
      <c r="A255" s="60" t="s">
        <v>522</v>
      </c>
      <c r="B255" s="60" t="s">
        <v>521</v>
      </c>
      <c r="C255" s="43">
        <v>9006</v>
      </c>
      <c r="D255" s="60">
        <v>235501</v>
      </c>
      <c r="E255" s="119" t="s">
        <v>359</v>
      </c>
      <c r="F255" s="74">
        <v>20000000</v>
      </c>
    </row>
    <row r="256" spans="1:6" ht="15" customHeight="1">
      <c r="A256" s="60" t="s">
        <v>522</v>
      </c>
      <c r="B256" s="60" t="s">
        <v>521</v>
      </c>
      <c r="C256" s="43">
        <v>9006</v>
      </c>
      <c r="D256" s="60">
        <v>235502</v>
      </c>
      <c r="E256" s="120" t="s">
        <v>360</v>
      </c>
      <c r="F256" s="49">
        <v>3213328</v>
      </c>
    </row>
    <row r="257" spans="1:6" ht="15" customHeight="1">
      <c r="A257" s="60" t="s">
        <v>522</v>
      </c>
      <c r="B257" s="60" t="s">
        <v>521</v>
      </c>
      <c r="C257" s="43">
        <v>9006</v>
      </c>
      <c r="D257" s="60">
        <v>235503</v>
      </c>
      <c r="E257" s="120" t="s">
        <v>361</v>
      </c>
      <c r="F257" s="49">
        <v>1500000</v>
      </c>
    </row>
    <row r="258" spans="1:6" ht="15" customHeight="1">
      <c r="A258" s="60" t="s">
        <v>522</v>
      </c>
      <c r="B258" s="60" t="s">
        <v>521</v>
      </c>
      <c r="C258" s="43">
        <v>9006</v>
      </c>
      <c r="D258" s="60">
        <v>235504</v>
      </c>
      <c r="E258" s="120" t="s">
        <v>362</v>
      </c>
      <c r="F258" s="49">
        <v>3000000</v>
      </c>
    </row>
    <row r="259" spans="1:6" ht="15" customHeight="1">
      <c r="A259" s="60" t="s">
        <v>522</v>
      </c>
      <c r="B259" s="60" t="s">
        <v>521</v>
      </c>
      <c r="C259" s="43">
        <v>9006</v>
      </c>
      <c r="D259" s="60">
        <v>235505</v>
      </c>
      <c r="E259" s="120" t="s">
        <v>363</v>
      </c>
      <c r="F259" s="49">
        <v>2000000</v>
      </c>
    </row>
    <row r="260" spans="1:6" ht="15" customHeight="1">
      <c r="A260" s="60" t="s">
        <v>522</v>
      </c>
      <c r="B260" s="60" t="s">
        <v>521</v>
      </c>
      <c r="C260" s="43">
        <v>9006</v>
      </c>
      <c r="D260" s="60">
        <v>235506</v>
      </c>
      <c r="E260" s="120" t="s">
        <v>364</v>
      </c>
      <c r="F260" s="49">
        <v>9000000</v>
      </c>
    </row>
    <row r="261" spans="1:7" ht="12.75" customHeight="1">
      <c r="A261" s="60"/>
      <c r="B261" s="60" t="s">
        <v>521</v>
      </c>
      <c r="C261" s="43"/>
      <c r="D261" s="78">
        <v>2356</v>
      </c>
      <c r="E261" s="78" t="s">
        <v>365</v>
      </c>
      <c r="F261" s="51">
        <f>F262+F267+F269+F276+F278+F282</f>
        <v>541986590</v>
      </c>
      <c r="G261" s="58">
        <f>541986590-F261</f>
        <v>0</v>
      </c>
    </row>
    <row r="262" spans="1:6" ht="12.75" customHeight="1">
      <c r="A262" s="60"/>
      <c r="B262" s="60" t="s">
        <v>521</v>
      </c>
      <c r="C262" s="43"/>
      <c r="D262" s="78">
        <v>235601</v>
      </c>
      <c r="E262" s="78" t="s">
        <v>366</v>
      </c>
      <c r="F262" s="51">
        <f>SUM(F263:F266)</f>
        <v>280000000</v>
      </c>
    </row>
    <row r="263" spans="1:6" ht="12.75" customHeight="1">
      <c r="A263" s="60" t="s">
        <v>530</v>
      </c>
      <c r="B263" s="60" t="s">
        <v>521</v>
      </c>
      <c r="C263" s="43">
        <v>9008</v>
      </c>
      <c r="D263" s="117">
        <v>23560101</v>
      </c>
      <c r="E263" s="120" t="s">
        <v>367</v>
      </c>
      <c r="F263" s="74">
        <f>280000000-45000000</f>
        <v>235000000</v>
      </c>
    </row>
    <row r="264" spans="1:6" ht="12.75" customHeight="1">
      <c r="A264" s="60"/>
      <c r="B264" s="60"/>
      <c r="C264" s="43">
        <v>9008</v>
      </c>
      <c r="D264" s="117">
        <v>23560102</v>
      </c>
      <c r="E264" s="120" t="s">
        <v>596</v>
      </c>
      <c r="F264" s="111">
        <v>15000000</v>
      </c>
    </row>
    <row r="265" spans="1:6" ht="12.75" customHeight="1">
      <c r="A265" s="60"/>
      <c r="B265" s="60"/>
      <c r="C265" s="43">
        <v>9008</v>
      </c>
      <c r="D265" s="117">
        <v>23560103</v>
      </c>
      <c r="E265" s="120" t="s">
        <v>597</v>
      </c>
      <c r="F265" s="111">
        <v>15000000</v>
      </c>
    </row>
    <row r="266" spans="1:6" ht="15" customHeight="1">
      <c r="A266" s="60"/>
      <c r="B266" s="60"/>
      <c r="C266" s="43">
        <v>9008</v>
      </c>
      <c r="D266" s="60">
        <v>23560104</v>
      </c>
      <c r="E266" s="120" t="s">
        <v>598</v>
      </c>
      <c r="F266" s="74">
        <v>15000000</v>
      </c>
    </row>
    <row r="267" spans="1:6" ht="12.75" customHeight="1">
      <c r="A267" s="60"/>
      <c r="B267" s="60" t="s">
        <v>521</v>
      </c>
      <c r="C267" s="43"/>
      <c r="D267" s="78">
        <v>235602</v>
      </c>
      <c r="E267" s="121" t="s">
        <v>368</v>
      </c>
      <c r="F267" s="51">
        <f>SUM(F268:F268)</f>
        <v>50000000</v>
      </c>
    </row>
    <row r="268" spans="1:6" ht="15" customHeight="1">
      <c r="A268" s="60" t="s">
        <v>532</v>
      </c>
      <c r="B268" s="60" t="s">
        <v>521</v>
      </c>
      <c r="C268" s="43">
        <v>9008</v>
      </c>
      <c r="D268" s="60">
        <v>23560201</v>
      </c>
      <c r="E268" s="120" t="s">
        <v>369</v>
      </c>
      <c r="F268" s="49">
        <v>50000000</v>
      </c>
    </row>
    <row r="269" spans="1:6" ht="12.75" customHeight="1">
      <c r="A269" s="60"/>
      <c r="B269" s="60" t="s">
        <v>521</v>
      </c>
      <c r="C269" s="43"/>
      <c r="D269" s="78">
        <v>235603</v>
      </c>
      <c r="E269" s="78" t="s">
        <v>370</v>
      </c>
      <c r="F269" s="51">
        <f>SUM(F270:F275)</f>
        <v>70000000</v>
      </c>
    </row>
    <row r="270" spans="1:6" ht="15" customHeight="1">
      <c r="A270" s="60" t="s">
        <v>525</v>
      </c>
      <c r="B270" s="60" t="s">
        <v>521</v>
      </c>
      <c r="C270" s="43">
        <v>9008</v>
      </c>
      <c r="D270" s="120">
        <v>23560301</v>
      </c>
      <c r="E270" s="120" t="s">
        <v>371</v>
      </c>
      <c r="F270" s="49">
        <v>8000000</v>
      </c>
    </row>
    <row r="271" spans="1:6" ht="15" customHeight="1">
      <c r="A271" s="60" t="s">
        <v>525</v>
      </c>
      <c r="B271" s="60" t="s">
        <v>521</v>
      </c>
      <c r="C271" s="43">
        <v>9008</v>
      </c>
      <c r="D271" s="60">
        <v>23560302</v>
      </c>
      <c r="E271" s="120" t="s">
        <v>372</v>
      </c>
      <c r="F271" s="49">
        <v>9000000</v>
      </c>
    </row>
    <row r="272" spans="1:6" ht="15" customHeight="1">
      <c r="A272" s="60" t="s">
        <v>525</v>
      </c>
      <c r="B272" s="60" t="s">
        <v>521</v>
      </c>
      <c r="C272" s="43">
        <v>9008</v>
      </c>
      <c r="D272" s="60">
        <v>23560303</v>
      </c>
      <c r="E272" s="120" t="s">
        <v>373</v>
      </c>
      <c r="F272" s="49">
        <v>20000000</v>
      </c>
    </row>
    <row r="273" spans="1:6" ht="15" customHeight="1">
      <c r="A273" s="60" t="s">
        <v>525</v>
      </c>
      <c r="B273" s="60" t="s">
        <v>521</v>
      </c>
      <c r="C273" s="43">
        <v>9008</v>
      </c>
      <c r="D273" s="60">
        <v>23560305</v>
      </c>
      <c r="E273" s="120" t="s">
        <v>374</v>
      </c>
      <c r="F273" s="49">
        <v>18000000</v>
      </c>
    </row>
    <row r="274" spans="1:6" ht="15" customHeight="1">
      <c r="A274" s="60" t="s">
        <v>525</v>
      </c>
      <c r="B274" s="60" t="s">
        <v>521</v>
      </c>
      <c r="C274" s="43">
        <v>9008</v>
      </c>
      <c r="D274" s="60">
        <v>23560306</v>
      </c>
      <c r="E274" s="120" t="s">
        <v>375</v>
      </c>
      <c r="F274" s="49">
        <v>10000000</v>
      </c>
    </row>
    <row r="275" spans="1:6" ht="15" customHeight="1">
      <c r="A275" s="60" t="s">
        <v>525</v>
      </c>
      <c r="B275" s="60" t="s">
        <v>521</v>
      </c>
      <c r="C275" s="43">
        <v>9008</v>
      </c>
      <c r="D275" s="60">
        <v>23560308</v>
      </c>
      <c r="E275" s="120" t="s">
        <v>376</v>
      </c>
      <c r="F275" s="49">
        <v>5000000</v>
      </c>
    </row>
    <row r="276" spans="1:6" ht="12.75" customHeight="1">
      <c r="A276" s="60"/>
      <c r="B276" s="60" t="s">
        <v>521</v>
      </c>
      <c r="C276" s="43"/>
      <c r="D276" s="78">
        <v>235604</v>
      </c>
      <c r="E276" s="78" t="s">
        <v>377</v>
      </c>
      <c r="F276" s="51">
        <f>SUM(F277:F277)</f>
        <v>8000000</v>
      </c>
    </row>
    <row r="277" spans="1:6" ht="15" customHeight="1">
      <c r="A277" s="60" t="s">
        <v>533</v>
      </c>
      <c r="B277" s="60" t="s">
        <v>521</v>
      </c>
      <c r="C277" s="43">
        <v>9008</v>
      </c>
      <c r="D277" s="60">
        <v>23560401</v>
      </c>
      <c r="E277" s="60" t="s">
        <v>378</v>
      </c>
      <c r="F277" s="49">
        <v>8000000</v>
      </c>
    </row>
    <row r="278" spans="1:6" ht="12.75" customHeight="1">
      <c r="A278" s="60"/>
      <c r="B278" s="60" t="s">
        <v>521</v>
      </c>
      <c r="C278" s="43"/>
      <c r="D278" s="78">
        <v>235605</v>
      </c>
      <c r="E278" s="78" t="s">
        <v>379</v>
      </c>
      <c r="F278" s="51">
        <f>SUM(F279:F281)</f>
        <v>33986590</v>
      </c>
    </row>
    <row r="279" spans="1:6" ht="15" customHeight="1">
      <c r="A279" s="60" t="s">
        <v>529</v>
      </c>
      <c r="B279" s="60" t="s">
        <v>521</v>
      </c>
      <c r="C279" s="43">
        <v>9008</v>
      </c>
      <c r="D279" s="60">
        <v>23560501</v>
      </c>
      <c r="E279" s="60" t="s">
        <v>380</v>
      </c>
      <c r="F279" s="49">
        <v>10986590</v>
      </c>
    </row>
    <row r="280" spans="1:6" ht="15" customHeight="1">
      <c r="A280" s="60" t="s">
        <v>529</v>
      </c>
      <c r="B280" s="60" t="s">
        <v>521</v>
      </c>
      <c r="C280" s="43">
        <v>9008</v>
      </c>
      <c r="D280" s="60">
        <v>23560502</v>
      </c>
      <c r="E280" s="60" t="s">
        <v>381</v>
      </c>
      <c r="F280" s="49">
        <v>10000000</v>
      </c>
    </row>
    <row r="281" spans="1:6" ht="15" customHeight="1">
      <c r="A281" s="60" t="s">
        <v>529</v>
      </c>
      <c r="B281" s="60" t="s">
        <v>521</v>
      </c>
      <c r="C281" s="43">
        <v>9008</v>
      </c>
      <c r="D281" s="60">
        <v>23560503</v>
      </c>
      <c r="E281" s="60" t="s">
        <v>382</v>
      </c>
      <c r="F281" s="49">
        <v>13000000</v>
      </c>
    </row>
    <row r="282" spans="1:6" ht="12.75" customHeight="1">
      <c r="A282" s="60"/>
      <c r="B282" s="60" t="s">
        <v>521</v>
      </c>
      <c r="C282" s="43"/>
      <c r="D282" s="78">
        <v>235606</v>
      </c>
      <c r="E282" s="78" t="s">
        <v>383</v>
      </c>
      <c r="F282" s="51">
        <f>SUM(F283:F286)</f>
        <v>100000000</v>
      </c>
    </row>
    <row r="283" spans="1:6" ht="15" customHeight="1">
      <c r="A283" s="60" t="s">
        <v>528</v>
      </c>
      <c r="B283" s="60" t="s">
        <v>521</v>
      </c>
      <c r="C283" s="43">
        <v>9008</v>
      </c>
      <c r="D283" s="60">
        <v>23560601</v>
      </c>
      <c r="E283" s="60" t="s">
        <v>384</v>
      </c>
      <c r="F283" s="49">
        <v>62000000</v>
      </c>
    </row>
    <row r="284" spans="1:6" ht="15" customHeight="1">
      <c r="A284" s="60" t="s">
        <v>528</v>
      </c>
      <c r="B284" s="60" t="s">
        <v>521</v>
      </c>
      <c r="C284" s="65">
        <v>9008</v>
      </c>
      <c r="D284" s="60">
        <v>23560602</v>
      </c>
      <c r="E284" s="60" t="s">
        <v>385</v>
      </c>
      <c r="F284" s="49">
        <v>3000000</v>
      </c>
    </row>
    <row r="285" spans="1:6" ht="15" customHeight="1">
      <c r="A285" s="60" t="s">
        <v>528</v>
      </c>
      <c r="B285" s="60" t="s">
        <v>521</v>
      </c>
      <c r="C285" s="43">
        <v>9008</v>
      </c>
      <c r="D285" s="60">
        <v>23560603</v>
      </c>
      <c r="E285" s="60" t="s">
        <v>386</v>
      </c>
      <c r="F285" s="49">
        <v>15000000</v>
      </c>
    </row>
    <row r="286" spans="1:6" ht="15" customHeight="1">
      <c r="A286" s="60" t="s">
        <v>528</v>
      </c>
      <c r="B286" s="60" t="s">
        <v>521</v>
      </c>
      <c r="C286" s="43">
        <v>9008</v>
      </c>
      <c r="D286" s="60">
        <v>23560604</v>
      </c>
      <c r="E286" s="60" t="s">
        <v>387</v>
      </c>
      <c r="F286" s="49">
        <v>20000000</v>
      </c>
    </row>
    <row r="287" spans="1:6" ht="12.75" customHeight="1">
      <c r="A287" s="60"/>
      <c r="B287" s="60" t="s">
        <v>521</v>
      </c>
      <c r="C287" s="43"/>
      <c r="D287" s="78">
        <v>2357</v>
      </c>
      <c r="E287" s="78" t="s">
        <v>189</v>
      </c>
      <c r="F287" s="51">
        <f>SUM(F288:F290)</f>
        <v>804245679</v>
      </c>
    </row>
    <row r="288" spans="1:6" ht="15" customHeight="1">
      <c r="A288" s="60" t="s">
        <v>534</v>
      </c>
      <c r="B288" s="60" t="s">
        <v>521</v>
      </c>
      <c r="C288" s="43">
        <v>9004</v>
      </c>
      <c r="D288" s="60">
        <v>2357101</v>
      </c>
      <c r="E288" s="60" t="s">
        <v>388</v>
      </c>
      <c r="F288" s="49">
        <f>Ingresos!K94</f>
        <v>699749243</v>
      </c>
    </row>
    <row r="289" spans="1:6" ht="15" customHeight="1">
      <c r="A289" s="60" t="s">
        <v>534</v>
      </c>
      <c r="B289" s="60" t="s">
        <v>521</v>
      </c>
      <c r="C289" s="65">
        <v>9004</v>
      </c>
      <c r="D289" s="60">
        <v>2357102</v>
      </c>
      <c r="E289" s="60" t="s">
        <v>389</v>
      </c>
      <c r="F289" s="49">
        <f>Ingresos!K95</f>
        <v>0</v>
      </c>
    </row>
    <row r="290" spans="1:6" ht="15" customHeight="1">
      <c r="A290" s="60" t="s">
        <v>534</v>
      </c>
      <c r="B290" s="60" t="s">
        <v>521</v>
      </c>
      <c r="C290" s="43">
        <v>9004</v>
      </c>
      <c r="D290" s="60">
        <v>2357103</v>
      </c>
      <c r="E290" s="60" t="s">
        <v>390</v>
      </c>
      <c r="F290" s="49">
        <f>Ingresos!K96</f>
        <v>104496436</v>
      </c>
    </row>
    <row r="291" spans="1:7" ht="12.75" customHeight="1">
      <c r="A291" s="60"/>
      <c r="B291" s="60" t="s">
        <v>521</v>
      </c>
      <c r="C291" s="43"/>
      <c r="D291" s="78">
        <v>236</v>
      </c>
      <c r="E291" s="121" t="s">
        <v>391</v>
      </c>
      <c r="F291" s="84">
        <f>F292+F297+F301</f>
        <v>273200000</v>
      </c>
      <c r="G291" s="97">
        <f>F291/Ingresos!K57</f>
        <v>0.5443972333501451</v>
      </c>
    </row>
    <row r="292" spans="1:7" ht="12.75" customHeight="1">
      <c r="A292" s="60"/>
      <c r="B292" s="60" t="s">
        <v>521</v>
      </c>
      <c r="C292" s="43"/>
      <c r="D292" s="78">
        <v>2361</v>
      </c>
      <c r="E292" s="122" t="s">
        <v>333</v>
      </c>
      <c r="F292" s="53">
        <f>SUM(F293:F296)</f>
        <v>14000000</v>
      </c>
      <c r="G292" s="94"/>
    </row>
    <row r="293" spans="1:7" ht="15" customHeight="1">
      <c r="A293" s="60" t="s">
        <v>531</v>
      </c>
      <c r="B293" s="60" t="s">
        <v>521</v>
      </c>
      <c r="C293" s="43">
        <v>9009</v>
      </c>
      <c r="D293" s="60">
        <v>236101</v>
      </c>
      <c r="E293" s="123" t="s">
        <v>392</v>
      </c>
      <c r="F293" s="95">
        <v>5000000</v>
      </c>
      <c r="G293" s="77"/>
    </row>
    <row r="294" spans="1:7" ht="15" customHeight="1">
      <c r="A294" s="60" t="s">
        <v>531</v>
      </c>
      <c r="B294" s="60" t="s">
        <v>521</v>
      </c>
      <c r="C294" s="43">
        <v>9009</v>
      </c>
      <c r="D294" s="60">
        <v>236102</v>
      </c>
      <c r="E294" s="123" t="s">
        <v>576</v>
      </c>
      <c r="F294" s="96">
        <v>4000000</v>
      </c>
      <c r="G294" s="94"/>
    </row>
    <row r="295" spans="1:6" ht="15" customHeight="1">
      <c r="A295" s="60" t="s">
        <v>531</v>
      </c>
      <c r="B295" s="60" t="s">
        <v>521</v>
      </c>
      <c r="C295" s="43">
        <v>9009</v>
      </c>
      <c r="D295" s="60">
        <v>236103</v>
      </c>
      <c r="E295" s="123" t="s">
        <v>393</v>
      </c>
      <c r="F295" s="96">
        <v>2000000</v>
      </c>
    </row>
    <row r="296" spans="1:6" ht="15" customHeight="1">
      <c r="A296" s="60" t="s">
        <v>223</v>
      </c>
      <c r="B296" s="60" t="s">
        <v>521</v>
      </c>
      <c r="C296" s="43">
        <v>9009</v>
      </c>
      <c r="D296" s="60">
        <v>236104</v>
      </c>
      <c r="E296" s="120" t="s">
        <v>583</v>
      </c>
      <c r="F296" s="85">
        <v>3000000</v>
      </c>
    </row>
    <row r="297" spans="1:6" ht="12.75" customHeight="1">
      <c r="A297" s="60"/>
      <c r="B297" s="60" t="s">
        <v>521</v>
      </c>
      <c r="C297" s="43"/>
      <c r="D297" s="78">
        <v>2362</v>
      </c>
      <c r="E297" s="121" t="s">
        <v>394</v>
      </c>
      <c r="F297" s="51">
        <f>SUM(F298:F300)</f>
        <v>11400000</v>
      </c>
    </row>
    <row r="298" spans="1:6" ht="15" customHeight="1">
      <c r="A298" s="60" t="s">
        <v>523</v>
      </c>
      <c r="B298" s="60" t="s">
        <v>521</v>
      </c>
      <c r="C298" s="43">
        <v>9009</v>
      </c>
      <c r="D298" s="60">
        <v>236201</v>
      </c>
      <c r="E298" s="120" t="s">
        <v>395</v>
      </c>
      <c r="F298" s="49">
        <v>400000</v>
      </c>
    </row>
    <row r="299" spans="1:6" ht="15" customHeight="1">
      <c r="A299" s="60" t="s">
        <v>522</v>
      </c>
      <c r="B299" s="60" t="s">
        <v>521</v>
      </c>
      <c r="C299" s="43">
        <v>9009</v>
      </c>
      <c r="D299" s="60">
        <v>236202</v>
      </c>
      <c r="E299" s="120" t="s">
        <v>396</v>
      </c>
      <c r="F299" s="49">
        <v>9000000</v>
      </c>
    </row>
    <row r="300" spans="1:6" ht="15" customHeight="1">
      <c r="A300" s="60" t="s">
        <v>523</v>
      </c>
      <c r="B300" s="60" t="s">
        <v>521</v>
      </c>
      <c r="C300" s="43">
        <v>9009</v>
      </c>
      <c r="D300" s="60">
        <v>236203</v>
      </c>
      <c r="E300" s="120" t="s">
        <v>397</v>
      </c>
      <c r="F300" s="49">
        <v>2000000</v>
      </c>
    </row>
    <row r="301" spans="1:6" ht="12.75" customHeight="1">
      <c r="A301" s="60"/>
      <c r="B301" s="60" t="s">
        <v>521</v>
      </c>
      <c r="C301" s="43"/>
      <c r="D301" s="78">
        <v>2363</v>
      </c>
      <c r="E301" s="78" t="s">
        <v>365</v>
      </c>
      <c r="F301" s="51">
        <f>F302+F308+F310+F313+F321+F325+F339+F342+F350+F352+F354+F356+F358</f>
        <v>247800000</v>
      </c>
    </row>
    <row r="302" spans="1:6" ht="12.75" customHeight="1">
      <c r="A302" s="60"/>
      <c r="B302" s="60" t="s">
        <v>521</v>
      </c>
      <c r="C302" s="43"/>
      <c r="D302" s="78">
        <v>236301</v>
      </c>
      <c r="E302" s="78" t="s">
        <v>398</v>
      </c>
      <c r="F302" s="51">
        <f>SUM(F303:F307)</f>
        <v>15500000</v>
      </c>
    </row>
    <row r="303" spans="1:6" ht="15" customHeight="1">
      <c r="A303" s="60" t="s">
        <v>535</v>
      </c>
      <c r="B303" s="60" t="s">
        <v>521</v>
      </c>
      <c r="C303" s="43">
        <v>9009</v>
      </c>
      <c r="D303" s="60">
        <v>23630101</v>
      </c>
      <c r="E303" s="60" t="s">
        <v>399</v>
      </c>
      <c r="F303" s="49">
        <v>2500000</v>
      </c>
    </row>
    <row r="304" spans="1:6" ht="15" customHeight="1">
      <c r="A304" s="60" t="s">
        <v>535</v>
      </c>
      <c r="B304" s="60" t="s">
        <v>521</v>
      </c>
      <c r="C304" s="43">
        <v>9009</v>
      </c>
      <c r="D304" s="60">
        <v>23630102</v>
      </c>
      <c r="E304" s="60" t="s">
        <v>400</v>
      </c>
      <c r="F304" s="49">
        <v>6000000</v>
      </c>
    </row>
    <row r="305" spans="1:6" ht="15" customHeight="1">
      <c r="A305" s="60" t="s">
        <v>535</v>
      </c>
      <c r="B305" s="60" t="s">
        <v>521</v>
      </c>
      <c r="C305" s="43">
        <v>9009</v>
      </c>
      <c r="D305" s="60">
        <v>23630103</v>
      </c>
      <c r="E305" s="60" t="s">
        <v>401</v>
      </c>
      <c r="F305" s="49">
        <v>2000000</v>
      </c>
    </row>
    <row r="306" spans="1:6" ht="15" customHeight="1">
      <c r="A306" s="60" t="s">
        <v>535</v>
      </c>
      <c r="B306" s="60" t="s">
        <v>521</v>
      </c>
      <c r="C306" s="43">
        <v>9009</v>
      </c>
      <c r="D306" s="60">
        <v>23630104</v>
      </c>
      <c r="E306" s="60" t="s">
        <v>402</v>
      </c>
      <c r="F306" s="49">
        <v>2000000</v>
      </c>
    </row>
    <row r="307" spans="1:6" ht="15" customHeight="1">
      <c r="A307" s="60" t="s">
        <v>535</v>
      </c>
      <c r="B307" s="60" t="s">
        <v>521</v>
      </c>
      <c r="C307" s="43">
        <v>9009</v>
      </c>
      <c r="D307" s="60">
        <v>23630105</v>
      </c>
      <c r="E307" s="60" t="s">
        <v>403</v>
      </c>
      <c r="F307" s="49">
        <v>3000000</v>
      </c>
    </row>
    <row r="308" spans="1:6" ht="12.75" customHeight="1">
      <c r="A308" s="60"/>
      <c r="B308" s="60" t="s">
        <v>521</v>
      </c>
      <c r="C308" s="43"/>
      <c r="D308" s="78">
        <v>23631</v>
      </c>
      <c r="E308" s="118" t="s">
        <v>404</v>
      </c>
      <c r="F308" s="51">
        <f>SUM(F309:F309)</f>
        <v>50000000</v>
      </c>
    </row>
    <row r="309" spans="1:6" ht="15" customHeight="1">
      <c r="A309" s="60" t="s">
        <v>530</v>
      </c>
      <c r="B309" s="60" t="s">
        <v>521</v>
      </c>
      <c r="C309" s="43">
        <v>9009</v>
      </c>
      <c r="D309" s="60">
        <v>2363101</v>
      </c>
      <c r="E309" s="117" t="s">
        <v>405</v>
      </c>
      <c r="F309" s="49">
        <v>50000000</v>
      </c>
    </row>
    <row r="310" spans="1:6" ht="12.75" customHeight="1">
      <c r="A310" s="60"/>
      <c r="B310" s="60" t="s">
        <v>521</v>
      </c>
      <c r="C310" s="43"/>
      <c r="D310" s="78">
        <v>23632</v>
      </c>
      <c r="E310" s="121" t="s">
        <v>368</v>
      </c>
      <c r="F310" s="51">
        <f>SUM(F311:F312)</f>
        <v>8000000</v>
      </c>
    </row>
    <row r="311" spans="1:6" ht="15" customHeight="1">
      <c r="A311" s="60" t="s">
        <v>532</v>
      </c>
      <c r="B311" s="60" t="s">
        <v>521</v>
      </c>
      <c r="C311" s="43">
        <v>9009</v>
      </c>
      <c r="D311" s="60">
        <v>2363201</v>
      </c>
      <c r="E311" s="120" t="s">
        <v>406</v>
      </c>
      <c r="F311" s="49">
        <v>4000000</v>
      </c>
    </row>
    <row r="312" spans="1:6" ht="15" customHeight="1">
      <c r="A312" s="60" t="s">
        <v>532</v>
      </c>
      <c r="B312" s="60" t="s">
        <v>521</v>
      </c>
      <c r="C312" s="43">
        <v>9009</v>
      </c>
      <c r="D312" s="60">
        <v>2363202</v>
      </c>
      <c r="E312" s="120" t="s">
        <v>407</v>
      </c>
      <c r="F312" s="49">
        <v>4000000</v>
      </c>
    </row>
    <row r="313" spans="1:6" ht="12.75" customHeight="1">
      <c r="A313" s="60"/>
      <c r="B313" s="60" t="s">
        <v>521</v>
      </c>
      <c r="C313" s="43"/>
      <c r="D313" s="78">
        <v>23633</v>
      </c>
      <c r="E313" s="78" t="s">
        <v>408</v>
      </c>
      <c r="F313" s="51">
        <f>SUM(F314:F320)</f>
        <v>17500000</v>
      </c>
    </row>
    <row r="314" spans="1:6" ht="15" customHeight="1">
      <c r="A314" s="60" t="s">
        <v>536</v>
      </c>
      <c r="B314" s="60" t="s">
        <v>521</v>
      </c>
      <c r="C314" s="43">
        <v>9009</v>
      </c>
      <c r="D314" s="60">
        <v>2363301</v>
      </c>
      <c r="E314" s="120" t="s">
        <v>409</v>
      </c>
      <c r="F314" s="49">
        <v>1500000</v>
      </c>
    </row>
    <row r="315" spans="1:6" ht="15" customHeight="1">
      <c r="A315" s="60" t="s">
        <v>536</v>
      </c>
      <c r="B315" s="60" t="s">
        <v>521</v>
      </c>
      <c r="C315" s="43">
        <v>9009</v>
      </c>
      <c r="D315" s="60">
        <v>2363302</v>
      </c>
      <c r="E315" s="120" t="s">
        <v>410</v>
      </c>
      <c r="F315" s="49">
        <v>2500000</v>
      </c>
    </row>
    <row r="316" spans="1:6" ht="15" customHeight="1">
      <c r="A316" s="60" t="s">
        <v>536</v>
      </c>
      <c r="B316" s="60" t="s">
        <v>521</v>
      </c>
      <c r="C316" s="43">
        <v>9009</v>
      </c>
      <c r="D316" s="60">
        <v>2363303</v>
      </c>
      <c r="E316" s="120" t="s">
        <v>585</v>
      </c>
      <c r="F316" s="49">
        <v>2000000</v>
      </c>
    </row>
    <row r="317" spans="1:6" ht="15" customHeight="1">
      <c r="A317" s="60" t="s">
        <v>536</v>
      </c>
      <c r="B317" s="60" t="s">
        <v>521</v>
      </c>
      <c r="C317" s="43">
        <v>9009</v>
      </c>
      <c r="D317" s="60">
        <v>2363304</v>
      </c>
      <c r="E317" s="120" t="s">
        <v>411</v>
      </c>
      <c r="F317" s="49">
        <v>1500000</v>
      </c>
    </row>
    <row r="318" spans="1:6" ht="15" customHeight="1">
      <c r="A318" s="60" t="s">
        <v>536</v>
      </c>
      <c r="B318" s="60" t="s">
        <v>521</v>
      </c>
      <c r="C318" s="43">
        <v>9009</v>
      </c>
      <c r="D318" s="60">
        <v>2363305</v>
      </c>
      <c r="E318" s="120" t="s">
        <v>412</v>
      </c>
      <c r="F318" s="49">
        <v>2000000</v>
      </c>
    </row>
    <row r="319" spans="1:6" ht="15" customHeight="1">
      <c r="A319" s="60" t="s">
        <v>536</v>
      </c>
      <c r="B319" s="60" t="s">
        <v>521</v>
      </c>
      <c r="C319" s="43">
        <v>9009</v>
      </c>
      <c r="D319" s="60">
        <v>2363306</v>
      </c>
      <c r="E319" s="120" t="s">
        <v>413</v>
      </c>
      <c r="F319" s="49">
        <v>2000000</v>
      </c>
    </row>
    <row r="320" spans="1:6" ht="15" customHeight="1">
      <c r="A320" s="60" t="s">
        <v>536</v>
      </c>
      <c r="B320" s="60" t="s">
        <v>521</v>
      </c>
      <c r="C320" s="43">
        <v>9009</v>
      </c>
      <c r="D320" s="60">
        <v>2363307</v>
      </c>
      <c r="E320" s="120" t="s">
        <v>414</v>
      </c>
      <c r="F320" s="49">
        <v>6000000</v>
      </c>
    </row>
    <row r="321" spans="1:6" ht="12.75" customHeight="1">
      <c r="A321" s="60"/>
      <c r="B321" s="60" t="s">
        <v>521</v>
      </c>
      <c r="C321" s="43"/>
      <c r="D321" s="78">
        <v>23634</v>
      </c>
      <c r="E321" s="121" t="s">
        <v>370</v>
      </c>
      <c r="F321" s="51">
        <f>SUM(F322:F324)</f>
        <v>3500000</v>
      </c>
    </row>
    <row r="322" spans="1:6" ht="15" customHeight="1">
      <c r="A322" s="60" t="s">
        <v>525</v>
      </c>
      <c r="B322" s="60" t="s">
        <v>521</v>
      </c>
      <c r="C322" s="43">
        <v>9009</v>
      </c>
      <c r="D322" s="60">
        <v>2363401</v>
      </c>
      <c r="E322" s="120" t="s">
        <v>373</v>
      </c>
      <c r="F322" s="49">
        <v>1000000</v>
      </c>
    </row>
    <row r="323" spans="1:6" ht="15" customHeight="1">
      <c r="A323" s="60" t="s">
        <v>525</v>
      </c>
      <c r="B323" s="60" t="s">
        <v>521</v>
      </c>
      <c r="C323" s="43">
        <v>9009</v>
      </c>
      <c r="D323" s="60">
        <v>2363402</v>
      </c>
      <c r="E323" s="120" t="s">
        <v>415</v>
      </c>
      <c r="F323" s="49">
        <v>500000</v>
      </c>
    </row>
    <row r="324" spans="1:6" ht="15" customHeight="1">
      <c r="A324" s="60" t="s">
        <v>525</v>
      </c>
      <c r="B324" s="60" t="s">
        <v>521</v>
      </c>
      <c r="C324" s="43">
        <v>9009</v>
      </c>
      <c r="D324" s="60">
        <v>2363403</v>
      </c>
      <c r="E324" s="120" t="s">
        <v>416</v>
      </c>
      <c r="F324" s="49">
        <v>2000000</v>
      </c>
    </row>
    <row r="325" spans="1:6" ht="12.75" customHeight="1">
      <c r="A325" s="60"/>
      <c r="B325" s="60" t="s">
        <v>521</v>
      </c>
      <c r="C325" s="43"/>
      <c r="D325" s="78">
        <v>23635</v>
      </c>
      <c r="E325" s="78" t="s">
        <v>379</v>
      </c>
      <c r="F325" s="51">
        <f>SUM(F326:F338)</f>
        <v>59800000</v>
      </c>
    </row>
    <row r="326" spans="1:6" ht="15" customHeight="1">
      <c r="A326" s="60" t="s">
        <v>529</v>
      </c>
      <c r="B326" s="60" t="s">
        <v>521</v>
      </c>
      <c r="C326" s="43">
        <v>9009</v>
      </c>
      <c r="D326" s="60">
        <v>2363501</v>
      </c>
      <c r="E326" s="120" t="s">
        <v>417</v>
      </c>
      <c r="F326" s="49">
        <v>7000000</v>
      </c>
    </row>
    <row r="327" spans="1:6" ht="15" customHeight="1">
      <c r="A327" s="60" t="s">
        <v>529</v>
      </c>
      <c r="B327" s="60" t="s">
        <v>521</v>
      </c>
      <c r="C327" s="43">
        <v>9009</v>
      </c>
      <c r="D327" s="120">
        <v>2363502</v>
      </c>
      <c r="E327" s="120" t="s">
        <v>418</v>
      </c>
      <c r="F327" s="49">
        <v>2000000</v>
      </c>
    </row>
    <row r="328" spans="1:6" ht="15" customHeight="1">
      <c r="A328" s="60" t="s">
        <v>529</v>
      </c>
      <c r="B328" s="60" t="s">
        <v>521</v>
      </c>
      <c r="C328" s="43">
        <v>9009</v>
      </c>
      <c r="D328" s="120">
        <v>2363503</v>
      </c>
      <c r="E328" s="120" t="s">
        <v>419</v>
      </c>
      <c r="F328" s="49">
        <v>4000000</v>
      </c>
    </row>
    <row r="329" spans="1:6" ht="15" customHeight="1">
      <c r="A329" s="60" t="s">
        <v>529</v>
      </c>
      <c r="B329" s="60" t="s">
        <v>521</v>
      </c>
      <c r="C329" s="43">
        <v>9009</v>
      </c>
      <c r="D329" s="120">
        <v>2363504</v>
      </c>
      <c r="E329" s="120" t="s">
        <v>420</v>
      </c>
      <c r="F329" s="49">
        <v>5000000</v>
      </c>
    </row>
    <row r="330" spans="1:6" ht="15" customHeight="1">
      <c r="A330" s="60" t="s">
        <v>529</v>
      </c>
      <c r="B330" s="60" t="s">
        <v>521</v>
      </c>
      <c r="C330" s="43">
        <v>9009</v>
      </c>
      <c r="D330" s="120">
        <v>2363505</v>
      </c>
      <c r="E330" s="120" t="s">
        <v>421</v>
      </c>
      <c r="F330" s="49">
        <v>22000000</v>
      </c>
    </row>
    <row r="331" spans="1:6" ht="15" customHeight="1">
      <c r="A331" s="60" t="s">
        <v>529</v>
      </c>
      <c r="B331" s="60" t="s">
        <v>521</v>
      </c>
      <c r="C331" s="43">
        <v>9009</v>
      </c>
      <c r="D331" s="120">
        <v>2363506</v>
      </c>
      <c r="E331" s="120" t="s">
        <v>422</v>
      </c>
      <c r="F331" s="49">
        <v>1500000</v>
      </c>
    </row>
    <row r="332" spans="1:6" ht="15" customHeight="1">
      <c r="A332" s="60" t="s">
        <v>529</v>
      </c>
      <c r="B332" s="60" t="s">
        <v>521</v>
      </c>
      <c r="C332" s="43">
        <v>9009</v>
      </c>
      <c r="D332" s="120">
        <v>2363507</v>
      </c>
      <c r="E332" s="120" t="s">
        <v>423</v>
      </c>
      <c r="F332" s="49">
        <v>1500000</v>
      </c>
    </row>
    <row r="333" spans="1:6" ht="15" customHeight="1">
      <c r="A333" s="60" t="s">
        <v>529</v>
      </c>
      <c r="B333" s="60" t="s">
        <v>521</v>
      </c>
      <c r="C333" s="43">
        <v>9009</v>
      </c>
      <c r="D333" s="120">
        <v>2363508</v>
      </c>
      <c r="E333" s="120" t="s">
        <v>424</v>
      </c>
      <c r="F333" s="49">
        <v>100000</v>
      </c>
    </row>
    <row r="334" spans="1:6" ht="15" customHeight="1">
      <c r="A334" s="60" t="s">
        <v>529</v>
      </c>
      <c r="B334" s="60" t="s">
        <v>521</v>
      </c>
      <c r="C334" s="43">
        <v>9009</v>
      </c>
      <c r="D334" s="60">
        <v>2363509</v>
      </c>
      <c r="E334" s="120" t="s">
        <v>425</v>
      </c>
      <c r="F334" s="49">
        <v>100000</v>
      </c>
    </row>
    <row r="335" spans="1:6" ht="15" customHeight="1">
      <c r="A335" s="60" t="s">
        <v>529</v>
      </c>
      <c r="B335" s="60" t="s">
        <v>521</v>
      </c>
      <c r="C335" s="43">
        <v>9009</v>
      </c>
      <c r="D335" s="60">
        <v>2363510</v>
      </c>
      <c r="E335" s="120" t="s">
        <v>426</v>
      </c>
      <c r="F335" s="49">
        <v>100000</v>
      </c>
    </row>
    <row r="336" spans="1:6" ht="15" customHeight="1">
      <c r="A336" s="60" t="s">
        <v>529</v>
      </c>
      <c r="B336" s="60" t="s">
        <v>521</v>
      </c>
      <c r="C336" s="43">
        <v>9009</v>
      </c>
      <c r="D336" s="60">
        <v>2363511</v>
      </c>
      <c r="E336" s="120" t="s">
        <v>427</v>
      </c>
      <c r="F336" s="49">
        <v>2000000</v>
      </c>
    </row>
    <row r="337" spans="1:6" ht="15" customHeight="1">
      <c r="A337" s="60" t="s">
        <v>529</v>
      </c>
      <c r="B337" s="60" t="s">
        <v>521</v>
      </c>
      <c r="C337" s="43">
        <v>9009</v>
      </c>
      <c r="D337" s="60">
        <v>2363512</v>
      </c>
      <c r="E337" s="120" t="s">
        <v>428</v>
      </c>
      <c r="F337" s="49">
        <v>6000000</v>
      </c>
    </row>
    <row r="338" spans="1:6" ht="15" customHeight="1">
      <c r="A338" s="60" t="s">
        <v>529</v>
      </c>
      <c r="B338" s="60" t="s">
        <v>521</v>
      </c>
      <c r="C338" s="43">
        <v>9009</v>
      </c>
      <c r="D338" s="60">
        <v>2363513</v>
      </c>
      <c r="E338" s="120" t="s">
        <v>429</v>
      </c>
      <c r="F338" s="49">
        <v>8500000</v>
      </c>
    </row>
    <row r="339" spans="1:6" ht="12.75" customHeight="1">
      <c r="A339" s="60"/>
      <c r="B339" s="60" t="s">
        <v>521</v>
      </c>
      <c r="C339" s="43"/>
      <c r="D339" s="78">
        <v>23636</v>
      </c>
      <c r="E339" s="78" t="s">
        <v>383</v>
      </c>
      <c r="F339" s="51">
        <f>SUM(F340:F341)</f>
        <v>11000000</v>
      </c>
    </row>
    <row r="340" spans="1:6" ht="15" customHeight="1">
      <c r="A340" s="60" t="s">
        <v>528</v>
      </c>
      <c r="B340" s="60" t="s">
        <v>521</v>
      </c>
      <c r="C340" s="43">
        <v>9009</v>
      </c>
      <c r="D340" s="60">
        <v>2363601</v>
      </c>
      <c r="E340" s="60" t="s">
        <v>384</v>
      </c>
      <c r="F340" s="49">
        <v>10000000</v>
      </c>
    </row>
    <row r="341" spans="1:6" ht="15" customHeight="1">
      <c r="A341" s="60" t="s">
        <v>528</v>
      </c>
      <c r="B341" s="60" t="s">
        <v>521</v>
      </c>
      <c r="C341" s="43">
        <v>9009</v>
      </c>
      <c r="D341" s="60">
        <v>2363602</v>
      </c>
      <c r="E341" s="60" t="s">
        <v>430</v>
      </c>
      <c r="F341" s="49">
        <v>1000000</v>
      </c>
    </row>
    <row r="342" spans="1:6" ht="12.75" customHeight="1">
      <c r="A342" s="60"/>
      <c r="B342" s="60" t="s">
        <v>521</v>
      </c>
      <c r="C342" s="43"/>
      <c r="D342" s="78">
        <v>23637</v>
      </c>
      <c r="E342" s="78" t="s">
        <v>431</v>
      </c>
      <c r="F342" s="51">
        <f>F343</f>
        <v>18500000</v>
      </c>
    </row>
    <row r="343" spans="1:6" ht="12.75" customHeight="1">
      <c r="A343" s="60"/>
      <c r="B343" s="60" t="s">
        <v>521</v>
      </c>
      <c r="C343" s="43"/>
      <c r="D343" s="78">
        <v>2363701</v>
      </c>
      <c r="E343" s="78" t="s">
        <v>432</v>
      </c>
      <c r="F343" s="51">
        <f>SUM(F344:F349)</f>
        <v>18500000</v>
      </c>
    </row>
    <row r="344" spans="1:6" ht="15" customHeight="1">
      <c r="A344" s="60" t="s">
        <v>527</v>
      </c>
      <c r="B344" s="60" t="s">
        <v>521</v>
      </c>
      <c r="C344" s="43">
        <v>9009</v>
      </c>
      <c r="D344" s="60">
        <v>236370101</v>
      </c>
      <c r="E344" s="60" t="s">
        <v>433</v>
      </c>
      <c r="F344" s="49">
        <v>2500000</v>
      </c>
    </row>
    <row r="345" spans="1:6" ht="15" customHeight="1">
      <c r="A345" s="60" t="s">
        <v>527</v>
      </c>
      <c r="B345" s="60" t="s">
        <v>521</v>
      </c>
      <c r="C345" s="43">
        <v>9009</v>
      </c>
      <c r="D345" s="60">
        <v>236370102</v>
      </c>
      <c r="E345" s="60" t="s">
        <v>434</v>
      </c>
      <c r="F345" s="49">
        <v>1000000</v>
      </c>
    </row>
    <row r="346" spans="1:6" ht="15" customHeight="1">
      <c r="A346" s="60" t="s">
        <v>527</v>
      </c>
      <c r="B346" s="60" t="s">
        <v>521</v>
      </c>
      <c r="C346" s="43">
        <v>9009</v>
      </c>
      <c r="D346" s="60">
        <v>236370103</v>
      </c>
      <c r="E346" s="60" t="s">
        <v>435</v>
      </c>
      <c r="F346" s="49">
        <v>1000000</v>
      </c>
    </row>
    <row r="347" spans="1:6" ht="15" customHeight="1">
      <c r="A347" s="60" t="s">
        <v>527</v>
      </c>
      <c r="B347" s="60" t="s">
        <v>521</v>
      </c>
      <c r="C347" s="43">
        <v>9009</v>
      </c>
      <c r="D347" s="60">
        <v>236370104</v>
      </c>
      <c r="E347" s="60" t="s">
        <v>436</v>
      </c>
      <c r="F347" s="49">
        <v>1000000</v>
      </c>
    </row>
    <row r="348" spans="1:6" ht="15" customHeight="1">
      <c r="A348" s="60" t="s">
        <v>527</v>
      </c>
      <c r="B348" s="60" t="s">
        <v>521</v>
      </c>
      <c r="C348" s="43">
        <v>9009</v>
      </c>
      <c r="D348" s="60">
        <v>236370105</v>
      </c>
      <c r="E348" s="60" t="s">
        <v>437</v>
      </c>
      <c r="F348" s="49">
        <v>2000000</v>
      </c>
    </row>
    <row r="349" spans="1:6" ht="15" customHeight="1">
      <c r="A349" s="60" t="s">
        <v>223</v>
      </c>
      <c r="B349" s="60" t="s">
        <v>521</v>
      </c>
      <c r="C349" s="43">
        <v>9009</v>
      </c>
      <c r="D349" s="60">
        <v>236370106</v>
      </c>
      <c r="E349" s="61" t="s">
        <v>579</v>
      </c>
      <c r="F349" s="49">
        <v>11000000</v>
      </c>
    </row>
    <row r="350" spans="1:6" ht="12.75" customHeight="1">
      <c r="A350" s="60"/>
      <c r="B350" s="60" t="s">
        <v>521</v>
      </c>
      <c r="C350" s="43"/>
      <c r="D350" s="78">
        <v>23638</v>
      </c>
      <c r="E350" s="78" t="s">
        <v>537</v>
      </c>
      <c r="F350" s="51">
        <f>F351</f>
        <v>20000000</v>
      </c>
    </row>
    <row r="351" spans="1:6" ht="15" customHeight="1">
      <c r="A351" s="60" t="s">
        <v>527</v>
      </c>
      <c r="B351" s="60" t="s">
        <v>521</v>
      </c>
      <c r="C351" s="43">
        <v>9009</v>
      </c>
      <c r="D351" s="60">
        <v>2363801</v>
      </c>
      <c r="E351" s="60" t="s">
        <v>438</v>
      </c>
      <c r="F351" s="49">
        <v>20000000</v>
      </c>
    </row>
    <row r="352" spans="1:6" ht="12.75" customHeight="1">
      <c r="A352" s="60"/>
      <c r="B352" s="60" t="s">
        <v>521</v>
      </c>
      <c r="C352" s="43"/>
      <c r="D352" s="78">
        <v>2364</v>
      </c>
      <c r="E352" s="78" t="s">
        <v>439</v>
      </c>
      <c r="F352" s="51">
        <f>F353</f>
        <v>10000000</v>
      </c>
    </row>
    <row r="353" spans="1:6" ht="15" customHeight="1">
      <c r="A353" s="60" t="s">
        <v>526</v>
      </c>
      <c r="B353" s="60" t="s">
        <v>521</v>
      </c>
      <c r="C353" s="43">
        <v>9009</v>
      </c>
      <c r="D353" s="60">
        <v>236401</v>
      </c>
      <c r="E353" s="60" t="s">
        <v>440</v>
      </c>
      <c r="F353" s="49">
        <v>10000000</v>
      </c>
    </row>
    <row r="354" spans="1:6" ht="12.75" customHeight="1">
      <c r="A354" s="60"/>
      <c r="B354" s="60" t="s">
        <v>521</v>
      </c>
      <c r="C354" s="43"/>
      <c r="D354" s="78">
        <v>2365</v>
      </c>
      <c r="E354" s="78" t="s">
        <v>441</v>
      </c>
      <c r="F354" s="51">
        <f>F355</f>
        <v>5000000</v>
      </c>
    </row>
    <row r="355" spans="1:6" ht="15" customHeight="1">
      <c r="A355" s="60" t="s">
        <v>538</v>
      </c>
      <c r="B355" s="60" t="s">
        <v>521</v>
      </c>
      <c r="C355" s="43">
        <v>9009</v>
      </c>
      <c r="D355" s="60">
        <v>236501</v>
      </c>
      <c r="E355" s="60" t="s">
        <v>442</v>
      </c>
      <c r="F355" s="49">
        <v>5000000</v>
      </c>
    </row>
    <row r="356" spans="1:6" ht="12.75" customHeight="1">
      <c r="A356" s="60"/>
      <c r="B356" s="60" t="s">
        <v>521</v>
      </c>
      <c r="C356" s="43"/>
      <c r="D356" s="78">
        <v>2366</v>
      </c>
      <c r="E356" s="78" t="s">
        <v>443</v>
      </c>
      <c r="F356" s="51">
        <f>F357</f>
        <v>4000000</v>
      </c>
    </row>
    <row r="357" spans="1:6" ht="15" customHeight="1">
      <c r="A357" s="60" t="s">
        <v>539</v>
      </c>
      <c r="B357" s="60" t="s">
        <v>521</v>
      </c>
      <c r="C357" s="43">
        <v>9009</v>
      </c>
      <c r="D357" s="60">
        <v>236601</v>
      </c>
      <c r="E357" s="60" t="s">
        <v>444</v>
      </c>
      <c r="F357" s="49">
        <v>4000000</v>
      </c>
    </row>
    <row r="358" spans="1:6" ht="15" customHeight="1">
      <c r="A358" s="60"/>
      <c r="B358" s="60" t="s">
        <v>521</v>
      </c>
      <c r="C358" s="43"/>
      <c r="D358" s="78">
        <v>2367</v>
      </c>
      <c r="E358" s="78" t="s">
        <v>577</v>
      </c>
      <c r="F358" s="51">
        <f>F359</f>
        <v>25000000</v>
      </c>
    </row>
    <row r="359" spans="1:6" ht="15" customHeight="1">
      <c r="A359" s="60" t="s">
        <v>223</v>
      </c>
      <c r="B359" s="60" t="s">
        <v>521</v>
      </c>
      <c r="C359" s="43">
        <v>9009</v>
      </c>
      <c r="D359" s="60">
        <v>236701</v>
      </c>
      <c r="E359" s="60" t="s">
        <v>578</v>
      </c>
      <c r="F359" s="49">
        <v>25000000</v>
      </c>
    </row>
    <row r="360" spans="1:6" ht="12.75" customHeight="1">
      <c r="A360" s="60"/>
      <c r="B360" s="60" t="s">
        <v>521</v>
      </c>
      <c r="C360" s="43"/>
      <c r="D360" s="78">
        <v>237</v>
      </c>
      <c r="E360" s="78" t="s">
        <v>445</v>
      </c>
      <c r="F360" s="51">
        <f>F361+F363+F365+F367+F369+F374+F377+F379+F381</f>
        <v>717210409</v>
      </c>
    </row>
    <row r="361" spans="1:6" ht="12.75" customHeight="1">
      <c r="A361" s="60"/>
      <c r="B361" s="60" t="s">
        <v>521</v>
      </c>
      <c r="C361" s="43"/>
      <c r="D361" s="78">
        <v>2371</v>
      </c>
      <c r="E361" s="78" t="s">
        <v>446</v>
      </c>
      <c r="F361" s="51">
        <f>SUM(F362:F362)</f>
        <v>566650409</v>
      </c>
    </row>
    <row r="362" spans="1:6" ht="15" customHeight="1">
      <c r="A362" s="60" t="s">
        <v>534</v>
      </c>
      <c r="B362" s="60" t="s">
        <v>521</v>
      </c>
      <c r="C362" s="43">
        <v>9010</v>
      </c>
      <c r="D362" s="60">
        <v>237101</v>
      </c>
      <c r="E362" s="60" t="s">
        <v>447</v>
      </c>
      <c r="F362" s="49">
        <f>Ingresos!K98</f>
        <v>566650409</v>
      </c>
    </row>
    <row r="363" spans="1:6" ht="12.75" customHeight="1">
      <c r="A363" s="60"/>
      <c r="B363" s="60" t="s">
        <v>521</v>
      </c>
      <c r="C363" s="43"/>
      <c r="D363" s="78">
        <v>2372</v>
      </c>
      <c r="E363" s="78" t="s">
        <v>448</v>
      </c>
      <c r="F363" s="51">
        <f>SUM(F364:F364)</f>
        <v>19000000</v>
      </c>
    </row>
    <row r="364" spans="1:6" ht="15" customHeight="1">
      <c r="A364" s="60" t="s">
        <v>534</v>
      </c>
      <c r="B364" s="60" t="s">
        <v>521</v>
      </c>
      <c r="C364" s="43">
        <v>9011</v>
      </c>
      <c r="D364" s="60">
        <v>237201</v>
      </c>
      <c r="E364" s="60" t="s">
        <v>449</v>
      </c>
      <c r="F364" s="49">
        <f>Ingresos!K97</f>
        <v>19000000</v>
      </c>
    </row>
    <row r="365" spans="1:6" ht="12.75" customHeight="1">
      <c r="A365" s="60"/>
      <c r="B365" s="60" t="s">
        <v>521</v>
      </c>
      <c r="C365" s="43"/>
      <c r="D365" s="78">
        <v>2373</v>
      </c>
      <c r="E365" s="78" t="s">
        <v>546</v>
      </c>
      <c r="F365" s="51">
        <f>SUM(F366:F366)</f>
        <v>10000000</v>
      </c>
    </row>
    <row r="366" spans="1:6" ht="15" customHeight="1">
      <c r="A366" s="60" t="s">
        <v>223</v>
      </c>
      <c r="B366" s="60" t="s">
        <v>521</v>
      </c>
      <c r="C366" s="43">
        <v>9001</v>
      </c>
      <c r="D366" s="60">
        <v>237301</v>
      </c>
      <c r="E366" s="60" t="s">
        <v>547</v>
      </c>
      <c r="F366" s="49">
        <f>Ingresos!K105</f>
        <v>10000000</v>
      </c>
    </row>
    <row r="367" spans="1:6" ht="12.75" customHeight="1">
      <c r="A367" s="60"/>
      <c r="B367" s="60" t="s">
        <v>521</v>
      </c>
      <c r="C367" s="43"/>
      <c r="D367" s="78">
        <v>2374</v>
      </c>
      <c r="E367" s="78" t="s">
        <v>450</v>
      </c>
      <c r="F367" s="51">
        <f>F368</f>
        <v>15000000</v>
      </c>
    </row>
    <row r="368" spans="1:6" ht="15" customHeight="1">
      <c r="A368" s="60" t="s">
        <v>539</v>
      </c>
      <c r="B368" s="60" t="s">
        <v>521</v>
      </c>
      <c r="C368" s="43">
        <v>9001</v>
      </c>
      <c r="D368" s="60">
        <v>237401</v>
      </c>
      <c r="E368" s="60" t="s">
        <v>451</v>
      </c>
      <c r="F368" s="49">
        <f>Ingresos!K92</f>
        <v>15000000</v>
      </c>
    </row>
    <row r="369" spans="1:7" ht="12.75" customHeight="1">
      <c r="A369" s="60"/>
      <c r="B369" s="60" t="s">
        <v>521</v>
      </c>
      <c r="C369" s="43"/>
      <c r="D369" s="78">
        <v>2375</v>
      </c>
      <c r="E369" s="78" t="s">
        <v>452</v>
      </c>
      <c r="F369" s="51">
        <f>SUM(F370:F373)</f>
        <v>15000000</v>
      </c>
      <c r="G369" s="58">
        <f>15000000-F369</f>
        <v>0</v>
      </c>
    </row>
    <row r="370" spans="1:6" ht="15" customHeight="1">
      <c r="A370" s="60" t="s">
        <v>522</v>
      </c>
      <c r="B370" s="60" t="s">
        <v>521</v>
      </c>
      <c r="C370" s="43">
        <v>9001</v>
      </c>
      <c r="D370" s="60">
        <v>237501</v>
      </c>
      <c r="E370" s="60" t="s">
        <v>453</v>
      </c>
      <c r="F370" s="74">
        <v>4000000</v>
      </c>
    </row>
    <row r="371" spans="1:6" ht="15" customHeight="1">
      <c r="A371" s="60" t="s">
        <v>522</v>
      </c>
      <c r="B371" s="60" t="s">
        <v>521</v>
      </c>
      <c r="C371" s="43">
        <v>9001</v>
      </c>
      <c r="D371" s="60">
        <v>237502</v>
      </c>
      <c r="E371" s="60" t="s">
        <v>454</v>
      </c>
      <c r="F371" s="49">
        <v>5000000</v>
      </c>
    </row>
    <row r="372" spans="1:6" ht="15" customHeight="1">
      <c r="A372" s="60" t="s">
        <v>522</v>
      </c>
      <c r="B372" s="60" t="s">
        <v>521</v>
      </c>
      <c r="C372" s="43">
        <v>9001</v>
      </c>
      <c r="D372" s="60">
        <v>237503</v>
      </c>
      <c r="E372" s="60" t="s">
        <v>455</v>
      </c>
      <c r="F372" s="49">
        <v>4500000</v>
      </c>
    </row>
    <row r="373" spans="1:6" ht="15" customHeight="1">
      <c r="A373" s="60" t="s">
        <v>522</v>
      </c>
      <c r="B373" s="60" t="s">
        <v>521</v>
      </c>
      <c r="C373" s="43">
        <v>9001</v>
      </c>
      <c r="D373" s="60">
        <v>237504</v>
      </c>
      <c r="E373" s="60" t="s">
        <v>456</v>
      </c>
      <c r="F373" s="49">
        <v>1500000</v>
      </c>
    </row>
    <row r="374" spans="1:8" ht="12.75" customHeight="1">
      <c r="A374" s="60"/>
      <c r="B374" s="60" t="s">
        <v>521</v>
      </c>
      <c r="C374" s="43"/>
      <c r="D374" s="78">
        <v>2376</v>
      </c>
      <c r="E374" s="78" t="s">
        <v>457</v>
      </c>
      <c r="F374" s="51">
        <f>SUM(F375:F376)</f>
        <v>55560000</v>
      </c>
      <c r="G374" s="58">
        <f>(Ingresos!K90*20%)-F374</f>
        <v>0</v>
      </c>
      <c r="H374" s="58"/>
    </row>
    <row r="375" spans="1:6" ht="15" customHeight="1">
      <c r="A375" s="60" t="s">
        <v>526</v>
      </c>
      <c r="B375" s="60" t="s">
        <v>521</v>
      </c>
      <c r="C375" s="43">
        <v>9001</v>
      </c>
      <c r="D375" s="60">
        <v>237601</v>
      </c>
      <c r="E375" s="60" t="s">
        <v>540</v>
      </c>
      <c r="F375" s="74">
        <v>40560000</v>
      </c>
    </row>
    <row r="376" spans="1:6" ht="15" customHeight="1">
      <c r="A376" s="60" t="s">
        <v>526</v>
      </c>
      <c r="B376" s="60" t="s">
        <v>521</v>
      </c>
      <c r="C376" s="43">
        <v>9001</v>
      </c>
      <c r="D376" s="60">
        <v>237602</v>
      </c>
      <c r="E376" s="60" t="s">
        <v>541</v>
      </c>
      <c r="F376" s="74">
        <v>15000000</v>
      </c>
    </row>
    <row r="377" spans="1:6" ht="12.75" customHeight="1">
      <c r="A377" s="60"/>
      <c r="B377" s="60" t="s">
        <v>521</v>
      </c>
      <c r="C377" s="43"/>
      <c r="D377" s="78">
        <v>2377</v>
      </c>
      <c r="E377" s="78" t="s">
        <v>351</v>
      </c>
      <c r="F377" s="51">
        <f>F378</f>
        <v>6000000</v>
      </c>
    </row>
    <row r="378" spans="1:6" ht="15" customHeight="1">
      <c r="A378" s="60" t="s">
        <v>523</v>
      </c>
      <c r="B378" s="60" t="s">
        <v>521</v>
      </c>
      <c r="C378" s="43">
        <v>9001</v>
      </c>
      <c r="D378" s="60">
        <v>237701</v>
      </c>
      <c r="E378" s="60" t="s">
        <v>458</v>
      </c>
      <c r="F378" s="49">
        <f>Ingresos!K19</f>
        <v>6000000</v>
      </c>
    </row>
    <row r="379" spans="1:6" ht="12.75" customHeight="1">
      <c r="A379" s="60"/>
      <c r="B379" s="60" t="s">
        <v>521</v>
      </c>
      <c r="C379" s="43"/>
      <c r="D379" s="78">
        <v>2378</v>
      </c>
      <c r="E379" s="78" t="s">
        <v>459</v>
      </c>
      <c r="F379" s="51">
        <f>F380</f>
        <v>0</v>
      </c>
    </row>
    <row r="380" spans="1:6" ht="15" customHeight="1">
      <c r="A380" s="60" t="s">
        <v>542</v>
      </c>
      <c r="B380" s="60" t="s">
        <v>521</v>
      </c>
      <c r="C380" s="43">
        <v>9001</v>
      </c>
      <c r="D380" s="60">
        <v>237801</v>
      </c>
      <c r="E380" s="60" t="s">
        <v>460</v>
      </c>
      <c r="F380" s="91">
        <f>+Ingresos!K107</f>
        <v>0</v>
      </c>
    </row>
    <row r="381" spans="1:6" ht="12.75" customHeight="1">
      <c r="A381" s="60"/>
      <c r="B381" s="60" t="s">
        <v>521</v>
      </c>
      <c r="C381" s="65"/>
      <c r="D381" s="78">
        <v>2379</v>
      </c>
      <c r="E381" s="78" t="s">
        <v>461</v>
      </c>
      <c r="F381" s="51">
        <f>F382</f>
        <v>30000000</v>
      </c>
    </row>
    <row r="382" spans="1:6" ht="15" customHeight="1">
      <c r="A382" s="60" t="s">
        <v>530</v>
      </c>
      <c r="B382" s="60" t="s">
        <v>521</v>
      </c>
      <c r="C382" s="65">
        <v>9001</v>
      </c>
      <c r="D382" s="60">
        <v>237901</v>
      </c>
      <c r="E382" s="60" t="s">
        <v>462</v>
      </c>
      <c r="F382" s="49">
        <f>Ingresos!K106</f>
        <v>30000000</v>
      </c>
    </row>
    <row r="384" spans="1:6" ht="12.75">
      <c r="A384" s="58"/>
      <c r="B384" s="58"/>
      <c r="C384" s="66"/>
      <c r="D384" s="58"/>
      <c r="E384" s="58"/>
      <c r="F384" s="49">
        <f>SUBTOTAL(9,F6:F383)</f>
        <v>28648507378</v>
      </c>
    </row>
    <row r="385" spans="2:3" ht="12.75">
      <c r="B385" s="115">
        <v>235</v>
      </c>
      <c r="C385" s="116" t="s">
        <v>602</v>
      </c>
    </row>
    <row r="386" spans="2:3" ht="12.75">
      <c r="B386" s="115">
        <v>236</v>
      </c>
      <c r="C386" s="116" t="s">
        <v>603</v>
      </c>
    </row>
    <row r="387" spans="2:3" ht="12.75">
      <c r="B387" s="81"/>
      <c r="C387" s="114"/>
    </row>
  </sheetData>
  <sheetProtection/>
  <autoFilter ref="A5:F382"/>
  <mergeCells count="3">
    <mergeCell ref="C1:F1"/>
    <mergeCell ref="C3:F3"/>
    <mergeCell ref="C2:F2"/>
  </mergeCells>
  <printOptions horizontalCentered="1"/>
  <pageMargins left="0.1968503937007874" right="0.1968503937007874" top="0.5905511811023623" bottom="1.3779527559055118" header="0.31496062992125984" footer="0.31496062992125984"/>
  <pageSetup fitToHeight="6" fitToWidth="1" horizontalDpi="600" verticalDpi="600" orientation="portrait" paperSize="5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Y4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4" sqref="E24"/>
    </sheetView>
  </sheetViews>
  <sheetFormatPr defaultColWidth="11.421875" defaultRowHeight="12.75"/>
  <cols>
    <col min="1" max="1" width="29.28125" style="1" customWidth="1"/>
    <col min="2" max="2" width="8.7109375" style="1" customWidth="1"/>
    <col min="3" max="4" width="12.00390625" style="2" customWidth="1"/>
    <col min="5" max="7" width="12.7109375" style="3" customWidth="1"/>
    <col min="8" max="8" width="4.7109375" style="4" customWidth="1"/>
    <col min="9" max="25" width="12.7109375" style="5" customWidth="1"/>
    <col min="26" max="16384" width="11.421875" style="1" customWidth="1"/>
  </cols>
  <sheetData>
    <row r="4" ht="12.75" customHeight="1"/>
    <row r="5" spans="1:25" ht="12.75" customHeight="1">
      <c r="A5" s="7" t="s">
        <v>1</v>
      </c>
      <c r="B5" s="7" t="s">
        <v>558</v>
      </c>
      <c r="C5" s="8" t="s">
        <v>2</v>
      </c>
      <c r="D5" s="8" t="s">
        <v>3</v>
      </c>
      <c r="E5" s="21">
        <v>2007</v>
      </c>
      <c r="F5" s="8" t="s">
        <v>65</v>
      </c>
      <c r="G5" s="8" t="s">
        <v>61</v>
      </c>
      <c r="H5" s="8" t="s">
        <v>4</v>
      </c>
      <c r="I5" s="8" t="s">
        <v>5</v>
      </c>
      <c r="J5" s="7" t="s">
        <v>6</v>
      </c>
      <c r="K5" s="7" t="s">
        <v>0</v>
      </c>
      <c r="L5" s="9" t="s">
        <v>7</v>
      </c>
      <c r="M5" s="9" t="s">
        <v>566</v>
      </c>
      <c r="N5" s="9" t="s">
        <v>569</v>
      </c>
      <c r="O5" s="9" t="s">
        <v>8</v>
      </c>
      <c r="P5" s="9" t="s">
        <v>9</v>
      </c>
      <c r="Q5" s="9" t="s">
        <v>10</v>
      </c>
      <c r="R5" s="9" t="s">
        <v>11</v>
      </c>
      <c r="S5" s="9" t="s">
        <v>12</v>
      </c>
      <c r="T5" s="9" t="s">
        <v>13</v>
      </c>
      <c r="U5" s="9" t="s">
        <v>14</v>
      </c>
      <c r="V5" s="9" t="s">
        <v>15</v>
      </c>
      <c r="W5" s="9" t="s">
        <v>570</v>
      </c>
      <c r="X5" s="9" t="s">
        <v>568</v>
      </c>
      <c r="Y5" s="9" t="s">
        <v>567</v>
      </c>
    </row>
    <row r="6" spans="1:25" ht="12.75" customHeight="1">
      <c r="A6" s="13" t="s">
        <v>18</v>
      </c>
      <c r="B6" s="13">
        <v>1</v>
      </c>
      <c r="C6" s="17" t="s">
        <v>66</v>
      </c>
      <c r="D6" s="17" t="s">
        <v>17</v>
      </c>
      <c r="E6" s="20">
        <v>572200</v>
      </c>
      <c r="F6" s="11">
        <f>ROUND((E6*1.25),0)</f>
        <v>715250</v>
      </c>
      <c r="G6" s="11">
        <f aca="true" t="shared" si="0" ref="G6:G11">ROUND((F6*6.3%),0)</f>
        <v>45061</v>
      </c>
      <c r="H6" s="11">
        <v>30</v>
      </c>
      <c r="I6" s="11">
        <f aca="true" t="shared" si="1" ref="I6:I44">ROUND(((F6+G6)/30*H6),-3)</f>
        <v>760000</v>
      </c>
      <c r="J6" s="11">
        <f aca="true" t="shared" si="2" ref="J6:J40">ROUND((I6*15.5%/4*3),-2)</f>
        <v>88400</v>
      </c>
      <c r="K6" s="10">
        <f aca="true" t="shared" si="3" ref="K6:K40">ROUND((I6*8.5%),-2)</f>
        <v>64600</v>
      </c>
      <c r="L6" s="10">
        <f aca="true" t="shared" si="4" ref="L6:L40">ROUND((I6*0.522%),-2)</f>
        <v>4000</v>
      </c>
      <c r="M6" s="10">
        <f aca="true" t="shared" si="5" ref="M6:M11">ROUND((I6*50%/12),0)</f>
        <v>31667</v>
      </c>
      <c r="N6" s="10">
        <v>35512</v>
      </c>
      <c r="O6" s="10">
        <f aca="true" t="shared" si="6" ref="O6:O40">ROUND(((I6+V6+Y6)*3%),-2)</f>
        <v>25600</v>
      </c>
      <c r="P6" s="10">
        <f aca="true" t="shared" si="7" ref="P6:P40">ROUND(((I6+V6+Y6)*4%),-2)</f>
        <v>34200</v>
      </c>
      <c r="Q6" s="10">
        <f aca="true" t="shared" si="8" ref="Q6:Q40">ROUND(((I6+V6+Y6)*1%),-2)</f>
        <v>8500</v>
      </c>
      <c r="R6" s="10">
        <f aca="true" t="shared" si="9" ref="R6:R40">ROUND(((I6+V6+Y6)*0.5%),-2)</f>
        <v>4300</v>
      </c>
      <c r="S6" s="10">
        <f aca="true" t="shared" si="10" ref="S6:S40">ROUND(((I6+V6+Y6)*0.5%),-2)</f>
        <v>4300</v>
      </c>
      <c r="T6" s="10">
        <f aca="true" t="shared" si="11" ref="T6:T40">ROUND((I6*8.33%),0)</f>
        <v>63308</v>
      </c>
      <c r="U6" s="10">
        <f aca="true" t="shared" si="12" ref="U6:U40">ROUND((T6*12%),0)</f>
        <v>7597</v>
      </c>
      <c r="V6" s="10">
        <f aca="true" t="shared" si="13" ref="V6:V40">ROUND((T6/2),0)</f>
        <v>31654</v>
      </c>
      <c r="W6" s="10">
        <v>0</v>
      </c>
      <c r="X6" s="10">
        <f>ROUND((Y6/2),0)</f>
        <v>31654</v>
      </c>
      <c r="Y6" s="10">
        <f aca="true" t="shared" si="14" ref="Y6:Y40">T6</f>
        <v>63308</v>
      </c>
    </row>
    <row r="7" spans="1:25" ht="12.75" customHeight="1">
      <c r="A7" s="13" t="s">
        <v>19</v>
      </c>
      <c r="B7" s="13">
        <v>1</v>
      </c>
      <c r="C7" s="17" t="s">
        <v>67</v>
      </c>
      <c r="D7" s="17" t="s">
        <v>17</v>
      </c>
      <c r="E7" s="20">
        <v>471400</v>
      </c>
      <c r="F7" s="11">
        <f>ROUND((E7*1.25),0)</f>
        <v>589250</v>
      </c>
      <c r="G7" s="11">
        <f t="shared" si="0"/>
        <v>37123</v>
      </c>
      <c r="H7" s="11">
        <v>30</v>
      </c>
      <c r="I7" s="11">
        <f t="shared" si="1"/>
        <v>626000</v>
      </c>
      <c r="J7" s="11">
        <f t="shared" si="2"/>
        <v>72800</v>
      </c>
      <c r="K7" s="10">
        <f t="shared" si="3"/>
        <v>53200</v>
      </c>
      <c r="L7" s="10">
        <f t="shared" si="4"/>
        <v>3300</v>
      </c>
      <c r="M7" s="10">
        <f t="shared" si="5"/>
        <v>26083</v>
      </c>
      <c r="N7" s="10">
        <v>35512</v>
      </c>
      <c r="O7" s="10">
        <f t="shared" si="6"/>
        <v>21100</v>
      </c>
      <c r="P7" s="10">
        <f t="shared" si="7"/>
        <v>28200</v>
      </c>
      <c r="Q7" s="10">
        <f t="shared" si="8"/>
        <v>7000</v>
      </c>
      <c r="R7" s="10">
        <f t="shared" si="9"/>
        <v>3500</v>
      </c>
      <c r="S7" s="10">
        <f t="shared" si="10"/>
        <v>3500</v>
      </c>
      <c r="T7" s="10">
        <f t="shared" si="11"/>
        <v>52146</v>
      </c>
      <c r="U7" s="10">
        <f t="shared" si="12"/>
        <v>6258</v>
      </c>
      <c r="V7" s="10">
        <f t="shared" si="13"/>
        <v>26073</v>
      </c>
      <c r="W7" s="10">
        <v>0</v>
      </c>
      <c r="X7" s="10">
        <f aca="true" t="shared" si="15" ref="X7:X40">ROUND((Y7/2),0)</f>
        <v>26073</v>
      </c>
      <c r="Y7" s="10">
        <f t="shared" si="14"/>
        <v>52146</v>
      </c>
    </row>
    <row r="8" spans="1:25" ht="12.75" customHeight="1">
      <c r="A8" s="13" t="s">
        <v>20</v>
      </c>
      <c r="B8" s="13">
        <v>1</v>
      </c>
      <c r="C8" s="17" t="s">
        <v>67</v>
      </c>
      <c r="D8" s="17" t="s">
        <v>17</v>
      </c>
      <c r="E8" s="20">
        <v>471400</v>
      </c>
      <c r="F8" s="11">
        <f>ROUND((E8*1.25),0)</f>
        <v>589250</v>
      </c>
      <c r="G8" s="11">
        <f t="shared" si="0"/>
        <v>37123</v>
      </c>
      <c r="H8" s="11">
        <v>30</v>
      </c>
      <c r="I8" s="11">
        <f t="shared" si="1"/>
        <v>626000</v>
      </c>
      <c r="J8" s="11">
        <f t="shared" si="2"/>
        <v>72800</v>
      </c>
      <c r="K8" s="10">
        <f t="shared" si="3"/>
        <v>53200</v>
      </c>
      <c r="L8" s="10">
        <f t="shared" si="4"/>
        <v>3300</v>
      </c>
      <c r="M8" s="10">
        <f t="shared" si="5"/>
        <v>26083</v>
      </c>
      <c r="N8" s="10">
        <v>35512</v>
      </c>
      <c r="O8" s="10">
        <f t="shared" si="6"/>
        <v>21100</v>
      </c>
      <c r="P8" s="10">
        <f t="shared" si="7"/>
        <v>28200</v>
      </c>
      <c r="Q8" s="10">
        <f t="shared" si="8"/>
        <v>7000</v>
      </c>
      <c r="R8" s="10">
        <f t="shared" si="9"/>
        <v>3500</v>
      </c>
      <c r="S8" s="10">
        <f t="shared" si="10"/>
        <v>3500</v>
      </c>
      <c r="T8" s="10">
        <f t="shared" si="11"/>
        <v>52146</v>
      </c>
      <c r="U8" s="10">
        <f t="shared" si="12"/>
        <v>6258</v>
      </c>
      <c r="V8" s="10">
        <f t="shared" si="13"/>
        <v>26073</v>
      </c>
      <c r="W8" s="10">
        <v>0</v>
      </c>
      <c r="X8" s="10">
        <f t="shared" si="15"/>
        <v>26073</v>
      </c>
      <c r="Y8" s="10">
        <f t="shared" si="14"/>
        <v>52146</v>
      </c>
    </row>
    <row r="9" spans="1:25" ht="12.75" customHeight="1">
      <c r="A9" s="13" t="s">
        <v>21</v>
      </c>
      <c r="B9" s="13"/>
      <c r="C9" s="17" t="s">
        <v>22</v>
      </c>
      <c r="D9" s="17" t="s">
        <v>17</v>
      </c>
      <c r="E9" s="11">
        <v>557500</v>
      </c>
      <c r="F9" s="11">
        <f>ROUND((E9*1.1),0)+70000</f>
        <v>683250</v>
      </c>
      <c r="G9" s="11">
        <f t="shared" si="0"/>
        <v>43045</v>
      </c>
      <c r="H9" s="11">
        <v>30</v>
      </c>
      <c r="I9" s="11">
        <f t="shared" si="1"/>
        <v>726000</v>
      </c>
      <c r="J9" s="11">
        <f t="shared" si="2"/>
        <v>84400</v>
      </c>
      <c r="K9" s="10">
        <f t="shared" si="3"/>
        <v>61700</v>
      </c>
      <c r="L9" s="10">
        <f t="shared" si="4"/>
        <v>3800</v>
      </c>
      <c r="M9" s="10">
        <f t="shared" si="5"/>
        <v>30250</v>
      </c>
      <c r="N9" s="10">
        <v>35512</v>
      </c>
      <c r="O9" s="10">
        <f t="shared" si="6"/>
        <v>24500</v>
      </c>
      <c r="P9" s="10">
        <f t="shared" si="7"/>
        <v>32700</v>
      </c>
      <c r="Q9" s="10">
        <f t="shared" si="8"/>
        <v>8200</v>
      </c>
      <c r="R9" s="10">
        <f t="shared" si="9"/>
        <v>4100</v>
      </c>
      <c r="S9" s="10">
        <f t="shared" si="10"/>
        <v>4100</v>
      </c>
      <c r="T9" s="10">
        <f t="shared" si="11"/>
        <v>60476</v>
      </c>
      <c r="U9" s="10">
        <f t="shared" si="12"/>
        <v>7257</v>
      </c>
      <c r="V9" s="10">
        <f t="shared" si="13"/>
        <v>30238</v>
      </c>
      <c r="W9" s="10">
        <v>0</v>
      </c>
      <c r="X9" s="10">
        <f t="shared" si="15"/>
        <v>30238</v>
      </c>
      <c r="Y9" s="10">
        <f t="shared" si="14"/>
        <v>60476</v>
      </c>
    </row>
    <row r="10" spans="1:25" ht="12.75" customHeight="1">
      <c r="A10" s="13" t="s">
        <v>23</v>
      </c>
      <c r="B10" s="13"/>
      <c r="C10" s="17" t="s">
        <v>22</v>
      </c>
      <c r="D10" s="17" t="s">
        <v>17</v>
      </c>
      <c r="E10" s="11">
        <v>557500</v>
      </c>
      <c r="F10" s="11">
        <f>ROUND((E10*1.1),0)+70000</f>
        <v>683250</v>
      </c>
      <c r="G10" s="11">
        <f t="shared" si="0"/>
        <v>43045</v>
      </c>
      <c r="H10" s="11">
        <v>30</v>
      </c>
      <c r="I10" s="11">
        <f t="shared" si="1"/>
        <v>726000</v>
      </c>
      <c r="J10" s="11">
        <f t="shared" si="2"/>
        <v>84400</v>
      </c>
      <c r="K10" s="10">
        <f t="shared" si="3"/>
        <v>61700</v>
      </c>
      <c r="L10" s="10">
        <f t="shared" si="4"/>
        <v>3800</v>
      </c>
      <c r="M10" s="10">
        <f t="shared" si="5"/>
        <v>30250</v>
      </c>
      <c r="N10" s="10">
        <v>35512</v>
      </c>
      <c r="O10" s="10">
        <f t="shared" si="6"/>
        <v>24500</v>
      </c>
      <c r="P10" s="10">
        <f t="shared" si="7"/>
        <v>32700</v>
      </c>
      <c r="Q10" s="10">
        <f t="shared" si="8"/>
        <v>8200</v>
      </c>
      <c r="R10" s="10">
        <f t="shared" si="9"/>
        <v>4100</v>
      </c>
      <c r="S10" s="10">
        <f t="shared" si="10"/>
        <v>4100</v>
      </c>
      <c r="T10" s="10">
        <f t="shared" si="11"/>
        <v>60476</v>
      </c>
      <c r="U10" s="10">
        <f t="shared" si="12"/>
        <v>7257</v>
      </c>
      <c r="V10" s="10">
        <f t="shared" si="13"/>
        <v>30238</v>
      </c>
      <c r="W10" s="10">
        <v>0</v>
      </c>
      <c r="X10" s="10">
        <f t="shared" si="15"/>
        <v>30238</v>
      </c>
      <c r="Y10" s="10">
        <f t="shared" si="14"/>
        <v>60476</v>
      </c>
    </row>
    <row r="11" spans="1:25" ht="12.75" customHeight="1">
      <c r="A11" s="13" t="s">
        <v>24</v>
      </c>
      <c r="B11" s="13"/>
      <c r="C11" s="17" t="s">
        <v>25</v>
      </c>
      <c r="D11" s="17" t="s">
        <v>17</v>
      </c>
      <c r="E11" s="20">
        <v>520599.99999999994</v>
      </c>
      <c r="F11" s="11">
        <f>ROUND((E11*1.1),0)</f>
        <v>572660</v>
      </c>
      <c r="G11" s="11">
        <f t="shared" si="0"/>
        <v>36078</v>
      </c>
      <c r="H11" s="11">
        <v>30</v>
      </c>
      <c r="I11" s="11">
        <f t="shared" si="1"/>
        <v>609000</v>
      </c>
      <c r="J11" s="11">
        <f t="shared" si="2"/>
        <v>70800</v>
      </c>
      <c r="K11" s="10">
        <f t="shared" si="3"/>
        <v>51800</v>
      </c>
      <c r="L11" s="10">
        <f t="shared" si="4"/>
        <v>3200</v>
      </c>
      <c r="M11" s="10">
        <f t="shared" si="5"/>
        <v>25375</v>
      </c>
      <c r="N11" s="10">
        <v>35512</v>
      </c>
      <c r="O11" s="10">
        <f t="shared" si="6"/>
        <v>20600</v>
      </c>
      <c r="P11" s="10">
        <f t="shared" si="7"/>
        <v>27400</v>
      </c>
      <c r="Q11" s="10">
        <f t="shared" si="8"/>
        <v>6900</v>
      </c>
      <c r="R11" s="10">
        <f t="shared" si="9"/>
        <v>3400</v>
      </c>
      <c r="S11" s="10">
        <f t="shared" si="10"/>
        <v>3400</v>
      </c>
      <c r="T11" s="10">
        <f t="shared" si="11"/>
        <v>50730</v>
      </c>
      <c r="U11" s="10">
        <f t="shared" si="12"/>
        <v>6088</v>
      </c>
      <c r="V11" s="10">
        <f t="shared" si="13"/>
        <v>25365</v>
      </c>
      <c r="W11" s="10">
        <v>0</v>
      </c>
      <c r="X11" s="10">
        <f t="shared" si="15"/>
        <v>25365</v>
      </c>
      <c r="Y11" s="10">
        <f t="shared" si="14"/>
        <v>50730</v>
      </c>
    </row>
    <row r="12" spans="1:25" ht="12.75" customHeight="1">
      <c r="A12" s="14" t="s">
        <v>58</v>
      </c>
      <c r="B12" s="14">
        <v>1</v>
      </c>
      <c r="C12" s="17" t="s">
        <v>16</v>
      </c>
      <c r="D12" s="17" t="s">
        <v>17</v>
      </c>
      <c r="E12" s="87">
        <v>1246200</v>
      </c>
      <c r="F12" s="11">
        <f>ROUND((E12*1),0)</f>
        <v>1246200</v>
      </c>
      <c r="G12" s="11">
        <f>ROUND((F12*6%),0)</f>
        <v>74772</v>
      </c>
      <c r="H12" s="12">
        <v>30</v>
      </c>
      <c r="I12" s="19">
        <f t="shared" si="1"/>
        <v>1321000</v>
      </c>
      <c r="J12" s="11">
        <f t="shared" si="2"/>
        <v>153600</v>
      </c>
      <c r="K12" s="10">
        <f t="shared" si="3"/>
        <v>112300</v>
      </c>
      <c r="L12" s="10">
        <f t="shared" si="4"/>
        <v>6900</v>
      </c>
      <c r="M12" s="10">
        <f>ROUND((I12*35%/12),0)</f>
        <v>38529</v>
      </c>
      <c r="N12" s="10">
        <v>0</v>
      </c>
      <c r="O12" s="10">
        <f t="shared" si="6"/>
        <v>44600</v>
      </c>
      <c r="P12" s="10">
        <f t="shared" si="7"/>
        <v>59400</v>
      </c>
      <c r="Q12" s="10">
        <f t="shared" si="8"/>
        <v>14900</v>
      </c>
      <c r="R12" s="10">
        <f t="shared" si="9"/>
        <v>7400</v>
      </c>
      <c r="S12" s="10">
        <f t="shared" si="10"/>
        <v>7400</v>
      </c>
      <c r="T12" s="10">
        <f t="shared" si="11"/>
        <v>110039</v>
      </c>
      <c r="U12" s="10">
        <f t="shared" si="12"/>
        <v>13205</v>
      </c>
      <c r="V12" s="10">
        <f t="shared" si="13"/>
        <v>55020</v>
      </c>
      <c r="W12" s="10">
        <f>+V12</f>
        <v>55020</v>
      </c>
      <c r="X12" s="10">
        <f t="shared" si="15"/>
        <v>55020</v>
      </c>
      <c r="Y12" s="10">
        <f t="shared" si="14"/>
        <v>110039</v>
      </c>
    </row>
    <row r="13" spans="1:25" ht="12.75" customHeight="1">
      <c r="A13" s="13" t="s">
        <v>62</v>
      </c>
      <c r="B13" s="13">
        <v>1</v>
      </c>
      <c r="C13" s="17" t="s">
        <v>64</v>
      </c>
      <c r="D13" s="17" t="s">
        <v>26</v>
      </c>
      <c r="E13" s="87">
        <v>2191320</v>
      </c>
      <c r="F13" s="11">
        <f>ROUND((E13*1),0)</f>
        <v>2191320</v>
      </c>
      <c r="G13" s="11">
        <f>ROUND((F13*6.3%),0)</f>
        <v>138053</v>
      </c>
      <c r="H13" s="12">
        <v>30</v>
      </c>
      <c r="I13" s="11">
        <f t="shared" si="1"/>
        <v>2329000</v>
      </c>
      <c r="J13" s="11">
        <f t="shared" si="2"/>
        <v>270700</v>
      </c>
      <c r="K13" s="10">
        <f t="shared" si="3"/>
        <v>198000</v>
      </c>
      <c r="L13" s="10">
        <f t="shared" si="4"/>
        <v>12200</v>
      </c>
      <c r="M13" s="10">
        <f>ROUND((I13*35%/12),0)</f>
        <v>67929</v>
      </c>
      <c r="N13" s="10">
        <v>0</v>
      </c>
      <c r="O13" s="10">
        <f t="shared" si="6"/>
        <v>78600</v>
      </c>
      <c r="P13" s="10">
        <f t="shared" si="7"/>
        <v>104800</v>
      </c>
      <c r="Q13" s="10">
        <f t="shared" si="8"/>
        <v>26200</v>
      </c>
      <c r="R13" s="10">
        <f t="shared" si="9"/>
        <v>13100</v>
      </c>
      <c r="S13" s="10">
        <f t="shared" si="10"/>
        <v>13100</v>
      </c>
      <c r="T13" s="10">
        <f t="shared" si="11"/>
        <v>194006</v>
      </c>
      <c r="U13" s="10">
        <f t="shared" si="12"/>
        <v>23281</v>
      </c>
      <c r="V13" s="10">
        <f t="shared" si="13"/>
        <v>97003</v>
      </c>
      <c r="W13" s="10">
        <f>+V13</f>
        <v>97003</v>
      </c>
      <c r="X13" s="10">
        <f t="shared" si="15"/>
        <v>97003</v>
      </c>
      <c r="Y13" s="10">
        <f t="shared" si="14"/>
        <v>194006</v>
      </c>
    </row>
    <row r="14" spans="1:25" ht="12.75" customHeight="1">
      <c r="A14" s="14" t="s">
        <v>50</v>
      </c>
      <c r="B14" s="14">
        <v>1</v>
      </c>
      <c r="C14" s="18" t="s">
        <v>69</v>
      </c>
      <c r="D14" s="17" t="s">
        <v>26</v>
      </c>
      <c r="E14" s="87">
        <v>1739700</v>
      </c>
      <c r="F14" s="11">
        <f>ROUND((E14*1),0)</f>
        <v>1739700</v>
      </c>
      <c r="G14" s="11">
        <f>ROUND((F14*6%),0)</f>
        <v>104382</v>
      </c>
      <c r="H14" s="12">
        <v>30</v>
      </c>
      <c r="I14" s="11">
        <f t="shared" si="1"/>
        <v>1844000</v>
      </c>
      <c r="J14" s="11">
        <f t="shared" si="2"/>
        <v>214400</v>
      </c>
      <c r="K14" s="10">
        <f t="shared" si="3"/>
        <v>156700</v>
      </c>
      <c r="L14" s="10">
        <f t="shared" si="4"/>
        <v>9600</v>
      </c>
      <c r="M14" s="10">
        <f>ROUND((I14*35%/12),0)</f>
        <v>53783</v>
      </c>
      <c r="N14" s="10">
        <v>0</v>
      </c>
      <c r="O14" s="10">
        <f t="shared" si="6"/>
        <v>62200</v>
      </c>
      <c r="P14" s="10">
        <f t="shared" si="7"/>
        <v>83000</v>
      </c>
      <c r="Q14" s="10">
        <f t="shared" si="8"/>
        <v>20700</v>
      </c>
      <c r="R14" s="10">
        <f t="shared" si="9"/>
        <v>10400</v>
      </c>
      <c r="S14" s="10">
        <f t="shared" si="10"/>
        <v>10400</v>
      </c>
      <c r="T14" s="10">
        <f t="shared" si="11"/>
        <v>153605</v>
      </c>
      <c r="U14" s="10">
        <f t="shared" si="12"/>
        <v>18433</v>
      </c>
      <c r="V14" s="10">
        <f t="shared" si="13"/>
        <v>76803</v>
      </c>
      <c r="W14" s="10">
        <f>+V14</f>
        <v>76803</v>
      </c>
      <c r="X14" s="10">
        <f t="shared" si="15"/>
        <v>76803</v>
      </c>
      <c r="Y14" s="10">
        <f t="shared" si="14"/>
        <v>153605</v>
      </c>
    </row>
    <row r="15" spans="1:25" ht="12.75" customHeight="1">
      <c r="A15" s="15" t="s">
        <v>57</v>
      </c>
      <c r="B15" s="14">
        <v>1</v>
      </c>
      <c r="C15" s="18" t="s">
        <v>69</v>
      </c>
      <c r="D15" s="17" t="s">
        <v>26</v>
      </c>
      <c r="E15" s="87">
        <v>1739700</v>
      </c>
      <c r="F15" s="11">
        <f>ROUND((E15*1),0)</f>
        <v>1739700</v>
      </c>
      <c r="G15" s="11">
        <f>ROUND((F15*6%),0)</f>
        <v>104382</v>
      </c>
      <c r="H15" s="12">
        <v>30</v>
      </c>
      <c r="I15" s="11">
        <f t="shared" si="1"/>
        <v>1844000</v>
      </c>
      <c r="J15" s="11">
        <f t="shared" si="2"/>
        <v>214400</v>
      </c>
      <c r="K15" s="10">
        <f t="shared" si="3"/>
        <v>156700</v>
      </c>
      <c r="L15" s="10">
        <f t="shared" si="4"/>
        <v>9600</v>
      </c>
      <c r="M15" s="10">
        <f>ROUND((I15*35%/12),0)</f>
        <v>53783</v>
      </c>
      <c r="N15" s="10">
        <v>0</v>
      </c>
      <c r="O15" s="10">
        <f t="shared" si="6"/>
        <v>62200</v>
      </c>
      <c r="P15" s="10">
        <f t="shared" si="7"/>
        <v>83000</v>
      </c>
      <c r="Q15" s="10">
        <f t="shared" si="8"/>
        <v>20700</v>
      </c>
      <c r="R15" s="10">
        <f t="shared" si="9"/>
        <v>10400</v>
      </c>
      <c r="S15" s="10">
        <f t="shared" si="10"/>
        <v>10400</v>
      </c>
      <c r="T15" s="10">
        <f t="shared" si="11"/>
        <v>153605</v>
      </c>
      <c r="U15" s="10">
        <f t="shared" si="12"/>
        <v>18433</v>
      </c>
      <c r="V15" s="10">
        <f t="shared" si="13"/>
        <v>76803</v>
      </c>
      <c r="W15" s="10">
        <f>+V15</f>
        <v>76803</v>
      </c>
      <c r="X15" s="10">
        <f t="shared" si="15"/>
        <v>76803</v>
      </c>
      <c r="Y15" s="10">
        <f t="shared" si="14"/>
        <v>153605</v>
      </c>
    </row>
    <row r="16" spans="1:25" ht="12.75" customHeight="1">
      <c r="A16" s="13" t="s">
        <v>27</v>
      </c>
      <c r="B16" s="13">
        <v>1</v>
      </c>
      <c r="C16" s="17" t="s">
        <v>66</v>
      </c>
      <c r="D16" s="17" t="s">
        <v>26</v>
      </c>
      <c r="E16" s="88">
        <v>572200</v>
      </c>
      <c r="F16" s="11">
        <f>ROUND((E16*1.25),0)</f>
        <v>715250</v>
      </c>
      <c r="G16" s="11">
        <f>ROUND((F16*6.3%),0)</f>
        <v>45061</v>
      </c>
      <c r="H16" s="12">
        <v>30</v>
      </c>
      <c r="I16" s="11">
        <f t="shared" si="1"/>
        <v>760000</v>
      </c>
      <c r="J16" s="11">
        <f t="shared" si="2"/>
        <v>88400</v>
      </c>
      <c r="K16" s="10">
        <f t="shared" si="3"/>
        <v>64600</v>
      </c>
      <c r="L16" s="10">
        <f t="shared" si="4"/>
        <v>4000</v>
      </c>
      <c r="M16" s="10">
        <f>ROUND((I16*50%/12),0)</f>
        <v>31667</v>
      </c>
      <c r="N16" s="10">
        <v>35512</v>
      </c>
      <c r="O16" s="10">
        <f t="shared" si="6"/>
        <v>25600</v>
      </c>
      <c r="P16" s="10">
        <f t="shared" si="7"/>
        <v>34200</v>
      </c>
      <c r="Q16" s="10">
        <f t="shared" si="8"/>
        <v>8500</v>
      </c>
      <c r="R16" s="10">
        <f t="shared" si="9"/>
        <v>4300</v>
      </c>
      <c r="S16" s="10">
        <f t="shared" si="10"/>
        <v>4300</v>
      </c>
      <c r="T16" s="10">
        <f t="shared" si="11"/>
        <v>63308</v>
      </c>
      <c r="U16" s="10">
        <f t="shared" si="12"/>
        <v>7597</v>
      </c>
      <c r="V16" s="10">
        <f t="shared" si="13"/>
        <v>31654</v>
      </c>
      <c r="W16" s="10">
        <v>0</v>
      </c>
      <c r="X16" s="10">
        <f t="shared" si="15"/>
        <v>31654</v>
      </c>
      <c r="Y16" s="10">
        <f t="shared" si="14"/>
        <v>63308</v>
      </c>
    </row>
    <row r="17" spans="1:25" ht="12.75" customHeight="1">
      <c r="A17" s="13" t="s">
        <v>28</v>
      </c>
      <c r="B17" s="13">
        <v>1</v>
      </c>
      <c r="C17" s="17" t="s">
        <v>68</v>
      </c>
      <c r="D17" s="17" t="s">
        <v>26</v>
      </c>
      <c r="E17" s="87">
        <v>644800</v>
      </c>
      <c r="F17" s="11">
        <f>ROUND((E17*1.25),0)</f>
        <v>806000</v>
      </c>
      <c r="G17" s="11">
        <f>ROUND((F17*6.3%),0)</f>
        <v>50778</v>
      </c>
      <c r="H17" s="12">
        <v>30</v>
      </c>
      <c r="I17" s="11">
        <f t="shared" si="1"/>
        <v>857000</v>
      </c>
      <c r="J17" s="11">
        <f t="shared" si="2"/>
        <v>99600</v>
      </c>
      <c r="K17" s="10">
        <f t="shared" si="3"/>
        <v>72800</v>
      </c>
      <c r="L17" s="10">
        <f t="shared" si="4"/>
        <v>4500</v>
      </c>
      <c r="M17" s="10">
        <f>ROUND((I17*50%/12),0)</f>
        <v>35708</v>
      </c>
      <c r="N17" s="10">
        <v>35512</v>
      </c>
      <c r="O17" s="10">
        <f t="shared" si="6"/>
        <v>28900</v>
      </c>
      <c r="P17" s="10">
        <f t="shared" si="7"/>
        <v>38600</v>
      </c>
      <c r="Q17" s="10">
        <f t="shared" si="8"/>
        <v>9600</v>
      </c>
      <c r="R17" s="10">
        <f t="shared" si="9"/>
        <v>4800</v>
      </c>
      <c r="S17" s="10">
        <f t="shared" si="10"/>
        <v>4800</v>
      </c>
      <c r="T17" s="10">
        <f t="shared" si="11"/>
        <v>71388</v>
      </c>
      <c r="U17" s="10">
        <f t="shared" si="12"/>
        <v>8567</v>
      </c>
      <c r="V17" s="10">
        <f t="shared" si="13"/>
        <v>35694</v>
      </c>
      <c r="W17" s="10">
        <f>+V17</f>
        <v>35694</v>
      </c>
      <c r="X17" s="10">
        <f t="shared" si="15"/>
        <v>35694</v>
      </c>
      <c r="Y17" s="10">
        <f t="shared" si="14"/>
        <v>71388</v>
      </c>
    </row>
    <row r="18" spans="1:25" ht="12.75" customHeight="1">
      <c r="A18" s="13" t="s">
        <v>29</v>
      </c>
      <c r="B18" s="13">
        <v>1</v>
      </c>
      <c r="C18" s="17" t="s">
        <v>30</v>
      </c>
      <c r="D18" s="17" t="s">
        <v>26</v>
      </c>
      <c r="E18" s="87">
        <v>1246200</v>
      </c>
      <c r="F18" s="11">
        <f>ROUND((E18*1),0)</f>
        <v>1246200</v>
      </c>
      <c r="G18" s="11">
        <f>ROUND((F18*6.3%),0)</f>
        <v>78511</v>
      </c>
      <c r="H18" s="12">
        <v>30</v>
      </c>
      <c r="I18" s="11">
        <f t="shared" si="1"/>
        <v>1325000</v>
      </c>
      <c r="J18" s="11">
        <f t="shared" si="2"/>
        <v>154000</v>
      </c>
      <c r="K18" s="10">
        <f t="shared" si="3"/>
        <v>112600</v>
      </c>
      <c r="L18" s="10">
        <f t="shared" si="4"/>
        <v>6900</v>
      </c>
      <c r="M18" s="10">
        <f>ROUND((I18*35%/12),0)</f>
        <v>38646</v>
      </c>
      <c r="N18" s="10">
        <v>0</v>
      </c>
      <c r="O18" s="10">
        <f t="shared" si="6"/>
        <v>44700</v>
      </c>
      <c r="P18" s="10">
        <f t="shared" si="7"/>
        <v>59600</v>
      </c>
      <c r="Q18" s="10">
        <f t="shared" si="8"/>
        <v>14900</v>
      </c>
      <c r="R18" s="10">
        <f t="shared" si="9"/>
        <v>7500</v>
      </c>
      <c r="S18" s="10">
        <f t="shared" si="10"/>
        <v>7500</v>
      </c>
      <c r="T18" s="10">
        <f t="shared" si="11"/>
        <v>110373</v>
      </c>
      <c r="U18" s="10">
        <f t="shared" si="12"/>
        <v>13245</v>
      </c>
      <c r="V18" s="10">
        <f t="shared" si="13"/>
        <v>55187</v>
      </c>
      <c r="W18" s="10">
        <f>+V18</f>
        <v>55187</v>
      </c>
      <c r="X18" s="10">
        <f t="shared" si="15"/>
        <v>55187</v>
      </c>
      <c r="Y18" s="10">
        <f t="shared" si="14"/>
        <v>110373</v>
      </c>
    </row>
    <row r="19" spans="1:25" ht="12.75" customHeight="1">
      <c r="A19" s="13" t="s">
        <v>31</v>
      </c>
      <c r="B19" s="13">
        <v>1</v>
      </c>
      <c r="C19" s="18" t="s">
        <v>69</v>
      </c>
      <c r="D19" s="17" t="s">
        <v>26</v>
      </c>
      <c r="E19" s="87">
        <v>1739700</v>
      </c>
      <c r="F19" s="11">
        <f>ROUND((E19*1),0)</f>
        <v>1739700</v>
      </c>
      <c r="G19" s="11">
        <f>ROUND((F19*6%),0)</f>
        <v>104382</v>
      </c>
      <c r="H19" s="12">
        <v>30</v>
      </c>
      <c r="I19" s="11">
        <f t="shared" si="1"/>
        <v>1844000</v>
      </c>
      <c r="J19" s="11">
        <f t="shared" si="2"/>
        <v>214400</v>
      </c>
      <c r="K19" s="10">
        <f t="shared" si="3"/>
        <v>156700</v>
      </c>
      <c r="L19" s="10">
        <f t="shared" si="4"/>
        <v>9600</v>
      </c>
      <c r="M19" s="10">
        <f>ROUND((I19*35%/12),0)</f>
        <v>53783</v>
      </c>
      <c r="N19" s="10">
        <v>0</v>
      </c>
      <c r="O19" s="10">
        <f t="shared" si="6"/>
        <v>62200</v>
      </c>
      <c r="P19" s="10">
        <f t="shared" si="7"/>
        <v>83000</v>
      </c>
      <c r="Q19" s="10">
        <f t="shared" si="8"/>
        <v>20700</v>
      </c>
      <c r="R19" s="10">
        <f t="shared" si="9"/>
        <v>10400</v>
      </c>
      <c r="S19" s="10">
        <f t="shared" si="10"/>
        <v>10400</v>
      </c>
      <c r="T19" s="10">
        <f t="shared" si="11"/>
        <v>153605</v>
      </c>
      <c r="U19" s="10">
        <f t="shared" si="12"/>
        <v>18433</v>
      </c>
      <c r="V19" s="10">
        <f t="shared" si="13"/>
        <v>76803</v>
      </c>
      <c r="W19" s="10">
        <f>+V19</f>
        <v>76803</v>
      </c>
      <c r="X19" s="10">
        <f t="shared" si="15"/>
        <v>76803</v>
      </c>
      <c r="Y19" s="10">
        <f t="shared" si="14"/>
        <v>153605</v>
      </c>
    </row>
    <row r="20" spans="1:25" ht="12.75" customHeight="1">
      <c r="A20" s="13" t="s">
        <v>32</v>
      </c>
      <c r="B20" s="13">
        <v>3</v>
      </c>
      <c r="C20" s="17" t="s">
        <v>66</v>
      </c>
      <c r="D20" s="17" t="s">
        <v>26</v>
      </c>
      <c r="E20" s="11">
        <v>693500</v>
      </c>
      <c r="F20" s="11">
        <f>ROUND((E20*1.1),0)</f>
        <v>762850</v>
      </c>
      <c r="G20" s="11">
        <f aca="true" t="shared" si="16" ref="G20:G30">ROUND((F20*6.3%),0)</f>
        <v>48060</v>
      </c>
      <c r="H20" s="12">
        <v>30</v>
      </c>
      <c r="I20" s="11">
        <f t="shared" si="1"/>
        <v>811000</v>
      </c>
      <c r="J20" s="11">
        <f t="shared" si="2"/>
        <v>94300</v>
      </c>
      <c r="K20" s="10">
        <f t="shared" si="3"/>
        <v>68900</v>
      </c>
      <c r="L20" s="10">
        <f t="shared" si="4"/>
        <v>4200</v>
      </c>
      <c r="M20" s="10">
        <f aca="true" t="shared" si="17" ref="M20:M27">ROUND((I20*50%/12),0)</f>
        <v>33792</v>
      </c>
      <c r="N20" s="10">
        <v>35512</v>
      </c>
      <c r="O20" s="10">
        <f t="shared" si="6"/>
        <v>27400</v>
      </c>
      <c r="P20" s="10">
        <f t="shared" si="7"/>
        <v>36500</v>
      </c>
      <c r="Q20" s="10">
        <f t="shared" si="8"/>
        <v>9100</v>
      </c>
      <c r="R20" s="10">
        <f t="shared" si="9"/>
        <v>4600</v>
      </c>
      <c r="S20" s="10">
        <f t="shared" si="10"/>
        <v>4600</v>
      </c>
      <c r="T20" s="10">
        <f t="shared" si="11"/>
        <v>67556</v>
      </c>
      <c r="U20" s="10">
        <f t="shared" si="12"/>
        <v>8107</v>
      </c>
      <c r="V20" s="10">
        <f t="shared" si="13"/>
        <v>33778</v>
      </c>
      <c r="W20" s="10">
        <v>0</v>
      </c>
      <c r="X20" s="10">
        <f t="shared" si="15"/>
        <v>33778</v>
      </c>
      <c r="Y20" s="10">
        <f t="shared" si="14"/>
        <v>67556</v>
      </c>
    </row>
    <row r="21" spans="1:25" ht="12.75" customHeight="1">
      <c r="A21" s="13" t="s">
        <v>33</v>
      </c>
      <c r="B21" s="13">
        <v>4</v>
      </c>
      <c r="C21" s="17" t="s">
        <v>66</v>
      </c>
      <c r="D21" s="17" t="s">
        <v>26</v>
      </c>
      <c r="E21" s="11">
        <v>720700</v>
      </c>
      <c r="F21" s="11">
        <f>ROUND((E21*1.1),0)</f>
        <v>792770</v>
      </c>
      <c r="G21" s="11">
        <f t="shared" si="16"/>
        <v>49945</v>
      </c>
      <c r="H21" s="12">
        <v>30</v>
      </c>
      <c r="I21" s="11">
        <f t="shared" si="1"/>
        <v>843000</v>
      </c>
      <c r="J21" s="11">
        <f t="shared" si="2"/>
        <v>98000</v>
      </c>
      <c r="K21" s="10">
        <f t="shared" si="3"/>
        <v>71700</v>
      </c>
      <c r="L21" s="10">
        <f t="shared" si="4"/>
        <v>4400</v>
      </c>
      <c r="M21" s="10">
        <f t="shared" si="17"/>
        <v>35125</v>
      </c>
      <c r="N21" s="10">
        <v>35512</v>
      </c>
      <c r="O21" s="10">
        <f t="shared" si="6"/>
        <v>28400</v>
      </c>
      <c r="P21" s="10">
        <f t="shared" si="7"/>
        <v>37900</v>
      </c>
      <c r="Q21" s="10">
        <f t="shared" si="8"/>
        <v>9500</v>
      </c>
      <c r="R21" s="10">
        <f t="shared" si="9"/>
        <v>4700</v>
      </c>
      <c r="S21" s="10">
        <f t="shared" si="10"/>
        <v>4700</v>
      </c>
      <c r="T21" s="10">
        <f t="shared" si="11"/>
        <v>70222</v>
      </c>
      <c r="U21" s="10">
        <f t="shared" si="12"/>
        <v>8427</v>
      </c>
      <c r="V21" s="10">
        <f t="shared" si="13"/>
        <v>35111</v>
      </c>
      <c r="W21" s="10">
        <v>0</v>
      </c>
      <c r="X21" s="10">
        <f t="shared" si="15"/>
        <v>35111</v>
      </c>
      <c r="Y21" s="10">
        <f t="shared" si="14"/>
        <v>70222</v>
      </c>
    </row>
    <row r="22" spans="1:25" ht="12.75" customHeight="1">
      <c r="A22" s="13" t="s">
        <v>34</v>
      </c>
      <c r="B22" s="13">
        <v>1</v>
      </c>
      <c r="C22" s="17" t="s">
        <v>66</v>
      </c>
      <c r="D22" s="17" t="s">
        <v>26</v>
      </c>
      <c r="E22" s="20">
        <v>572200</v>
      </c>
      <c r="F22" s="11">
        <f>ROUND((E22*1.25),0)</f>
        <v>715250</v>
      </c>
      <c r="G22" s="11">
        <f t="shared" si="16"/>
        <v>45061</v>
      </c>
      <c r="H22" s="12">
        <v>30</v>
      </c>
      <c r="I22" s="11">
        <f t="shared" si="1"/>
        <v>760000</v>
      </c>
      <c r="J22" s="11">
        <f t="shared" si="2"/>
        <v>88400</v>
      </c>
      <c r="K22" s="10">
        <f t="shared" si="3"/>
        <v>64600</v>
      </c>
      <c r="L22" s="10">
        <f t="shared" si="4"/>
        <v>4000</v>
      </c>
      <c r="M22" s="10">
        <f t="shared" si="17"/>
        <v>31667</v>
      </c>
      <c r="N22" s="10">
        <v>35512</v>
      </c>
      <c r="O22" s="10">
        <f t="shared" si="6"/>
        <v>25600</v>
      </c>
      <c r="P22" s="10">
        <f t="shared" si="7"/>
        <v>34200</v>
      </c>
      <c r="Q22" s="10">
        <f t="shared" si="8"/>
        <v>8500</v>
      </c>
      <c r="R22" s="10">
        <f t="shared" si="9"/>
        <v>4300</v>
      </c>
      <c r="S22" s="10">
        <f t="shared" si="10"/>
        <v>4300</v>
      </c>
      <c r="T22" s="10">
        <f t="shared" si="11"/>
        <v>63308</v>
      </c>
      <c r="U22" s="10">
        <f t="shared" si="12"/>
        <v>7597</v>
      </c>
      <c r="V22" s="10">
        <f t="shared" si="13"/>
        <v>31654</v>
      </c>
      <c r="W22" s="10">
        <v>0</v>
      </c>
      <c r="X22" s="10">
        <f t="shared" si="15"/>
        <v>31654</v>
      </c>
      <c r="Y22" s="10">
        <f t="shared" si="14"/>
        <v>63308</v>
      </c>
    </row>
    <row r="23" spans="1:25" ht="12.75" customHeight="1">
      <c r="A23" s="16" t="s">
        <v>35</v>
      </c>
      <c r="B23" s="16">
        <v>1</v>
      </c>
      <c r="C23" s="17" t="s">
        <v>66</v>
      </c>
      <c r="D23" s="17" t="s">
        <v>26</v>
      </c>
      <c r="E23" s="20">
        <v>572200</v>
      </c>
      <c r="F23" s="11">
        <f>ROUND((E23*1.25),0)</f>
        <v>715250</v>
      </c>
      <c r="G23" s="11">
        <f t="shared" si="16"/>
        <v>45061</v>
      </c>
      <c r="H23" s="12">
        <v>30</v>
      </c>
      <c r="I23" s="11">
        <f t="shared" si="1"/>
        <v>760000</v>
      </c>
      <c r="J23" s="11">
        <f t="shared" si="2"/>
        <v>88400</v>
      </c>
      <c r="K23" s="10">
        <f t="shared" si="3"/>
        <v>64600</v>
      </c>
      <c r="L23" s="10">
        <f t="shared" si="4"/>
        <v>4000</v>
      </c>
      <c r="M23" s="10">
        <f t="shared" si="17"/>
        <v>31667</v>
      </c>
      <c r="N23" s="10">
        <v>35512</v>
      </c>
      <c r="O23" s="10">
        <f t="shared" si="6"/>
        <v>25600</v>
      </c>
      <c r="P23" s="10">
        <f t="shared" si="7"/>
        <v>34200</v>
      </c>
      <c r="Q23" s="10">
        <f t="shared" si="8"/>
        <v>8500</v>
      </c>
      <c r="R23" s="10">
        <f t="shared" si="9"/>
        <v>4300</v>
      </c>
      <c r="S23" s="10">
        <f t="shared" si="10"/>
        <v>4300</v>
      </c>
      <c r="T23" s="10">
        <f t="shared" si="11"/>
        <v>63308</v>
      </c>
      <c r="U23" s="10">
        <f t="shared" si="12"/>
        <v>7597</v>
      </c>
      <c r="V23" s="10">
        <f t="shared" si="13"/>
        <v>31654</v>
      </c>
      <c r="W23" s="10">
        <v>0</v>
      </c>
      <c r="X23" s="10">
        <f t="shared" si="15"/>
        <v>31654</v>
      </c>
      <c r="Y23" s="10">
        <f t="shared" si="14"/>
        <v>63308</v>
      </c>
    </row>
    <row r="24" spans="1:25" ht="12.75" customHeight="1">
      <c r="A24" s="13" t="s">
        <v>36</v>
      </c>
      <c r="B24" s="13">
        <v>1</v>
      </c>
      <c r="C24" s="17" t="s">
        <v>66</v>
      </c>
      <c r="D24" s="17" t="s">
        <v>26</v>
      </c>
      <c r="E24" s="20">
        <v>572200</v>
      </c>
      <c r="F24" s="11">
        <f>ROUND((E24*1.25),0)</f>
        <v>715250</v>
      </c>
      <c r="G24" s="11">
        <f t="shared" si="16"/>
        <v>45061</v>
      </c>
      <c r="H24" s="12">
        <v>30</v>
      </c>
      <c r="I24" s="11">
        <f t="shared" si="1"/>
        <v>760000</v>
      </c>
      <c r="J24" s="11">
        <f t="shared" si="2"/>
        <v>88400</v>
      </c>
      <c r="K24" s="10">
        <f t="shared" si="3"/>
        <v>64600</v>
      </c>
      <c r="L24" s="10">
        <f t="shared" si="4"/>
        <v>4000</v>
      </c>
      <c r="M24" s="10">
        <f t="shared" si="17"/>
        <v>31667</v>
      </c>
      <c r="N24" s="10">
        <v>35512</v>
      </c>
      <c r="O24" s="10">
        <f t="shared" si="6"/>
        <v>25600</v>
      </c>
      <c r="P24" s="10">
        <f t="shared" si="7"/>
        <v>34200</v>
      </c>
      <c r="Q24" s="10">
        <f t="shared" si="8"/>
        <v>8500</v>
      </c>
      <c r="R24" s="10">
        <f t="shared" si="9"/>
        <v>4300</v>
      </c>
      <c r="S24" s="10">
        <f t="shared" si="10"/>
        <v>4300</v>
      </c>
      <c r="T24" s="10">
        <f t="shared" si="11"/>
        <v>63308</v>
      </c>
      <c r="U24" s="10">
        <f t="shared" si="12"/>
        <v>7597</v>
      </c>
      <c r="V24" s="10">
        <f t="shared" si="13"/>
        <v>31654</v>
      </c>
      <c r="W24" s="10">
        <v>0</v>
      </c>
      <c r="X24" s="10">
        <f t="shared" si="15"/>
        <v>31654</v>
      </c>
      <c r="Y24" s="10">
        <f t="shared" si="14"/>
        <v>63308</v>
      </c>
    </row>
    <row r="25" spans="1:25" ht="12.75" customHeight="1">
      <c r="A25" s="14" t="s">
        <v>37</v>
      </c>
      <c r="B25" s="14">
        <v>1</v>
      </c>
      <c r="C25" s="17" t="s">
        <v>66</v>
      </c>
      <c r="D25" s="17" t="s">
        <v>26</v>
      </c>
      <c r="E25" s="20">
        <v>572200</v>
      </c>
      <c r="F25" s="11">
        <f>ROUND((E25*1.25),0)</f>
        <v>715250</v>
      </c>
      <c r="G25" s="11">
        <f t="shared" si="16"/>
        <v>45061</v>
      </c>
      <c r="H25" s="12">
        <v>30</v>
      </c>
      <c r="I25" s="11">
        <f t="shared" si="1"/>
        <v>760000</v>
      </c>
      <c r="J25" s="11">
        <f t="shared" si="2"/>
        <v>88400</v>
      </c>
      <c r="K25" s="10">
        <f t="shared" si="3"/>
        <v>64600</v>
      </c>
      <c r="L25" s="10">
        <f t="shared" si="4"/>
        <v>4000</v>
      </c>
      <c r="M25" s="10">
        <f t="shared" si="17"/>
        <v>31667</v>
      </c>
      <c r="N25" s="10">
        <v>35512</v>
      </c>
      <c r="O25" s="10">
        <f t="shared" si="6"/>
        <v>25600</v>
      </c>
      <c r="P25" s="10">
        <f t="shared" si="7"/>
        <v>34200</v>
      </c>
      <c r="Q25" s="10">
        <f t="shared" si="8"/>
        <v>8500</v>
      </c>
      <c r="R25" s="10">
        <f t="shared" si="9"/>
        <v>4300</v>
      </c>
      <c r="S25" s="10">
        <f t="shared" si="10"/>
        <v>4300</v>
      </c>
      <c r="T25" s="10">
        <f t="shared" si="11"/>
        <v>63308</v>
      </c>
      <c r="U25" s="10">
        <f t="shared" si="12"/>
        <v>7597</v>
      </c>
      <c r="V25" s="10">
        <f t="shared" si="13"/>
        <v>31654</v>
      </c>
      <c r="W25" s="10">
        <v>0</v>
      </c>
      <c r="X25" s="10">
        <f t="shared" si="15"/>
        <v>31654</v>
      </c>
      <c r="Y25" s="10">
        <f t="shared" si="14"/>
        <v>63308</v>
      </c>
    </row>
    <row r="26" spans="1:25" ht="12.75" customHeight="1">
      <c r="A26" s="13" t="s">
        <v>38</v>
      </c>
      <c r="B26" s="13"/>
      <c r="C26" s="17" t="s">
        <v>22</v>
      </c>
      <c r="D26" s="17" t="s">
        <v>26</v>
      </c>
      <c r="E26" s="20">
        <v>698000</v>
      </c>
      <c r="F26" s="11">
        <f>ROUND((E26*1.1),0)</f>
        <v>767800</v>
      </c>
      <c r="G26" s="11">
        <f t="shared" si="16"/>
        <v>48371</v>
      </c>
      <c r="H26" s="12">
        <v>30</v>
      </c>
      <c r="I26" s="11">
        <f t="shared" si="1"/>
        <v>816000</v>
      </c>
      <c r="J26" s="11">
        <f t="shared" si="2"/>
        <v>94900</v>
      </c>
      <c r="K26" s="10">
        <f t="shared" si="3"/>
        <v>69400</v>
      </c>
      <c r="L26" s="10">
        <f t="shared" si="4"/>
        <v>4300</v>
      </c>
      <c r="M26" s="10">
        <f t="shared" si="17"/>
        <v>34000</v>
      </c>
      <c r="N26" s="10">
        <v>35512</v>
      </c>
      <c r="O26" s="10">
        <f t="shared" si="6"/>
        <v>27500</v>
      </c>
      <c r="P26" s="10">
        <f t="shared" si="7"/>
        <v>36700</v>
      </c>
      <c r="Q26" s="10">
        <f t="shared" si="8"/>
        <v>9200</v>
      </c>
      <c r="R26" s="10">
        <f t="shared" si="9"/>
        <v>4600</v>
      </c>
      <c r="S26" s="10">
        <f t="shared" si="10"/>
        <v>4600</v>
      </c>
      <c r="T26" s="10">
        <f t="shared" si="11"/>
        <v>67973</v>
      </c>
      <c r="U26" s="10">
        <f t="shared" si="12"/>
        <v>8157</v>
      </c>
      <c r="V26" s="10">
        <f t="shared" si="13"/>
        <v>33987</v>
      </c>
      <c r="W26" s="10">
        <v>0</v>
      </c>
      <c r="X26" s="10">
        <f t="shared" si="15"/>
        <v>33987</v>
      </c>
      <c r="Y26" s="10">
        <f t="shared" si="14"/>
        <v>67973</v>
      </c>
    </row>
    <row r="27" spans="1:25" ht="12.75" customHeight="1">
      <c r="A27" s="13" t="s">
        <v>39</v>
      </c>
      <c r="B27" s="13"/>
      <c r="C27" s="17" t="s">
        <v>22</v>
      </c>
      <c r="D27" s="17" t="s">
        <v>26</v>
      </c>
      <c r="E27" s="20">
        <v>698000</v>
      </c>
      <c r="F27" s="11">
        <f>ROUND((E27*1.1),0)</f>
        <v>767800</v>
      </c>
      <c r="G27" s="11">
        <f t="shared" si="16"/>
        <v>48371</v>
      </c>
      <c r="H27" s="12">
        <v>30</v>
      </c>
      <c r="I27" s="11">
        <f t="shared" si="1"/>
        <v>816000</v>
      </c>
      <c r="J27" s="11">
        <f t="shared" si="2"/>
        <v>94900</v>
      </c>
      <c r="K27" s="10">
        <f t="shared" si="3"/>
        <v>69400</v>
      </c>
      <c r="L27" s="10">
        <f t="shared" si="4"/>
        <v>4300</v>
      </c>
      <c r="M27" s="10">
        <f t="shared" si="17"/>
        <v>34000</v>
      </c>
      <c r="N27" s="10">
        <v>35512</v>
      </c>
      <c r="O27" s="10">
        <f t="shared" si="6"/>
        <v>27500</v>
      </c>
      <c r="P27" s="10">
        <f t="shared" si="7"/>
        <v>36700</v>
      </c>
      <c r="Q27" s="10">
        <f t="shared" si="8"/>
        <v>9200</v>
      </c>
      <c r="R27" s="10">
        <f t="shared" si="9"/>
        <v>4600</v>
      </c>
      <c r="S27" s="10">
        <f t="shared" si="10"/>
        <v>4600</v>
      </c>
      <c r="T27" s="10">
        <f t="shared" si="11"/>
        <v>67973</v>
      </c>
      <c r="U27" s="10">
        <f t="shared" si="12"/>
        <v>8157</v>
      </c>
      <c r="V27" s="10">
        <f t="shared" si="13"/>
        <v>33987</v>
      </c>
      <c r="W27" s="10">
        <v>0</v>
      </c>
      <c r="X27" s="10">
        <f t="shared" si="15"/>
        <v>33987</v>
      </c>
      <c r="Y27" s="10">
        <f t="shared" si="14"/>
        <v>67973</v>
      </c>
    </row>
    <row r="28" spans="1:25" ht="12.75" customHeight="1">
      <c r="A28" s="13" t="s">
        <v>40</v>
      </c>
      <c r="B28" s="13">
        <v>1</v>
      </c>
      <c r="C28" s="17" t="s">
        <v>70</v>
      </c>
      <c r="D28" s="17" t="s">
        <v>26</v>
      </c>
      <c r="E28" s="87">
        <v>939300</v>
      </c>
      <c r="F28" s="11">
        <f>ROUND((E28*1.07),0)</f>
        <v>1005051</v>
      </c>
      <c r="G28" s="11">
        <f t="shared" si="16"/>
        <v>63318</v>
      </c>
      <c r="H28" s="12">
        <v>30</v>
      </c>
      <c r="I28" s="11">
        <f t="shared" si="1"/>
        <v>1068000</v>
      </c>
      <c r="J28" s="11">
        <f t="shared" si="2"/>
        <v>124200</v>
      </c>
      <c r="K28" s="10">
        <f t="shared" si="3"/>
        <v>90800</v>
      </c>
      <c r="L28" s="10">
        <f t="shared" si="4"/>
        <v>5600</v>
      </c>
      <c r="M28" s="10">
        <f>ROUND((I28*35%/12),0)</f>
        <v>31150</v>
      </c>
      <c r="N28" s="10">
        <v>0</v>
      </c>
      <c r="O28" s="10">
        <f t="shared" si="6"/>
        <v>36000</v>
      </c>
      <c r="P28" s="10">
        <f t="shared" si="7"/>
        <v>48100</v>
      </c>
      <c r="Q28" s="10">
        <f t="shared" si="8"/>
        <v>12000</v>
      </c>
      <c r="R28" s="10">
        <f t="shared" si="9"/>
        <v>6000</v>
      </c>
      <c r="S28" s="10">
        <f t="shared" si="10"/>
        <v>6000</v>
      </c>
      <c r="T28" s="10">
        <f t="shared" si="11"/>
        <v>88964</v>
      </c>
      <c r="U28" s="10">
        <f t="shared" si="12"/>
        <v>10676</v>
      </c>
      <c r="V28" s="10">
        <f t="shared" si="13"/>
        <v>44482</v>
      </c>
      <c r="W28" s="10">
        <v>0</v>
      </c>
      <c r="X28" s="10">
        <f t="shared" si="15"/>
        <v>44482</v>
      </c>
      <c r="Y28" s="10">
        <f t="shared" si="14"/>
        <v>88964</v>
      </c>
    </row>
    <row r="29" spans="1:25" ht="12.75" customHeight="1">
      <c r="A29" s="13" t="s">
        <v>41</v>
      </c>
      <c r="B29" s="13">
        <v>2</v>
      </c>
      <c r="C29" s="17" t="s">
        <v>66</v>
      </c>
      <c r="D29" s="17" t="s">
        <v>26</v>
      </c>
      <c r="E29" s="11">
        <v>644800</v>
      </c>
      <c r="F29" s="11">
        <f>ROUND((E29*1.15),0)</f>
        <v>741520</v>
      </c>
      <c r="G29" s="11">
        <f t="shared" si="16"/>
        <v>46716</v>
      </c>
      <c r="H29" s="12">
        <v>30</v>
      </c>
      <c r="I29" s="11">
        <f t="shared" si="1"/>
        <v>788000</v>
      </c>
      <c r="J29" s="11">
        <f t="shared" si="2"/>
        <v>91600</v>
      </c>
      <c r="K29" s="10">
        <f t="shared" si="3"/>
        <v>67000</v>
      </c>
      <c r="L29" s="10">
        <f t="shared" si="4"/>
        <v>4100</v>
      </c>
      <c r="M29" s="10">
        <f>ROUND((I29*50%/12),0)</f>
        <v>32833</v>
      </c>
      <c r="N29" s="10">
        <v>35512</v>
      </c>
      <c r="O29" s="10">
        <f t="shared" si="6"/>
        <v>26600</v>
      </c>
      <c r="P29" s="10">
        <f t="shared" si="7"/>
        <v>35500</v>
      </c>
      <c r="Q29" s="10">
        <f t="shared" si="8"/>
        <v>8900</v>
      </c>
      <c r="R29" s="10">
        <f t="shared" si="9"/>
        <v>4400</v>
      </c>
      <c r="S29" s="10">
        <f t="shared" si="10"/>
        <v>4400</v>
      </c>
      <c r="T29" s="10">
        <f t="shared" si="11"/>
        <v>65640</v>
      </c>
      <c r="U29" s="10">
        <f t="shared" si="12"/>
        <v>7877</v>
      </c>
      <c r="V29" s="10">
        <f t="shared" si="13"/>
        <v>32820</v>
      </c>
      <c r="W29" s="10">
        <v>0</v>
      </c>
      <c r="X29" s="10">
        <f t="shared" si="15"/>
        <v>32820</v>
      </c>
      <c r="Y29" s="10">
        <f t="shared" si="14"/>
        <v>65640</v>
      </c>
    </row>
    <row r="30" spans="1:25" ht="12.75" customHeight="1">
      <c r="A30" s="13" t="s">
        <v>42</v>
      </c>
      <c r="B30" s="13">
        <v>1</v>
      </c>
      <c r="C30" s="17" t="s">
        <v>48</v>
      </c>
      <c r="D30" s="17" t="s">
        <v>26</v>
      </c>
      <c r="E30" s="20">
        <v>564300</v>
      </c>
      <c r="F30" s="11">
        <f>ROUND((E30*1.25),0)</f>
        <v>705375</v>
      </c>
      <c r="G30" s="11">
        <f t="shared" si="16"/>
        <v>44439</v>
      </c>
      <c r="H30" s="12">
        <v>30</v>
      </c>
      <c r="I30" s="11">
        <f t="shared" si="1"/>
        <v>750000</v>
      </c>
      <c r="J30" s="11">
        <f t="shared" si="2"/>
        <v>87200</v>
      </c>
      <c r="K30" s="10">
        <f t="shared" si="3"/>
        <v>63800</v>
      </c>
      <c r="L30" s="10">
        <f t="shared" si="4"/>
        <v>3900</v>
      </c>
      <c r="M30" s="10">
        <f>ROUND((I30*50%/12),0)</f>
        <v>31250</v>
      </c>
      <c r="N30" s="10">
        <v>35512</v>
      </c>
      <c r="O30" s="10">
        <f t="shared" si="6"/>
        <v>25300</v>
      </c>
      <c r="P30" s="10">
        <f t="shared" si="7"/>
        <v>33700</v>
      </c>
      <c r="Q30" s="10">
        <f t="shared" si="8"/>
        <v>8400</v>
      </c>
      <c r="R30" s="10">
        <f t="shared" si="9"/>
        <v>4200</v>
      </c>
      <c r="S30" s="10">
        <f t="shared" si="10"/>
        <v>4200</v>
      </c>
      <c r="T30" s="10">
        <f t="shared" si="11"/>
        <v>62475</v>
      </c>
      <c r="U30" s="10">
        <f t="shared" si="12"/>
        <v>7497</v>
      </c>
      <c r="V30" s="10">
        <f t="shared" si="13"/>
        <v>31238</v>
      </c>
      <c r="W30" s="10">
        <v>0</v>
      </c>
      <c r="X30" s="10">
        <f t="shared" si="15"/>
        <v>31238</v>
      </c>
      <c r="Y30" s="10">
        <f t="shared" si="14"/>
        <v>62475</v>
      </c>
    </row>
    <row r="31" spans="1:25" ht="12.75" customHeight="1">
      <c r="A31" s="13" t="s">
        <v>43</v>
      </c>
      <c r="B31" s="13">
        <v>1</v>
      </c>
      <c r="C31" s="17" t="s">
        <v>16</v>
      </c>
      <c r="D31" s="17" t="s">
        <v>26</v>
      </c>
      <c r="E31" s="87">
        <v>1246200</v>
      </c>
      <c r="F31" s="11">
        <f>ROUND((E31*1),0)</f>
        <v>1246200</v>
      </c>
      <c r="G31" s="11">
        <f>ROUND((F31*6%),0)</f>
        <v>74772</v>
      </c>
      <c r="H31" s="12">
        <v>30</v>
      </c>
      <c r="I31" s="11">
        <f t="shared" si="1"/>
        <v>1321000</v>
      </c>
      <c r="J31" s="11">
        <f t="shared" si="2"/>
        <v>153600</v>
      </c>
      <c r="K31" s="10">
        <f t="shared" si="3"/>
        <v>112300</v>
      </c>
      <c r="L31" s="10">
        <f t="shared" si="4"/>
        <v>6900</v>
      </c>
      <c r="M31" s="10">
        <f>ROUND((I31*35%/12),0)</f>
        <v>38529</v>
      </c>
      <c r="N31" s="10">
        <v>0</v>
      </c>
      <c r="O31" s="10">
        <f t="shared" si="6"/>
        <v>44600</v>
      </c>
      <c r="P31" s="10">
        <f t="shared" si="7"/>
        <v>59400</v>
      </c>
      <c r="Q31" s="10">
        <f t="shared" si="8"/>
        <v>14900</v>
      </c>
      <c r="R31" s="10">
        <f t="shared" si="9"/>
        <v>7400</v>
      </c>
      <c r="S31" s="10">
        <f t="shared" si="10"/>
        <v>7400</v>
      </c>
      <c r="T31" s="10">
        <f t="shared" si="11"/>
        <v>110039</v>
      </c>
      <c r="U31" s="10">
        <f t="shared" si="12"/>
        <v>13205</v>
      </c>
      <c r="V31" s="10">
        <f t="shared" si="13"/>
        <v>55020</v>
      </c>
      <c r="W31" s="10">
        <f>+V31</f>
        <v>55020</v>
      </c>
      <c r="X31" s="10">
        <f t="shared" si="15"/>
        <v>55020</v>
      </c>
      <c r="Y31" s="10">
        <f t="shared" si="14"/>
        <v>110039</v>
      </c>
    </row>
    <row r="32" spans="1:25" ht="12.75" customHeight="1">
      <c r="A32" s="14" t="s">
        <v>44</v>
      </c>
      <c r="B32" s="14">
        <v>1</v>
      </c>
      <c r="C32" s="17" t="s">
        <v>67</v>
      </c>
      <c r="D32" s="17" t="s">
        <v>26</v>
      </c>
      <c r="E32" s="20">
        <v>471400</v>
      </c>
      <c r="F32" s="11">
        <f>ROUND((E32*1.25),0)</f>
        <v>589250</v>
      </c>
      <c r="G32" s="11">
        <f>ROUND((F32*6.3%),0)</f>
        <v>37123</v>
      </c>
      <c r="H32" s="12">
        <v>30</v>
      </c>
      <c r="I32" s="11">
        <f t="shared" si="1"/>
        <v>626000</v>
      </c>
      <c r="J32" s="11">
        <f t="shared" si="2"/>
        <v>72800</v>
      </c>
      <c r="K32" s="10">
        <f t="shared" si="3"/>
        <v>53200</v>
      </c>
      <c r="L32" s="10">
        <f t="shared" si="4"/>
        <v>3300</v>
      </c>
      <c r="M32" s="10">
        <f>ROUND((I32*50%/12),0)</f>
        <v>26083</v>
      </c>
      <c r="N32" s="10">
        <v>35512</v>
      </c>
      <c r="O32" s="10">
        <f t="shared" si="6"/>
        <v>21100</v>
      </c>
      <c r="P32" s="10">
        <f t="shared" si="7"/>
        <v>28200</v>
      </c>
      <c r="Q32" s="10">
        <f t="shared" si="8"/>
        <v>7000</v>
      </c>
      <c r="R32" s="10">
        <f t="shared" si="9"/>
        <v>3500</v>
      </c>
      <c r="S32" s="10">
        <f t="shared" si="10"/>
        <v>3500</v>
      </c>
      <c r="T32" s="10">
        <f t="shared" si="11"/>
        <v>52146</v>
      </c>
      <c r="U32" s="10">
        <f t="shared" si="12"/>
        <v>6258</v>
      </c>
      <c r="V32" s="10">
        <f t="shared" si="13"/>
        <v>26073</v>
      </c>
      <c r="W32" s="10">
        <v>0</v>
      </c>
      <c r="X32" s="10">
        <f t="shared" si="15"/>
        <v>26073</v>
      </c>
      <c r="Y32" s="10">
        <f t="shared" si="14"/>
        <v>52146</v>
      </c>
    </row>
    <row r="33" spans="1:25" ht="12.75" customHeight="1">
      <c r="A33" s="14" t="s">
        <v>45</v>
      </c>
      <c r="B33" s="14">
        <v>1</v>
      </c>
      <c r="C33" s="17" t="s">
        <v>66</v>
      </c>
      <c r="D33" s="17" t="s">
        <v>26</v>
      </c>
      <c r="E33" s="20">
        <v>572200</v>
      </c>
      <c r="F33" s="11">
        <f>ROUND((E33*1.25),0)</f>
        <v>715250</v>
      </c>
      <c r="G33" s="11">
        <f>ROUND((F33*6.3%),0)</f>
        <v>45061</v>
      </c>
      <c r="H33" s="12">
        <v>30</v>
      </c>
      <c r="I33" s="11">
        <f t="shared" si="1"/>
        <v>760000</v>
      </c>
      <c r="J33" s="11">
        <f t="shared" si="2"/>
        <v>88400</v>
      </c>
      <c r="K33" s="10">
        <f t="shared" si="3"/>
        <v>64600</v>
      </c>
      <c r="L33" s="10">
        <f t="shared" si="4"/>
        <v>4000</v>
      </c>
      <c r="M33" s="10">
        <f>ROUND((I33*50%/12),0)</f>
        <v>31667</v>
      </c>
      <c r="N33" s="10">
        <v>35512</v>
      </c>
      <c r="O33" s="10">
        <f t="shared" si="6"/>
        <v>25600</v>
      </c>
      <c r="P33" s="10">
        <f t="shared" si="7"/>
        <v>34200</v>
      </c>
      <c r="Q33" s="10">
        <f t="shared" si="8"/>
        <v>8500</v>
      </c>
      <c r="R33" s="10">
        <f t="shared" si="9"/>
        <v>4300</v>
      </c>
      <c r="S33" s="10">
        <f t="shared" si="10"/>
        <v>4300</v>
      </c>
      <c r="T33" s="10">
        <f t="shared" si="11"/>
        <v>63308</v>
      </c>
      <c r="U33" s="10">
        <f t="shared" si="12"/>
        <v>7597</v>
      </c>
      <c r="V33" s="10">
        <f t="shared" si="13"/>
        <v>31654</v>
      </c>
      <c r="W33" s="10">
        <v>0</v>
      </c>
      <c r="X33" s="10">
        <f t="shared" si="15"/>
        <v>31654</v>
      </c>
      <c r="Y33" s="10">
        <f t="shared" si="14"/>
        <v>63308</v>
      </c>
    </row>
    <row r="34" spans="1:25" ht="12.75" customHeight="1">
      <c r="A34" s="14" t="s">
        <v>46</v>
      </c>
      <c r="B34" s="14">
        <v>1</v>
      </c>
      <c r="C34" s="17" t="s">
        <v>67</v>
      </c>
      <c r="D34" s="17" t="s">
        <v>26</v>
      </c>
      <c r="E34" s="20">
        <v>471400</v>
      </c>
      <c r="F34" s="11">
        <f>ROUND((E34*1.25),0)</f>
        <v>589250</v>
      </c>
      <c r="G34" s="11">
        <f>ROUND((F34*6.3%),0)</f>
        <v>37123</v>
      </c>
      <c r="H34" s="12">
        <v>30</v>
      </c>
      <c r="I34" s="11">
        <f t="shared" si="1"/>
        <v>626000</v>
      </c>
      <c r="J34" s="11">
        <f t="shared" si="2"/>
        <v>72800</v>
      </c>
      <c r="K34" s="10">
        <f t="shared" si="3"/>
        <v>53200</v>
      </c>
      <c r="L34" s="10">
        <f t="shared" si="4"/>
        <v>3300</v>
      </c>
      <c r="M34" s="10">
        <f>ROUND((I34*50%/12),0)</f>
        <v>26083</v>
      </c>
      <c r="N34" s="10">
        <v>35512</v>
      </c>
      <c r="O34" s="10">
        <f t="shared" si="6"/>
        <v>21100</v>
      </c>
      <c r="P34" s="10">
        <f t="shared" si="7"/>
        <v>28200</v>
      </c>
      <c r="Q34" s="10">
        <f t="shared" si="8"/>
        <v>7000</v>
      </c>
      <c r="R34" s="10">
        <f t="shared" si="9"/>
        <v>3500</v>
      </c>
      <c r="S34" s="10">
        <f t="shared" si="10"/>
        <v>3500</v>
      </c>
      <c r="T34" s="10">
        <f t="shared" si="11"/>
        <v>52146</v>
      </c>
      <c r="U34" s="10">
        <f t="shared" si="12"/>
        <v>6258</v>
      </c>
      <c r="V34" s="10">
        <f t="shared" si="13"/>
        <v>26073</v>
      </c>
      <c r="W34" s="10">
        <v>0</v>
      </c>
      <c r="X34" s="10">
        <f t="shared" si="15"/>
        <v>26073</v>
      </c>
      <c r="Y34" s="10">
        <f t="shared" si="14"/>
        <v>52146</v>
      </c>
    </row>
    <row r="35" spans="1:25" ht="12.75" customHeight="1">
      <c r="A35" s="14" t="s">
        <v>60</v>
      </c>
      <c r="B35" s="14">
        <v>1</v>
      </c>
      <c r="C35" s="17" t="s">
        <v>16</v>
      </c>
      <c r="D35" s="17" t="s">
        <v>26</v>
      </c>
      <c r="E35" s="87">
        <v>1246200</v>
      </c>
      <c r="F35" s="11">
        <f>ROUND((E35*1),0)</f>
        <v>1246200</v>
      </c>
      <c r="G35" s="11">
        <f>ROUND((F35*6%),0)</f>
        <v>74772</v>
      </c>
      <c r="H35" s="12">
        <v>30</v>
      </c>
      <c r="I35" s="11">
        <f t="shared" si="1"/>
        <v>1321000</v>
      </c>
      <c r="J35" s="11">
        <f t="shared" si="2"/>
        <v>153600</v>
      </c>
      <c r="K35" s="10">
        <f t="shared" si="3"/>
        <v>112300</v>
      </c>
      <c r="L35" s="10">
        <f t="shared" si="4"/>
        <v>6900</v>
      </c>
      <c r="M35" s="10">
        <f>ROUND((I35*35%/12),0)</f>
        <v>38529</v>
      </c>
      <c r="N35" s="10">
        <v>0</v>
      </c>
      <c r="O35" s="10">
        <f t="shared" si="6"/>
        <v>44600</v>
      </c>
      <c r="P35" s="10">
        <f t="shared" si="7"/>
        <v>59400</v>
      </c>
      <c r="Q35" s="10">
        <f t="shared" si="8"/>
        <v>14900</v>
      </c>
      <c r="R35" s="10">
        <f t="shared" si="9"/>
        <v>7400</v>
      </c>
      <c r="S35" s="10">
        <f t="shared" si="10"/>
        <v>7400</v>
      </c>
      <c r="T35" s="10">
        <f t="shared" si="11"/>
        <v>110039</v>
      </c>
      <c r="U35" s="10">
        <f t="shared" si="12"/>
        <v>13205</v>
      </c>
      <c r="V35" s="10">
        <f t="shared" si="13"/>
        <v>55020</v>
      </c>
      <c r="W35" s="10">
        <f>+V35</f>
        <v>55020</v>
      </c>
      <c r="X35" s="10">
        <f t="shared" si="15"/>
        <v>55020</v>
      </c>
      <c r="Y35" s="10">
        <f t="shared" si="14"/>
        <v>110039</v>
      </c>
    </row>
    <row r="36" spans="1:25" ht="12.75" customHeight="1">
      <c r="A36" s="14" t="s">
        <v>71</v>
      </c>
      <c r="B36" s="14">
        <v>1</v>
      </c>
      <c r="C36" s="18" t="s">
        <v>69</v>
      </c>
      <c r="D36" s="17" t="s">
        <v>26</v>
      </c>
      <c r="E36" s="87">
        <v>1739700</v>
      </c>
      <c r="F36" s="11">
        <f>ROUND((E36*1),0)</f>
        <v>1739700</v>
      </c>
      <c r="G36" s="11">
        <f>ROUND((F36*6%),0)</f>
        <v>104382</v>
      </c>
      <c r="H36" s="12">
        <v>30</v>
      </c>
      <c r="I36" s="11">
        <f t="shared" si="1"/>
        <v>1844000</v>
      </c>
      <c r="J36" s="11">
        <f t="shared" si="2"/>
        <v>214400</v>
      </c>
      <c r="K36" s="10">
        <f t="shared" si="3"/>
        <v>156700</v>
      </c>
      <c r="L36" s="10">
        <f t="shared" si="4"/>
        <v>9600</v>
      </c>
      <c r="M36" s="10">
        <f>ROUND((I36*35%/12),0)</f>
        <v>53783</v>
      </c>
      <c r="N36" s="10">
        <v>0</v>
      </c>
      <c r="O36" s="10">
        <f t="shared" si="6"/>
        <v>62200</v>
      </c>
      <c r="P36" s="10">
        <f t="shared" si="7"/>
        <v>83000</v>
      </c>
      <c r="Q36" s="10">
        <f t="shared" si="8"/>
        <v>20700</v>
      </c>
      <c r="R36" s="10">
        <f t="shared" si="9"/>
        <v>10400</v>
      </c>
      <c r="S36" s="10">
        <f t="shared" si="10"/>
        <v>10400</v>
      </c>
      <c r="T36" s="10">
        <f t="shared" si="11"/>
        <v>153605</v>
      </c>
      <c r="U36" s="10">
        <f t="shared" si="12"/>
        <v>18433</v>
      </c>
      <c r="V36" s="10">
        <f t="shared" si="13"/>
        <v>76803</v>
      </c>
      <c r="W36" s="10">
        <f>+V36</f>
        <v>76803</v>
      </c>
      <c r="X36" s="10">
        <f t="shared" si="15"/>
        <v>76803</v>
      </c>
      <c r="Y36" s="10">
        <f t="shared" si="14"/>
        <v>153605</v>
      </c>
    </row>
    <row r="37" spans="1:25" ht="12.75" customHeight="1">
      <c r="A37" s="14" t="s">
        <v>47</v>
      </c>
      <c r="B37" s="14">
        <v>4</v>
      </c>
      <c r="C37" s="17" t="s">
        <v>48</v>
      </c>
      <c r="D37" s="17" t="s">
        <v>26</v>
      </c>
      <c r="E37" s="87">
        <v>793200</v>
      </c>
      <c r="F37" s="11">
        <f>ROUND((E37*1),0)</f>
        <v>793200</v>
      </c>
      <c r="G37" s="11">
        <f>ROUND((F37*6.3%),0)</f>
        <v>49972</v>
      </c>
      <c r="H37" s="12">
        <v>30</v>
      </c>
      <c r="I37" s="11">
        <f t="shared" si="1"/>
        <v>843000</v>
      </c>
      <c r="J37" s="11">
        <f t="shared" si="2"/>
        <v>98000</v>
      </c>
      <c r="K37" s="10">
        <f t="shared" si="3"/>
        <v>71700</v>
      </c>
      <c r="L37" s="10">
        <f t="shared" si="4"/>
        <v>4400</v>
      </c>
      <c r="M37" s="10">
        <f>ROUND((I37*50%/12),0)</f>
        <v>35125</v>
      </c>
      <c r="N37" s="10">
        <v>35512</v>
      </c>
      <c r="O37" s="10">
        <f t="shared" si="6"/>
        <v>28400</v>
      </c>
      <c r="P37" s="10">
        <f t="shared" si="7"/>
        <v>37900</v>
      </c>
      <c r="Q37" s="10">
        <f t="shared" si="8"/>
        <v>9500</v>
      </c>
      <c r="R37" s="10">
        <f t="shared" si="9"/>
        <v>4700</v>
      </c>
      <c r="S37" s="10">
        <f t="shared" si="10"/>
        <v>4700</v>
      </c>
      <c r="T37" s="10">
        <f t="shared" si="11"/>
        <v>70222</v>
      </c>
      <c r="U37" s="10">
        <f t="shared" si="12"/>
        <v>8427</v>
      </c>
      <c r="V37" s="10">
        <f t="shared" si="13"/>
        <v>35111</v>
      </c>
      <c r="W37" s="10">
        <v>0</v>
      </c>
      <c r="X37" s="10">
        <f t="shared" si="15"/>
        <v>35111</v>
      </c>
      <c r="Y37" s="10">
        <f t="shared" si="14"/>
        <v>70222</v>
      </c>
    </row>
    <row r="38" spans="1:25" ht="12.75" customHeight="1">
      <c r="A38" s="14" t="s">
        <v>49</v>
      </c>
      <c r="B38" s="14">
        <v>2</v>
      </c>
      <c r="C38" s="17" t="s">
        <v>67</v>
      </c>
      <c r="D38" s="17" t="s">
        <v>26</v>
      </c>
      <c r="E38" s="20">
        <v>500799.99999999994</v>
      </c>
      <c r="F38" s="11">
        <f>ROUND((E38*1.15),0)</f>
        <v>575920</v>
      </c>
      <c r="G38" s="11">
        <f>ROUND((F38*6.3%),0)</f>
        <v>36283</v>
      </c>
      <c r="H38" s="12">
        <v>30</v>
      </c>
      <c r="I38" s="11">
        <f t="shared" si="1"/>
        <v>612000</v>
      </c>
      <c r="J38" s="11">
        <f t="shared" si="2"/>
        <v>71100</v>
      </c>
      <c r="K38" s="10">
        <f t="shared" si="3"/>
        <v>52000</v>
      </c>
      <c r="L38" s="10">
        <f t="shared" si="4"/>
        <v>3200</v>
      </c>
      <c r="M38" s="10">
        <f>ROUND((I38*50%/12),0)</f>
        <v>25500</v>
      </c>
      <c r="N38" s="10">
        <v>35512</v>
      </c>
      <c r="O38" s="10">
        <f t="shared" si="6"/>
        <v>20700</v>
      </c>
      <c r="P38" s="10">
        <f t="shared" si="7"/>
        <v>27500</v>
      </c>
      <c r="Q38" s="10">
        <f t="shared" si="8"/>
        <v>6900</v>
      </c>
      <c r="R38" s="10">
        <f t="shared" si="9"/>
        <v>3400</v>
      </c>
      <c r="S38" s="10">
        <f t="shared" si="10"/>
        <v>3400</v>
      </c>
      <c r="T38" s="10">
        <f t="shared" si="11"/>
        <v>50980</v>
      </c>
      <c r="U38" s="10">
        <f t="shared" si="12"/>
        <v>6118</v>
      </c>
      <c r="V38" s="10">
        <f t="shared" si="13"/>
        <v>25490</v>
      </c>
      <c r="W38" s="10">
        <v>0</v>
      </c>
      <c r="X38" s="10">
        <f t="shared" si="15"/>
        <v>25490</v>
      </c>
      <c r="Y38" s="10">
        <f t="shared" si="14"/>
        <v>50980</v>
      </c>
    </row>
    <row r="39" spans="1:25" ht="12.75" customHeight="1">
      <c r="A39" s="14" t="s">
        <v>63</v>
      </c>
      <c r="B39" s="14">
        <v>1</v>
      </c>
      <c r="C39" s="18" t="s">
        <v>59</v>
      </c>
      <c r="D39" s="17" t="s">
        <v>26</v>
      </c>
      <c r="E39" s="87">
        <v>1216000</v>
      </c>
      <c r="F39" s="11">
        <f>ROUND((E39*1),0)</f>
        <v>1216000</v>
      </c>
      <c r="G39" s="11">
        <f>ROUND((F39*6%),0)</f>
        <v>72960</v>
      </c>
      <c r="H39" s="12">
        <v>30</v>
      </c>
      <c r="I39" s="11">
        <f t="shared" si="1"/>
        <v>1289000</v>
      </c>
      <c r="J39" s="11">
        <f t="shared" si="2"/>
        <v>149800</v>
      </c>
      <c r="K39" s="10">
        <f t="shared" si="3"/>
        <v>109600</v>
      </c>
      <c r="L39" s="10">
        <f t="shared" si="4"/>
        <v>6700</v>
      </c>
      <c r="M39" s="10">
        <f>ROUND((I39*35%/12),0)</f>
        <v>37596</v>
      </c>
      <c r="N39" s="10">
        <v>0</v>
      </c>
      <c r="O39" s="10">
        <f t="shared" si="6"/>
        <v>43500</v>
      </c>
      <c r="P39" s="10">
        <f t="shared" si="7"/>
        <v>58000</v>
      </c>
      <c r="Q39" s="10">
        <f t="shared" si="8"/>
        <v>14500</v>
      </c>
      <c r="R39" s="10">
        <f t="shared" si="9"/>
        <v>7300</v>
      </c>
      <c r="S39" s="10">
        <f t="shared" si="10"/>
        <v>7300</v>
      </c>
      <c r="T39" s="10">
        <f t="shared" si="11"/>
        <v>107374</v>
      </c>
      <c r="U39" s="10">
        <f t="shared" si="12"/>
        <v>12885</v>
      </c>
      <c r="V39" s="10">
        <f t="shared" si="13"/>
        <v>53687</v>
      </c>
      <c r="W39" s="10">
        <f>+V39</f>
        <v>53687</v>
      </c>
      <c r="X39" s="10">
        <f t="shared" si="15"/>
        <v>53687</v>
      </c>
      <c r="Y39" s="10">
        <f t="shared" si="14"/>
        <v>107374</v>
      </c>
    </row>
    <row r="40" spans="1:25" ht="12.75" customHeight="1">
      <c r="A40" s="14" t="s">
        <v>56</v>
      </c>
      <c r="B40" s="14">
        <v>1</v>
      </c>
      <c r="C40" s="17" t="s">
        <v>66</v>
      </c>
      <c r="D40" s="18" t="s">
        <v>26</v>
      </c>
      <c r="E40" s="20">
        <v>572200</v>
      </c>
      <c r="F40" s="11">
        <f>ROUND((E40*1.25),0)</f>
        <v>715250</v>
      </c>
      <c r="G40" s="11">
        <f>ROUND((F40*6.3%),0)</f>
        <v>45061</v>
      </c>
      <c r="H40" s="11">
        <v>30</v>
      </c>
      <c r="I40" s="11">
        <f t="shared" si="1"/>
        <v>760000</v>
      </c>
      <c r="J40" s="11">
        <f t="shared" si="2"/>
        <v>88400</v>
      </c>
      <c r="K40" s="10">
        <f t="shared" si="3"/>
        <v>64600</v>
      </c>
      <c r="L40" s="10">
        <f t="shared" si="4"/>
        <v>4000</v>
      </c>
      <c r="M40" s="10">
        <f>ROUND((I40*50%/12),0)</f>
        <v>31667</v>
      </c>
      <c r="N40" s="10">
        <v>35512</v>
      </c>
      <c r="O40" s="10">
        <f t="shared" si="6"/>
        <v>25600</v>
      </c>
      <c r="P40" s="10">
        <f t="shared" si="7"/>
        <v>34200</v>
      </c>
      <c r="Q40" s="10">
        <f t="shared" si="8"/>
        <v>8500</v>
      </c>
      <c r="R40" s="10">
        <f t="shared" si="9"/>
        <v>4300</v>
      </c>
      <c r="S40" s="10">
        <f t="shared" si="10"/>
        <v>4300</v>
      </c>
      <c r="T40" s="10">
        <f t="shared" si="11"/>
        <v>63308</v>
      </c>
      <c r="U40" s="10">
        <f t="shared" si="12"/>
        <v>7597</v>
      </c>
      <c r="V40" s="10">
        <f t="shared" si="13"/>
        <v>31654</v>
      </c>
      <c r="W40" s="10">
        <v>0</v>
      </c>
      <c r="X40" s="10">
        <f t="shared" si="15"/>
        <v>31654</v>
      </c>
      <c r="Y40" s="10">
        <f t="shared" si="14"/>
        <v>63308</v>
      </c>
    </row>
    <row r="41" spans="1:25" ht="12.75" customHeight="1">
      <c r="A41" s="13" t="s">
        <v>51</v>
      </c>
      <c r="B41" s="13"/>
      <c r="C41" s="13" t="s">
        <v>52</v>
      </c>
      <c r="D41" s="13" t="s">
        <v>52</v>
      </c>
      <c r="E41" s="11">
        <v>433700</v>
      </c>
      <c r="F41" s="11">
        <f>E41</f>
        <v>433700</v>
      </c>
      <c r="G41" s="11">
        <f>ROUND((F41*6.3%),0)-4</f>
        <v>27319</v>
      </c>
      <c r="H41" s="11">
        <v>30</v>
      </c>
      <c r="I41" s="11">
        <f t="shared" si="1"/>
        <v>461000</v>
      </c>
      <c r="J41" s="11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</row>
    <row r="42" spans="1:25" ht="12.75" customHeight="1">
      <c r="A42" s="13" t="s">
        <v>53</v>
      </c>
      <c r="B42" s="13"/>
      <c r="C42" s="13" t="s">
        <v>52</v>
      </c>
      <c r="D42" s="13" t="s">
        <v>52</v>
      </c>
      <c r="E42" s="11">
        <v>433700</v>
      </c>
      <c r="F42" s="11">
        <f>E42</f>
        <v>433700</v>
      </c>
      <c r="G42" s="11">
        <f>ROUND((F42*6.3%),0)-4</f>
        <v>27319</v>
      </c>
      <c r="H42" s="11">
        <v>30</v>
      </c>
      <c r="I42" s="11">
        <f t="shared" si="1"/>
        <v>461000</v>
      </c>
      <c r="J42" s="11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</row>
    <row r="43" spans="1:25" ht="12.75" customHeight="1">
      <c r="A43" s="13" t="s">
        <v>54</v>
      </c>
      <c r="B43" s="13"/>
      <c r="C43" s="13" t="s">
        <v>52</v>
      </c>
      <c r="D43" s="13" t="s">
        <v>52</v>
      </c>
      <c r="E43" s="11">
        <v>433700</v>
      </c>
      <c r="F43" s="11">
        <f>E43</f>
        <v>433700</v>
      </c>
      <c r="G43" s="11">
        <f>ROUND((F43*6.3%),0)-4</f>
        <v>27319</v>
      </c>
      <c r="H43" s="11">
        <v>30</v>
      </c>
      <c r="I43" s="11">
        <f t="shared" si="1"/>
        <v>461000</v>
      </c>
      <c r="J43" s="11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</row>
    <row r="44" spans="1:25" ht="12.75" customHeight="1">
      <c r="A44" s="13" t="s">
        <v>55</v>
      </c>
      <c r="B44" s="13"/>
      <c r="C44" s="13" t="s">
        <v>52</v>
      </c>
      <c r="D44" s="13" t="s">
        <v>52</v>
      </c>
      <c r="E44" s="11">
        <v>433700</v>
      </c>
      <c r="F44" s="11">
        <f>E44</f>
        <v>433700</v>
      </c>
      <c r="G44" s="11">
        <f>ROUND((F44*6.3%),0)-4</f>
        <v>27319</v>
      </c>
      <c r="H44" s="11">
        <v>30</v>
      </c>
      <c r="I44" s="11">
        <f t="shared" si="1"/>
        <v>461000</v>
      </c>
      <c r="J44" s="11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</row>
    <row r="45" ht="4.5" customHeight="1"/>
    <row r="46" spans="5:25" ht="12.75" customHeight="1">
      <c r="E46" s="10">
        <f>SUBTOTAL(9,E6:E45)</f>
        <v>32081920</v>
      </c>
      <c r="F46" s="10">
        <f>SUBTOTAL(9,F6:F45)</f>
        <v>34822166</v>
      </c>
      <c r="G46" s="10">
        <f>SUBTOTAL(9,G6:G45)</f>
        <v>2158045</v>
      </c>
      <c r="H46" s="6"/>
      <c r="I46" s="10">
        <f>SUBTOTAL(9,I6:I45)</f>
        <v>36975000</v>
      </c>
      <c r="J46" s="10">
        <f>SUBTOTAL(9,J6:J45)</f>
        <v>4084700</v>
      </c>
      <c r="K46" s="10">
        <f aca="true" t="shared" si="18" ref="K46:Y46">SUBTOTAL(9,K6:K45)</f>
        <v>2986200</v>
      </c>
      <c r="L46" s="10">
        <f t="shared" si="18"/>
        <v>183800</v>
      </c>
      <c r="M46" s="10">
        <f t="shared" si="18"/>
        <v>1246916</v>
      </c>
      <c r="N46" s="10">
        <f t="shared" si="18"/>
        <v>852288</v>
      </c>
      <c r="O46" s="10">
        <f t="shared" si="18"/>
        <v>1184900</v>
      </c>
      <c r="P46" s="10">
        <f t="shared" si="18"/>
        <v>1580900</v>
      </c>
      <c r="Q46" s="10">
        <f t="shared" si="18"/>
        <v>394700</v>
      </c>
      <c r="R46" s="10">
        <f t="shared" si="18"/>
        <v>197700</v>
      </c>
      <c r="S46" s="10">
        <f t="shared" si="18"/>
        <v>197700</v>
      </c>
      <c r="T46" s="10">
        <f t="shared" si="18"/>
        <v>2926413</v>
      </c>
      <c r="U46" s="10">
        <f t="shared" si="18"/>
        <v>351178</v>
      </c>
      <c r="V46" s="10">
        <f t="shared" si="18"/>
        <v>1463212</v>
      </c>
      <c r="W46" s="10">
        <f t="shared" si="18"/>
        <v>713843</v>
      </c>
      <c r="X46" s="10">
        <f t="shared" si="18"/>
        <v>1463212</v>
      </c>
      <c r="Y46" s="10">
        <f t="shared" si="18"/>
        <v>2926413</v>
      </c>
    </row>
    <row r="48" spans="9:25" ht="11.25">
      <c r="I48" s="82">
        <f>ROUND((I46*12),0)</f>
        <v>443700000</v>
      </c>
      <c r="J48" s="82">
        <f aca="true" t="shared" si="19" ref="J48:Y48">ROUND((J46*12),0)</f>
        <v>49016400</v>
      </c>
      <c r="K48" s="82">
        <f t="shared" si="19"/>
        <v>35834400</v>
      </c>
      <c r="L48" s="82">
        <f t="shared" si="19"/>
        <v>2205600</v>
      </c>
      <c r="M48" s="82">
        <f>ROUND((M46*12),0)</f>
        <v>14962992</v>
      </c>
      <c r="N48" s="82">
        <f>ROUND((N46*12),0)</f>
        <v>10227456</v>
      </c>
      <c r="O48" s="82">
        <f t="shared" si="19"/>
        <v>14218800</v>
      </c>
      <c r="P48" s="82">
        <f t="shared" si="19"/>
        <v>18970800</v>
      </c>
      <c r="Q48" s="82">
        <f t="shared" si="19"/>
        <v>4736400</v>
      </c>
      <c r="R48" s="82">
        <f t="shared" si="19"/>
        <v>2372400</v>
      </c>
      <c r="S48" s="82">
        <f t="shared" si="19"/>
        <v>2372400</v>
      </c>
      <c r="T48" s="82">
        <f t="shared" si="19"/>
        <v>35116956</v>
      </c>
      <c r="U48" s="82">
        <f t="shared" si="19"/>
        <v>4214136</v>
      </c>
      <c r="V48" s="82">
        <f t="shared" si="19"/>
        <v>17558544</v>
      </c>
      <c r="W48" s="82">
        <f>ROUND((W46*12),0)</f>
        <v>8566116</v>
      </c>
      <c r="X48" s="82">
        <f>ROUND((X46*12),0)</f>
        <v>17558544</v>
      </c>
      <c r="Y48" s="82">
        <f t="shared" si="19"/>
        <v>35116956</v>
      </c>
    </row>
    <row r="49" ht="11.25">
      <c r="E49" s="3">
        <f>E12+E13+E14+E15+E16+E17+E18+E19+E28+E31+E35+E36+E37+E39</f>
        <v>18300420</v>
      </c>
    </row>
  </sheetData>
  <sheetProtection/>
  <autoFilter ref="A5:Y44">
    <sortState ref="A6:Y49">
      <sortCondition sortBy="value" ref="A6:A49"/>
    </sortState>
  </autoFilter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PC</cp:lastModifiedBy>
  <cp:lastPrinted>2007-10-31T22:29:56Z</cp:lastPrinted>
  <dcterms:created xsi:type="dcterms:W3CDTF">2007-02-13T20:05:41Z</dcterms:created>
  <dcterms:modified xsi:type="dcterms:W3CDTF">2008-03-14T19:21:05Z</dcterms:modified>
  <cp:category/>
  <cp:version/>
  <cp:contentType/>
  <cp:contentStatus/>
</cp:coreProperties>
</file>