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9720" windowHeight="6555" firstSheet="4" activeTab="11"/>
  </bookViews>
  <sheets>
    <sheet name="INGRESOS07" sheetId="1" r:id="rId1"/>
    <sheet name="INGRESOS08" sheetId="2" r:id="rId2"/>
    <sheet name="ANALISIS INGRESOS" sheetId="3" r:id="rId3"/>
    <sheet name="PROYENOMINA" sheetId="4" r:id="rId4"/>
    <sheet name="ALCALDIA" sheetId="5" r:id="rId5"/>
    <sheet name="PERSONERIA" sheetId="6" r:id="rId6"/>
    <sheet name="CONCEJO" sheetId="7" r:id="rId7"/>
    <sheet name="Hoja1" sheetId="8" state="hidden" r:id="rId8"/>
    <sheet name="PTTO09" sheetId="9" r:id="rId9"/>
    <sheet name="INVERSION (2)" sheetId="10" r:id="rId10"/>
    <sheet name="POAI" sheetId="11" r:id="rId11"/>
    <sheet name="Hoja2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<sst xmlns="http://schemas.openxmlformats.org/spreadsheetml/2006/main" count="2204" uniqueCount="513">
  <si>
    <t>Cod</t>
  </si>
  <si>
    <t>CONCEPTO</t>
  </si>
  <si>
    <t>Año</t>
  </si>
  <si>
    <t>Variacion</t>
  </si>
  <si>
    <t>Tasa Crecimiento</t>
  </si>
  <si>
    <t>Valor estimado</t>
  </si>
  <si>
    <t>Valor recaudado</t>
  </si>
  <si>
    <t xml:space="preserve">Valor estimado </t>
  </si>
  <si>
    <t>% de</t>
  </si>
  <si>
    <t>Tasa Crecim</t>
  </si>
  <si>
    <t>Ingresos dest.</t>
  </si>
  <si>
    <t xml:space="preserve">Ingresos </t>
  </si>
  <si>
    <t>Ingresos  corr.</t>
  </si>
  <si>
    <t>Aritmetico</t>
  </si>
  <si>
    <t>Recaudo</t>
  </si>
  <si>
    <t>Marginal 3</t>
  </si>
  <si>
    <t>Aritm Prom</t>
  </si>
  <si>
    <t>específica</t>
  </si>
  <si>
    <t>no corrientes</t>
  </si>
  <si>
    <t>libre destinación</t>
  </si>
  <si>
    <t>INGRESOS CORRIENTES</t>
  </si>
  <si>
    <t>INGRESOS TRIBUTARIOS</t>
  </si>
  <si>
    <t>1.1.1</t>
  </si>
  <si>
    <t>IMPUESTOS DIRECTOS</t>
  </si>
  <si>
    <t>Predial Unificado</t>
  </si>
  <si>
    <t>Sobretasa Medio Ambiente</t>
  </si>
  <si>
    <t>Impuestos sobre vehículos automotores</t>
  </si>
  <si>
    <t>Circulacion y Transito</t>
  </si>
  <si>
    <t>1.1.2</t>
  </si>
  <si>
    <t>IMPUESTOS INDIRECTOS</t>
  </si>
  <si>
    <t>Industria y Comercio</t>
  </si>
  <si>
    <t>Avisos y Tableros</t>
  </si>
  <si>
    <t>Sobretasa Ley 322/96</t>
  </si>
  <si>
    <t>Sobretasa a la gasolina motor extra y corriente</t>
  </si>
  <si>
    <t>Rifas</t>
  </si>
  <si>
    <t>Venta por el Sistema de Clubes</t>
  </si>
  <si>
    <t>Juegos Permitidos</t>
  </si>
  <si>
    <t>Espectáculos Públicos</t>
  </si>
  <si>
    <t>Delineación Urbana o paramentos</t>
  </si>
  <si>
    <t>Extracción de Materiales</t>
  </si>
  <si>
    <t>Ocupación de vías, Plazas y Lugares Públicos</t>
  </si>
  <si>
    <t>Registro de Patentes, Marcas y Herretes</t>
  </si>
  <si>
    <t>Deguello de Ganado Mayor</t>
  </si>
  <si>
    <t>Deguello de Ganado Menor</t>
  </si>
  <si>
    <t>Publicidad Exterior Visual y Auditiva</t>
  </si>
  <si>
    <t>Impuesto sobre apuestas mutuas</t>
  </si>
  <si>
    <t>Participación en la plusvalía</t>
  </si>
  <si>
    <t>Pesas y Medidas</t>
  </si>
  <si>
    <t>INGRESOS NO TRIBUTARIOS</t>
  </si>
  <si>
    <t>1.2.1</t>
  </si>
  <si>
    <t>TASAS</t>
  </si>
  <si>
    <t>Plaza de Mercado</t>
  </si>
  <si>
    <t>Matadero Público</t>
  </si>
  <si>
    <t>Placas de Nomenclatura</t>
  </si>
  <si>
    <t xml:space="preserve">Formularios </t>
  </si>
  <si>
    <t>Cementerio</t>
  </si>
  <si>
    <t>Servicio de coso municipal</t>
  </si>
  <si>
    <t>Derechos de Publicación Gaceta Municipal</t>
  </si>
  <si>
    <t>Guías de Movilización</t>
  </si>
  <si>
    <t>Derecho de operación de rifas</t>
  </si>
  <si>
    <t>Aprobación de planos y construcciones</t>
  </si>
  <si>
    <t>Otras Tasas y Servicios</t>
  </si>
  <si>
    <t>Estampilla Procultura</t>
  </si>
  <si>
    <t>1.2.2</t>
  </si>
  <si>
    <t>MULTAS</t>
  </si>
  <si>
    <t>Multas de Gobierno</t>
  </si>
  <si>
    <t>Multas de tránsito</t>
  </si>
  <si>
    <t>1.2.3</t>
  </si>
  <si>
    <t>PARTICIPACIONES Y APORTES</t>
  </si>
  <si>
    <t>Sistema General Participacion -Educacion</t>
  </si>
  <si>
    <t>Sistema General Participacion -Libre Destinacion</t>
  </si>
  <si>
    <t xml:space="preserve">Sistema General Participacion -Salud </t>
  </si>
  <si>
    <t>Sistema General Participacion- Proposito General</t>
  </si>
  <si>
    <t>Sistema General Participacion-Restaurante Escolar</t>
  </si>
  <si>
    <t>FONDOS ESPECIALES</t>
  </si>
  <si>
    <t>Tasas y derechos servicio de aseo y limpieza de Calles</t>
  </si>
  <si>
    <t>RECURSOS DE CAPITAL</t>
  </si>
  <si>
    <t>Otros recursos de capital</t>
  </si>
  <si>
    <t>Venta de activos fijos</t>
  </si>
  <si>
    <t>Arrendamiento de bienes muebles e inmuebles</t>
  </si>
  <si>
    <t>Rendimientos financieros libre destinación</t>
  </si>
  <si>
    <t>TOTALES</t>
  </si>
  <si>
    <t xml:space="preserve">            que fueron recaudados en vigencias anteriores y cuyo monto se adicionó en el presente año fiscal para hacer posible su ejecución.</t>
  </si>
  <si>
    <t>Tasa</t>
  </si>
  <si>
    <t>Expectiva</t>
  </si>
  <si>
    <t>Reintegros</t>
  </si>
  <si>
    <t>MONTOS MÁXIMOS CONFORME A LA LEY 617 DE 2000 -AJUSTE FISCAL-</t>
  </si>
  <si>
    <t>TOTAL MONTO MÁXIMO FUNCIONAMIENTO CONCEJO</t>
  </si>
  <si>
    <t>MONTO MÁXIMO FUNCIONAMIENTO PERSONERÍA 150 SMLM</t>
  </si>
  <si>
    <t>MONTO INVERSIÓN INGRESOS NO CORRIENTES (RECURSOS DE CAPITAL)</t>
  </si>
  <si>
    <t>MONTO INVERSIÓN SEGURIDAD Y SEÑALIZACIÓN VIAL</t>
  </si>
  <si>
    <t>TOTAL PRESUPUESTO MÍNIMO INVERSIÓN MUNICIPIO</t>
  </si>
  <si>
    <t>MONTO  DISPONIBLE PARA GASTOS DE PERSONAL Y GENERALES FUNCIONAMIENTO ALCALDÍA</t>
  </si>
  <si>
    <t>NUM</t>
  </si>
  <si>
    <t>DENOMINACION</t>
  </si>
  <si>
    <t>GRADO</t>
  </si>
  <si>
    <t>ASIGNACIÓN</t>
  </si>
  <si>
    <t>AUMENTO</t>
  </si>
  <si>
    <t>ASIG. BÁSICA</t>
  </si>
  <si>
    <t>SUELDO</t>
  </si>
  <si>
    <t>PRIMAS NO</t>
  </si>
  <si>
    <t>SUB. ALIM</t>
  </si>
  <si>
    <t>AUX. TRANS.</t>
  </si>
  <si>
    <t>BONIFC</t>
  </si>
  <si>
    <t xml:space="preserve">PRIMA </t>
  </si>
  <si>
    <t>PRIMA DE</t>
  </si>
  <si>
    <t>PRIMA</t>
  </si>
  <si>
    <t>BON ESP</t>
  </si>
  <si>
    <t>FACTORES</t>
  </si>
  <si>
    <t>TOTAL</t>
  </si>
  <si>
    <t>8.33%</t>
  </si>
  <si>
    <t>SUB</t>
  </si>
  <si>
    <t>ICBF</t>
  </si>
  <si>
    <t>SENA</t>
  </si>
  <si>
    <t>ESAP</t>
  </si>
  <si>
    <t>ESCUELAS</t>
  </si>
  <si>
    <t>PENSION</t>
  </si>
  <si>
    <t>SALUD</t>
  </si>
  <si>
    <t>RIESGOS</t>
  </si>
  <si>
    <t>CARGOS</t>
  </si>
  <si>
    <t>SAL.</t>
  </si>
  <si>
    <t>BÁSICA/2000</t>
  </si>
  <si>
    <t>ANUAL</t>
  </si>
  <si>
    <t xml:space="preserve"> FACT SAL</t>
  </si>
  <si>
    <t xml:space="preserve">X SERV </t>
  </si>
  <si>
    <t>SERVICI</t>
  </si>
  <si>
    <t>VACACION</t>
  </si>
  <si>
    <t>NAVIDAD</t>
  </si>
  <si>
    <t>RECREAC</t>
  </si>
  <si>
    <t>DEVENGADO</t>
  </si>
  <si>
    <t>CESANTIAS</t>
  </si>
  <si>
    <t>FAMILIAR</t>
  </si>
  <si>
    <t>3%</t>
  </si>
  <si>
    <t>0,5%</t>
  </si>
  <si>
    <t>0.5%</t>
  </si>
  <si>
    <t>INDS.</t>
  </si>
  <si>
    <t>PROFESI</t>
  </si>
  <si>
    <t>CARGO</t>
  </si>
  <si>
    <t>Alcalde</t>
  </si>
  <si>
    <t>Secretario de Despacho</t>
  </si>
  <si>
    <t>Profesional Universitario</t>
  </si>
  <si>
    <t>Inspector de Policía Urbano</t>
  </si>
  <si>
    <t>Tesorero</t>
  </si>
  <si>
    <t>Jefe de Sección</t>
  </si>
  <si>
    <t>Almacenista</t>
  </si>
  <si>
    <t>Secretario Ejecutivo del D. A.</t>
  </si>
  <si>
    <t>Auxiliar administrativo</t>
  </si>
  <si>
    <t>Inspector de Policía Rural</t>
  </si>
  <si>
    <t>Auxiliar de Servicios Generales</t>
  </si>
  <si>
    <t>Operario</t>
  </si>
  <si>
    <t xml:space="preserve">Conductor Mecánico </t>
  </si>
  <si>
    <t>Sin</t>
  </si>
  <si>
    <t>TOTAL ALCALDÍA</t>
  </si>
  <si>
    <t>HONORA</t>
  </si>
  <si>
    <t>SALARIAL</t>
  </si>
  <si>
    <t>BÁSICA/2001</t>
  </si>
  <si>
    <t>FACTOR SAL</t>
  </si>
  <si>
    <t>Personero</t>
  </si>
  <si>
    <t>TOTAL PERSONERÍA</t>
  </si>
  <si>
    <t>Concejal</t>
  </si>
  <si>
    <t>TOTAL CONCEJO</t>
  </si>
  <si>
    <t>Director</t>
  </si>
  <si>
    <t>TOTAL UMATA</t>
  </si>
  <si>
    <t>MONTO INVERSIÓN SGP FORZOSA INVERSIÓN</t>
  </si>
  <si>
    <t xml:space="preserve">                          SECCIÓN PRESUPUESTAL 02 - ALCALDÍA-</t>
  </si>
  <si>
    <t xml:space="preserve">                             A.  PRESUPUESTO DE FUNCIONAMIENTO</t>
  </si>
  <si>
    <t>CÓDIGO</t>
  </si>
  <si>
    <t xml:space="preserve">MONTO </t>
  </si>
  <si>
    <t>APROPIACIÓN $</t>
  </si>
  <si>
    <t>GASTOS DE PERSONAL</t>
  </si>
  <si>
    <t>SERVICIOS PERSONALES ASOCIADOS A LA NOMINA</t>
  </si>
  <si>
    <t>Sueldos de personal de nómina</t>
  </si>
  <si>
    <t>Horas extras y días festivos</t>
  </si>
  <si>
    <t>Indemnización de vacaciones</t>
  </si>
  <si>
    <t>Otros gastos por servicios personales</t>
  </si>
  <si>
    <t>Gastos de Representación</t>
  </si>
  <si>
    <t>Subsidio o prima de alimentación</t>
  </si>
  <si>
    <t>Auxilio de transporte</t>
  </si>
  <si>
    <t>Bonificación por servicios prestados</t>
  </si>
  <si>
    <t>Prima de Servicios</t>
  </si>
  <si>
    <t>Prima de Vacaciones</t>
  </si>
  <si>
    <t>Prima de Navidad</t>
  </si>
  <si>
    <t>Bonificación Especial de Recreación</t>
  </si>
  <si>
    <t>SERVICIOS PERSONALES INDIRECTOS</t>
  </si>
  <si>
    <t>Personal Supernumerario</t>
  </si>
  <si>
    <t>Honorarios</t>
  </si>
  <si>
    <t>Remuneración por Servicios Técnicos</t>
  </si>
  <si>
    <t>CONTRIBUCIONES INHERENTES A NOMINA SECTOR PRIVADO</t>
  </si>
  <si>
    <t xml:space="preserve">Caja de Compensación </t>
  </si>
  <si>
    <t>CONTRIBUCIONES INHERENTES A NOMINA SECTOR PÚBLICO</t>
  </si>
  <si>
    <t>Sena</t>
  </si>
  <si>
    <t>Escuelas Industriales e institutos técnicos</t>
  </si>
  <si>
    <t>Esap</t>
  </si>
  <si>
    <t>GASTOS GENERALES</t>
  </si>
  <si>
    <t>ADQUISICION DE BIENES</t>
  </si>
  <si>
    <t>Compra de Equipo</t>
  </si>
  <si>
    <t>Materiales y Suministros</t>
  </si>
  <si>
    <t>Dotación (Ley 70/88)</t>
  </si>
  <si>
    <t>Gastos imprevistos adquisición de bienes</t>
  </si>
  <si>
    <t>ADQUISICION DE SERVICIOS</t>
  </si>
  <si>
    <t>Mantenimiento</t>
  </si>
  <si>
    <t>Servicios Públicos</t>
  </si>
  <si>
    <t>Arrendamientos</t>
  </si>
  <si>
    <t>Viáticos y Gastos de Viaje</t>
  </si>
  <si>
    <t>Impresos y Publicaciones</t>
  </si>
  <si>
    <t>Comunicaciones y Transportes</t>
  </si>
  <si>
    <t>Seguros</t>
  </si>
  <si>
    <t>Gastos imprevistos adquisición de servicios</t>
  </si>
  <si>
    <t>Transporte y sostenimiento de presos</t>
  </si>
  <si>
    <t>Defensa de hacienda pública</t>
  </si>
  <si>
    <t>Semovientes</t>
  </si>
  <si>
    <t>Gastos de protocolo</t>
  </si>
  <si>
    <t>Bienestar social</t>
  </si>
  <si>
    <t>Inhumación de cadáveres</t>
  </si>
  <si>
    <t>IMPUESTOS Y MULTAS</t>
  </si>
  <si>
    <t>TRANSFERENCIAS CORRIENTES</t>
  </si>
  <si>
    <t>PREVISIÓN Y SEGURIDAD SOCIAL</t>
  </si>
  <si>
    <t>Cesantías</t>
  </si>
  <si>
    <t>Salud</t>
  </si>
  <si>
    <t>Pensiones</t>
  </si>
  <si>
    <t>Administradora de Riesgos Profesionales</t>
  </si>
  <si>
    <t>OTRAS TRANSFERENCIAS CORRIENTES (D. ESPECÍF.)</t>
  </si>
  <si>
    <t>Sentencias y conciliaciones</t>
  </si>
  <si>
    <t>Destinatarios otras transferencias</t>
  </si>
  <si>
    <t>Sistema nacional ambiental</t>
  </si>
  <si>
    <t>Fondo de servicio público de aseo y limpieza de calles</t>
  </si>
  <si>
    <t>Fondo local de salud</t>
  </si>
  <si>
    <t>Servicio bomberil</t>
  </si>
  <si>
    <t xml:space="preserve">                                          SECCIÓN PRESUPUESTAL 03 - PERSONERÍA-</t>
  </si>
  <si>
    <t xml:space="preserve">                                          A.  PRESUPUESTO DE FUNCIONAMIENTO</t>
  </si>
  <si>
    <t>Otras primas</t>
  </si>
  <si>
    <t xml:space="preserve">                                          SECCIÓN PRESUPUESTAL 01 - CONCEJO-</t>
  </si>
  <si>
    <t>SECCIÓN PRESUPUESTAL 02 - ALCALDÍA-</t>
  </si>
  <si>
    <t>C.  PRESUPUESTO DE INVERSIÓN</t>
  </si>
  <si>
    <t>N</t>
  </si>
  <si>
    <t>VALOR</t>
  </si>
  <si>
    <t>CON CARGO A RECURSOS DE</t>
  </si>
  <si>
    <t>PROGRAMA</t>
  </si>
  <si>
    <t>I.C.L.D. Y R.C.(2)</t>
  </si>
  <si>
    <t>I.C.D.E.(3)</t>
  </si>
  <si>
    <t>SEGURIDAD SOCIAL EN SALUD</t>
  </si>
  <si>
    <t>INVERSIÓN RECURSOS PROPIOS</t>
  </si>
  <si>
    <t xml:space="preserve">TOTALES </t>
  </si>
  <si>
    <t>(1)</t>
  </si>
  <si>
    <t>Montos con cargo a recursos de participación en los ingresos corrientes de la Nación de forzosa inversión</t>
  </si>
  <si>
    <t>(2)</t>
  </si>
  <si>
    <t>Montos con cargo a ingresos corrientes de libre destinación y recursos de capital</t>
  </si>
  <si>
    <t>(3)</t>
  </si>
  <si>
    <t>Montos con cargo a recursos propios correspondientes a ingresos corrientes de destinación específica</t>
  </si>
  <si>
    <t>BÁSICA/2003</t>
  </si>
  <si>
    <t>SGP FORZ. INV. (1)</t>
  </si>
  <si>
    <t>SALUD PUBLICA</t>
  </si>
  <si>
    <t>MEJORAMIENTO Y OPERACIÓN ACUEDUCTO</t>
  </si>
  <si>
    <t>ATENCION A GRUPOS VULNERABLES</t>
  </si>
  <si>
    <t>Variación</t>
  </si>
  <si>
    <t>Sistema General Participación Reg. Subsidiado</t>
  </si>
  <si>
    <t>Estampilla procultura</t>
  </si>
  <si>
    <t xml:space="preserve"> </t>
  </si>
  <si>
    <t>FONDO SOLIDARIDAD Y REDISTRIBUCIÓN DE INGRESOS</t>
  </si>
  <si>
    <t>OTROS SECTORES DE INVERSIÓN PROPOSITO GENERAL</t>
  </si>
  <si>
    <t>APOYO EVENTOS Y CELEBRACIONES MUNICIPALES</t>
  </si>
  <si>
    <t>Transferencia federación de municipios</t>
  </si>
  <si>
    <t>TOTAL SIN DESTINATARIOS OTRAS TRANSFERENCIAS CORRIENTES (DEST. ESPECIFICA.)</t>
  </si>
  <si>
    <t>Estampilla proanciano</t>
  </si>
  <si>
    <t>capacitacion</t>
  </si>
  <si>
    <t xml:space="preserve">SISTEMA GENERAL DE PARTICIPACION </t>
  </si>
  <si>
    <t>Alquiler de maquinaria y equipo</t>
  </si>
  <si>
    <t>Alquiler de maquinaria</t>
  </si>
  <si>
    <t>Transf FONPET( 15% Vta Activos)</t>
  </si>
  <si>
    <t>Proyectó: María Gladys de Salazar</t>
  </si>
  <si>
    <t>Trans pasivo pensional (20% estampillas)</t>
  </si>
  <si>
    <t>Otras adquisiciones de servicios</t>
  </si>
  <si>
    <t>SANEAMIENTO BASICO MUNICIPAL</t>
  </si>
  <si>
    <t>AMPLIACION Y MEJORAMIENTO RED AGUA LLUVIAS</t>
  </si>
  <si>
    <t>APOYO A FONDOS MUNICIPALES</t>
  </si>
  <si>
    <t xml:space="preserve">  </t>
  </si>
  <si>
    <t>INT. CES.</t>
  </si>
  <si>
    <t>Marginal 1</t>
  </si>
  <si>
    <t>Marginal 2</t>
  </si>
  <si>
    <t>Marginal3</t>
  </si>
  <si>
    <t>MONTO MÁXIMO OTROS GASTOS DE FUNCIONAMIENTO CONCEJO -1.5% ICLD</t>
  </si>
  <si>
    <t>FORTALECIMIENTO INSTITUCIONAL</t>
  </si>
  <si>
    <t>FONDO DE CONTIGENCIAS</t>
  </si>
  <si>
    <t>Marginal4</t>
  </si>
  <si>
    <t>psto año 2007</t>
  </si>
  <si>
    <t xml:space="preserve"> septiembre 30/07</t>
  </si>
  <si>
    <t>Marginal 5</t>
  </si>
  <si>
    <t>Certificaciones</t>
  </si>
  <si>
    <t>MONTO MÁXIMO PAGO HONARARIOS CONCEJALES (ONCE -11-) 70 SESIONES ORDIN Y  12 EXTRAOR X A</t>
  </si>
  <si>
    <t>MONTO MÁXIMO FUNCIONAMIENTO MUNICIPIO 80% I.C.L.D.</t>
  </si>
  <si>
    <t>MONTO INVERSIÓN I. CORRIENTES LIBRE DESTINACIÓN 20% I.C.L.D.</t>
  </si>
  <si>
    <t>DEFICIT FISCAL</t>
  </si>
  <si>
    <t>Transferencia Fenacon</t>
  </si>
  <si>
    <t>MONTO TRANSF. DESTINACIÓN ESPECÍFICA R. PROPIOS (S. AMBIENT., F. SALUD, S. PÚBLICOS, S. BOMBERIL, ESTAMPILLA PROCULTURA y PROANCIANO, FONPET)</t>
  </si>
  <si>
    <t>EQUIPAMENTO MUNICIPAL</t>
  </si>
  <si>
    <t>FONDO DE SOLIDARIDAD Y REDISTRIBUCION DE INGRESOS</t>
  </si>
  <si>
    <t>Otros ingresos no tributarios</t>
  </si>
  <si>
    <t>BÁSICA/2007</t>
  </si>
  <si>
    <t>HONORARI/08</t>
  </si>
  <si>
    <t>BÁSICA/2008</t>
  </si>
  <si>
    <t>HONORARI/09</t>
  </si>
  <si>
    <t>psto año 2009</t>
  </si>
  <si>
    <r>
      <t xml:space="preserve">NOTA: </t>
    </r>
    <r>
      <rPr>
        <sz val="8"/>
        <rFont val="Century Gothic"/>
        <family val="2"/>
      </rPr>
      <t xml:space="preserve"> Los montos especificados como recuado solo incluyen los correspondientes al año 2000, es decir no se tiene en cuenta los valores</t>
    </r>
  </si>
  <si>
    <t>Licencias Planos y construcciones</t>
  </si>
  <si>
    <t>REGALIAS</t>
  </si>
  <si>
    <t>Extraccion de Materiales</t>
  </si>
  <si>
    <t>1.2.4</t>
  </si>
  <si>
    <t>Aliemtacion Escolar</t>
  </si>
  <si>
    <t>E y P: Arnulfo R, Benjumea Diaz</t>
  </si>
  <si>
    <t>Secretario de Hacienda</t>
  </si>
  <si>
    <t xml:space="preserve"> septiembre 30/08</t>
  </si>
  <si>
    <t>recaudo dic/08</t>
  </si>
  <si>
    <t>P y E: Arnulfo R Benjumea Diaz</t>
  </si>
  <si>
    <t>SERVICIOS PUBLICOS</t>
  </si>
  <si>
    <t>CENTROS DE RECLUSION</t>
  </si>
  <si>
    <t>PREVENCION Y ATENCION DESASTRES</t>
  </si>
  <si>
    <t>JUSTICIA</t>
  </si>
  <si>
    <t>AGROPECUARIO</t>
  </si>
  <si>
    <t>TRANSPORTE</t>
  </si>
  <si>
    <t>AMBIENTAL</t>
  </si>
  <si>
    <t>SECTOR SALUD</t>
  </si>
  <si>
    <t>SECTOR EDUCACIÓN</t>
  </si>
  <si>
    <t>SECTOR ALIMENTACION ESCOLAR</t>
  </si>
  <si>
    <t>SECTOR AGUA POTABLE Y SANEAMIENTO BASICO</t>
  </si>
  <si>
    <t>EDUCACION PARA TODOS</t>
  </si>
  <si>
    <t>NI UNO MENOS</t>
  </si>
  <si>
    <t>CALIDAD RESPONSABILIDAD COMPROMISOS DE TODOS</t>
  </si>
  <si>
    <t>MODERNIZACION EDUCATIVO MUNICIPAL</t>
  </si>
  <si>
    <t>EDUCACION LABORAL</t>
  </si>
  <si>
    <t>INVESTIGANDO ANDO</t>
  </si>
  <si>
    <t>DESARROLLO ETNOEDUCATIVO</t>
  </si>
  <si>
    <t>Censo Educativo</t>
  </si>
  <si>
    <t>1º Infancia</t>
  </si>
  <si>
    <t>Basica y Media</t>
  </si>
  <si>
    <t>Poblacion Vulnerable</t>
  </si>
  <si>
    <t>Adultos</t>
  </si>
  <si>
    <t>Dotacion, Internados y Transporte</t>
  </si>
  <si>
    <t>Todos a la Escuelas</t>
  </si>
  <si>
    <t>SERVICIOS CULTURALES E INSTITUCIONALES</t>
  </si>
  <si>
    <t>VIVIENDA Y HABITAD</t>
  </si>
  <si>
    <t>NUEVOS DESARROLLOS HABITACIONALES</t>
  </si>
  <si>
    <t>HABITAD RURAL Y SOSTENIBLE</t>
  </si>
  <si>
    <t>VIVIENDA Y MEJORAMIENTO DEL ENTORNO</t>
  </si>
  <si>
    <t>Diseño y ejecucion de proyectos productivos  como requicito de grado para los estidiantes de educacion media</t>
  </si>
  <si>
    <t>Investigando docente</t>
  </si>
  <si>
    <t>Creacion de centros de investigacion institucionales</t>
  </si>
  <si>
    <t>Apoyar los procesos de formación de etnoeducación en marcha (coordinación N. S. F LL. A)</t>
  </si>
  <si>
    <t>Inclusión de la enseñanza obligatira de la lengua materna en los establecimientos educativos</t>
  </si>
  <si>
    <t>Población indígena atendida y satisfecha mediante encuentros municipales</t>
  </si>
  <si>
    <t>Capacitación docentes bilingües</t>
  </si>
  <si>
    <t>Educación para el adulto mayor indígena</t>
  </si>
  <si>
    <t>Material didáctico en lengua indígena</t>
  </si>
  <si>
    <t>PUERTO CARREÑO EN MOVIMIENTO</t>
  </si>
  <si>
    <t>RECREACION Y EL DEPORTE UN APROVECHAMIENTO DEL TIEMPO LIBRE</t>
  </si>
  <si>
    <t>ESCUELAS DE FORMAS DEPORTIVAS</t>
  </si>
  <si>
    <t>PROMOCION DE EVENTOS DEPORTIVOS Y RECREATIVOS</t>
  </si>
  <si>
    <t>CONSTRUCCION, MANTENIMIENTO Y ADECUACION ESCENARIOS DEPORTIVOS</t>
  </si>
  <si>
    <t>MEMORI Y PATRIMONIO</t>
  </si>
  <si>
    <t>FORMACION ARTISTICA Y CULTURAL DE LA REGION</t>
  </si>
  <si>
    <t>CULTURA: UNA FORMA DE FORTALECER NUESTRA CULTURA</t>
  </si>
  <si>
    <t>Festival del Corrio Llanero</t>
  </si>
  <si>
    <t>Festival La Palometa de Oro</t>
  </si>
  <si>
    <t xml:space="preserve">Festival El Bocachico </t>
  </si>
  <si>
    <t>Apoyo a Otros Eventos Culturales</t>
  </si>
  <si>
    <t xml:space="preserve">Festival El Chiguire </t>
  </si>
  <si>
    <t>Memoria y Patrimonio</t>
  </si>
  <si>
    <t>Mejoramiento Mantenimiento Infraestructura</t>
  </si>
  <si>
    <t>Dotacion Centros de Reclusion</t>
  </si>
  <si>
    <t>Alimentacion Personas Detenidas</t>
  </si>
  <si>
    <t>Transporte de Reclusos</t>
  </si>
  <si>
    <t>Direccion y Personal de Guardia</t>
  </si>
  <si>
    <t>ASISTENCIA TECNICA AGROPECUARIA</t>
  </si>
  <si>
    <t>Operación Umata</t>
  </si>
  <si>
    <t>FORTALECIMIENTO AGROPECUARIO</t>
  </si>
  <si>
    <t>Adquisicion de Banco Maquinaria</t>
  </si>
  <si>
    <t>Cofinanciacion Programas del Sector</t>
  </si>
  <si>
    <t>MEJORAMIENTO, MANTENIMIENTO Y REAHABILITACION VIAL</t>
  </si>
  <si>
    <t>Mejoramiento, Mantenimiento y Rehabilitacion Vial Urbana y rural</t>
  </si>
  <si>
    <t>COFINANCIACION PROYECTOS DEL SECTOR</t>
  </si>
  <si>
    <t>CONSTRUCCION DE VIVEROS</t>
  </si>
  <si>
    <t>ATENCION ADULTO MAYOR</t>
  </si>
  <si>
    <t>APOYO A LA INFANCIA Y LA JUVENTUD</t>
  </si>
  <si>
    <t>ATENCION 1° INFANCIA</t>
  </si>
  <si>
    <t>ATENCION Y PREVENCION DE DESASTRES</t>
  </si>
  <si>
    <t>Atencion y Prevencion de Desastres</t>
  </si>
  <si>
    <t>ATENCION MADRES Y PADRES CABAZA DE HOGAR</t>
  </si>
  <si>
    <t>ATENCION DESPLAZADOS</t>
  </si>
  <si>
    <t>ATENCION DISCAPACITADOS</t>
  </si>
  <si>
    <t>ATENCION FAMILIAS EN ACCION</t>
  </si>
  <si>
    <t>Adecuacion, Mejoramiento y Mantenimiento Matadero</t>
  </si>
  <si>
    <t>Dotacion Sede Administrativa</t>
  </si>
  <si>
    <t>Servicio de Energia Inspecciones</t>
  </si>
  <si>
    <t>Mantenimiento y Reparacion Equipos y Maquinaria</t>
  </si>
  <si>
    <t>Cofinanciacion Proyectos del Sector</t>
  </si>
  <si>
    <t>Capacitacion Emplaedos Administracion</t>
  </si>
  <si>
    <t>Bienestar Social de empleados</t>
  </si>
  <si>
    <t>Mejoramiento de la Informacion Financiera</t>
  </si>
  <si>
    <t>Funcionamiento Inspecciones de Policia</t>
  </si>
  <si>
    <r>
      <t xml:space="preserve">NOTA: </t>
    </r>
    <r>
      <rPr>
        <sz val="12"/>
        <rFont val="Angsana New"/>
        <family val="1"/>
      </rPr>
      <t xml:space="preserve"> Los montos especificados como recuado solo incluyen los correspondientes al año 2000, es decir no se tiene en cuenta los valores</t>
    </r>
  </si>
  <si>
    <t>Sistema General Participacion-Agua Potable y Saneamiento Basico</t>
  </si>
  <si>
    <t>S G.P Proposito General  -Libre Destinacion</t>
  </si>
  <si>
    <t>S G.P Proposito General  -Libre Inversion</t>
  </si>
  <si>
    <t>SGP Agua Potable y Saneamiento Basico</t>
  </si>
  <si>
    <t>Mejoramiento vivienda rural de interes social</t>
  </si>
  <si>
    <t>Cosntrcuccion Adquisicion Vivienda Nueva y Usada</t>
  </si>
  <si>
    <t>Proyecto Comunidades Indigenas</t>
  </si>
  <si>
    <t>TIERRA PRODUCTIVA</t>
  </si>
  <si>
    <t>PLANIFICACION, ORDENAMIENTO Y EDUCACION</t>
  </si>
  <si>
    <t>FORESTACION</t>
  </si>
  <si>
    <t>PUERTO Carreño EMPRESARIAL</t>
  </si>
  <si>
    <t>PUERTO Carreño TURISTICO</t>
  </si>
  <si>
    <t>CIENCIA Y TECNOLOGIA</t>
  </si>
  <si>
    <t>TURISMO, DESARROLLO EMPRESARIAL, CIENCIA Y TECNOLOGIA</t>
  </si>
  <si>
    <t>RECREACION Y DEPORTE</t>
  </si>
  <si>
    <t>SOBRETASA</t>
  </si>
  <si>
    <t>EDUCACION</t>
  </si>
  <si>
    <t>MEDIO AMBIENTE</t>
  </si>
  <si>
    <t>Fondo  Agropeciario Mpal</t>
  </si>
  <si>
    <t>0.75</t>
  </si>
  <si>
    <t>0.25</t>
  </si>
  <si>
    <t>Fondo  Mpal Microempresa Urbana y Rural</t>
  </si>
  <si>
    <t>Fondo de Compensacion</t>
  </si>
  <si>
    <t>Fondo de Garantias</t>
  </si>
  <si>
    <t>Estandares y Competencias en los planes de estudios</t>
  </si>
  <si>
    <t>Evaluemos competancias para mejorar</t>
  </si>
  <si>
    <t>Mejoramientos continuo y Permanente</t>
  </si>
  <si>
    <t>Actualizacion Permanente de Docentes</t>
  </si>
  <si>
    <t>Modernizacion con  fines  de acreditacion de instituciones  Educativas Oficiales</t>
  </si>
  <si>
    <t>Sistema de Informacion de Calidad</t>
  </si>
  <si>
    <t>Uso de Tegnologia</t>
  </si>
  <si>
    <t>Fortalecimiento y/o creacion de programas de educacion media tecnica en los establecimientos educativos del municipio</t>
  </si>
  <si>
    <t>Artuculacion de la educacion media tecnica y la educacion para el trabajo</t>
  </si>
  <si>
    <t>Dotacion de harrimientas tecnologicas para el desarrollo del programa investigando ando.</t>
  </si>
  <si>
    <t>COMISARIA DE FAMILIA</t>
  </si>
  <si>
    <t xml:space="preserve">INSPECCIONES DE POLICIA </t>
  </si>
  <si>
    <t>Adquisicion Areas Acueductos Municipales</t>
  </si>
  <si>
    <t>Derecho a Convocatoria Concursos de Meritos CNSC</t>
  </si>
  <si>
    <t>Bonificacion de Direccion y  Primas no factor salarial</t>
  </si>
  <si>
    <t>Fondo de Contigencia</t>
  </si>
  <si>
    <t>Transferencia Fenanper</t>
  </si>
  <si>
    <t>Comisaria de Familia</t>
  </si>
  <si>
    <t>PROYECTO</t>
  </si>
  <si>
    <t>DISTRIBUCION</t>
  </si>
  <si>
    <t>URBANO</t>
  </si>
  <si>
    <t>RURAL</t>
  </si>
  <si>
    <t>INDICADOR</t>
  </si>
  <si>
    <t>CDG</t>
  </si>
  <si>
    <t>No Poblacion beneficiada programada/Poblacion Municipal</t>
  </si>
  <si>
    <t>Desarrollo Social</t>
  </si>
  <si>
    <t>Poblacion Afiliada vigente/Poblacion Sisbenizada Mpio</t>
  </si>
  <si>
    <t>SECRETARIA RESPONSABLE</t>
  </si>
  <si>
    <t>Personal Vinculado/Prestaciones Sociales</t>
  </si>
  <si>
    <t>Gobierno y Administracion</t>
  </si>
  <si>
    <t>No Visitantes mas/Poblacion Beneficiada</t>
  </si>
  <si>
    <t>No Empresas/Poblacion Beneficiada</t>
  </si>
  <si>
    <t>Area Adecuada/beneficio</t>
  </si>
  <si>
    <t>Funcionamiento Comisaria de Familia</t>
  </si>
  <si>
    <t>F Microemprersarial Urbano y Rural</t>
  </si>
  <si>
    <t>Fondo Agropecuario Municipal</t>
  </si>
  <si>
    <t>Solidarida y Redistribucion Ingresos</t>
  </si>
  <si>
    <t>FONDO DE GARANTIAS</t>
  </si>
  <si>
    <t>EVENTOS Y CELEBRACIONES MUNICIPALES</t>
  </si>
  <si>
    <t>Apoyo a Eventos y Celebraciones Municipales</t>
  </si>
  <si>
    <t>Medio ambiente</t>
  </si>
  <si>
    <t>Mejoramiento Vias Urbanas y Rurales</t>
  </si>
  <si>
    <t>Mejoramiento Escenarios Deportivos</t>
  </si>
  <si>
    <t>Dotacion Matadero Municipal</t>
  </si>
  <si>
    <t>Todos y todas a la Escuelas</t>
  </si>
  <si>
    <t>Todos y Todas a la Escuela</t>
  </si>
  <si>
    <t>FONDO DE SALUD</t>
  </si>
  <si>
    <t>Mejoramiento y Operación Acueducto Puerto Carreño</t>
  </si>
  <si>
    <t>Saneamiento Basico Municipal Urbano y Rural</t>
  </si>
  <si>
    <t>Subsidios Prestacion Servicios Aseo Estratos 1 y 2</t>
  </si>
  <si>
    <t>Ampliacion y Mejoramiento Red Agua Lluvias Puerto Carreño</t>
  </si>
  <si>
    <t>Regimen Subdiado en Salud</t>
  </si>
  <si>
    <t>Salud Publica</t>
  </si>
  <si>
    <t>Escuelas de Formacion Deportivas</t>
  </si>
  <si>
    <t>Promocion de Eventos Deportivos y Recreativos</t>
  </si>
  <si>
    <t>Construccion, Mantenimiento Adecuacion Escenarios</t>
  </si>
  <si>
    <t>Puerto Carreño en Movimiento</t>
  </si>
  <si>
    <t>Dotacion Elementos Servicios Centros de Reclusion</t>
  </si>
  <si>
    <t>Actualizacion Sistema Informacion Financiera</t>
  </si>
  <si>
    <t>Gastos Nomina Inpecciones de Policia</t>
  </si>
  <si>
    <t>Gastos Nomina Comisaria de Familia</t>
  </si>
  <si>
    <t>Apoyo Fomento Empresarial</t>
  </si>
  <si>
    <t>Apoyo Fomento al Turismo</t>
  </si>
  <si>
    <t>Apoyo a la Ciencia y Tecnologia</t>
  </si>
  <si>
    <t>Adecuacion, Mejoram y Mantenim Matadero</t>
  </si>
  <si>
    <t>Cofinanciacion Proyectos Vivienda Interes Social</t>
  </si>
  <si>
    <t>Adquisicion Mantenimiento Zonas Interes Acueductos Mcpls(Ley 1151/07)</t>
  </si>
  <si>
    <t>Fondo Microempresarial</t>
  </si>
  <si>
    <t>Fondo Agropecuario</t>
  </si>
  <si>
    <t>Fondo Compensacion</t>
  </si>
  <si>
    <t>Eventos y Celebraciones Municipales</t>
  </si>
  <si>
    <t>Redistribucion de Ingresos</t>
  </si>
  <si>
    <t>Adecucacion Mantenimiento Instituciones Educativas</t>
  </si>
  <si>
    <t>Dotacion Nueva Sede Administrativa</t>
  </si>
  <si>
    <t>Adec Rehabilt Vias Urbanas y Rurales</t>
  </si>
  <si>
    <t>Mantenimiento Escenarios Deportivos</t>
  </si>
  <si>
    <t>Apoyo Sistema de Informacion</t>
  </si>
  <si>
    <t>FUNCIONAMIENTO INSPECCIONES DE  POLICIA</t>
  </si>
  <si>
    <t>FUNCIONAMIENTO COMISARIA DE FAMILIA</t>
  </si>
  <si>
    <t>Atencion Primera Infancia</t>
  </si>
  <si>
    <t>Apoyo a la Infancia y la Juventud</t>
  </si>
  <si>
    <t>Atencion Adulto Mayor</t>
  </si>
  <si>
    <t>Atencion Madres y Padres Cabeza de de Hogar</t>
  </si>
  <si>
    <t>ATENCION MADRES Y PADRES CABEZA DE HOGAR</t>
  </si>
  <si>
    <t>Atencion Desplazados</t>
  </si>
  <si>
    <t>Atencion Discapacitados</t>
  </si>
  <si>
    <t>Atencion Familias en Accion</t>
  </si>
  <si>
    <t>LIBRE INVERSION</t>
  </si>
  <si>
    <t>Cosntruccion Adquisicion Vivienda Nueva y Usada</t>
  </si>
  <si>
    <t>Fondo de Contigencias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</si>
</sst>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_ ;[Red]\-#,##0\ "/>
    <numFmt numFmtId="189" formatCode="_-* #,##0\ _P_t_s_-;\-* #,##0\ _P_t_s_-;_-* &quot;-&quot;??\ _P_t_s_-;_-@_-"/>
    <numFmt numFmtId="190" formatCode="General_)"/>
    <numFmt numFmtId="191" formatCode="#,##0;[Red]#,##0"/>
    <numFmt numFmtId="192" formatCode="0.0"/>
    <numFmt numFmtId="193" formatCode="_(* #,##0_);_(* \(#,##0\);_(* &quot;-&quot;??_);_(@_)"/>
    <numFmt numFmtId="194" formatCode="#,##0.0"/>
    <numFmt numFmtId="195" formatCode="_ * #,##0_ ;_ * \-#,##0_ ;_ * &quot;-&quot;??_ ;_ @_ "/>
    <numFmt numFmtId="196" formatCode="#,##0.000"/>
    <numFmt numFmtId="197" formatCode="_ * #,##0.0_ ;_ * \-#,##0.0_ ;_ * &quot;-&quot;??_ ;_ @_ "/>
    <numFmt numFmtId="198" formatCode="_(* #,##0.0_);_(* \(#,##0.0\);_(* &quot;-&quot;?_);_(@_)"/>
  </numFmts>
  <fonts count="104">
    <font>
      <sz val="10"/>
      <name val="Arial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Arial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58"/>
      <name val="Times New Roman"/>
      <family val="1"/>
    </font>
    <font>
      <sz val="10"/>
      <color indexed="58"/>
      <name val="Arial"/>
      <family val="2"/>
    </font>
    <font>
      <sz val="9"/>
      <name val="Times New Roman"/>
      <family val="1"/>
    </font>
    <font>
      <sz val="10"/>
      <name val="Courier"/>
      <family val="0"/>
    </font>
    <font>
      <b/>
      <sz val="10"/>
      <name val="Courier"/>
      <family val="0"/>
    </font>
    <font>
      <sz val="8"/>
      <name val="Times New Roman"/>
      <family val="1"/>
    </font>
    <font>
      <sz val="8"/>
      <name val="Courier"/>
      <family val="0"/>
    </font>
    <font>
      <b/>
      <sz val="9"/>
      <name val="Times New Roman"/>
      <family val="1"/>
    </font>
    <font>
      <b/>
      <sz val="9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Times New Roman"/>
      <family val="1"/>
    </font>
    <font>
      <b/>
      <sz val="10"/>
      <color indexed="5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Courier"/>
      <family val="0"/>
    </font>
    <font>
      <b/>
      <sz val="7"/>
      <name val="Times New Roman"/>
      <family val="1"/>
    </font>
    <font>
      <b/>
      <sz val="7"/>
      <name val="Courier"/>
      <family val="0"/>
    </font>
    <font>
      <b/>
      <sz val="7"/>
      <color indexed="10"/>
      <name val="Times New Roman"/>
      <family val="1"/>
    </font>
    <font>
      <sz val="7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sz val="8"/>
      <color indexed="10"/>
      <name val="Century Gothic"/>
      <family val="2"/>
    </font>
    <font>
      <b/>
      <sz val="8"/>
      <color indexed="10"/>
      <name val="Century Gothic"/>
      <family val="2"/>
    </font>
    <font>
      <b/>
      <sz val="10"/>
      <color indexed="18"/>
      <name val="Century Gothic"/>
      <family val="2"/>
    </font>
    <font>
      <b/>
      <sz val="10"/>
      <color indexed="56"/>
      <name val="Century Gothic"/>
      <family val="2"/>
    </font>
    <font>
      <b/>
      <sz val="10"/>
      <color indexed="10"/>
      <name val="Century Gothic"/>
      <family val="2"/>
    </font>
    <font>
      <sz val="11"/>
      <name val="Century Gothic"/>
      <family val="2"/>
    </font>
    <font>
      <sz val="11"/>
      <color indexed="10"/>
      <name val="Century Gothic"/>
      <family val="2"/>
    </font>
    <font>
      <b/>
      <sz val="12"/>
      <name val="Century Gothic"/>
      <family val="2"/>
    </font>
    <font>
      <sz val="9"/>
      <color indexed="10"/>
      <name val="Times New Roman"/>
      <family val="1"/>
    </font>
    <font>
      <sz val="9"/>
      <color indexed="58"/>
      <name val="Times New Roman"/>
      <family val="1"/>
    </font>
    <font>
      <sz val="9"/>
      <name val="Arial"/>
      <family val="0"/>
    </font>
    <font>
      <b/>
      <sz val="6"/>
      <name val="Tw Cen MT"/>
      <family val="2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Arial"/>
      <family val="0"/>
    </font>
    <font>
      <b/>
      <sz val="8"/>
      <name val="Arial"/>
      <family val="2"/>
    </font>
    <font>
      <sz val="12"/>
      <name val="Century Gothic"/>
      <family val="2"/>
    </font>
    <font>
      <b/>
      <sz val="12"/>
      <color indexed="10"/>
      <name val="Century Gothic"/>
      <family val="2"/>
    </font>
    <font>
      <b/>
      <sz val="12"/>
      <name val="Angsana New"/>
      <family val="1"/>
    </font>
    <font>
      <sz val="12"/>
      <color indexed="10"/>
      <name val="Angsana New"/>
      <family val="1"/>
    </font>
    <font>
      <sz val="12"/>
      <name val="Angsana New"/>
      <family val="1"/>
    </font>
    <font>
      <sz val="12"/>
      <color indexed="58"/>
      <name val="Angsana New"/>
      <family val="1"/>
    </font>
    <font>
      <b/>
      <sz val="12"/>
      <color indexed="10"/>
      <name val="Angsana New"/>
      <family val="1"/>
    </font>
    <font>
      <b/>
      <sz val="8"/>
      <color indexed="18"/>
      <name val="Century Gothic"/>
      <family val="2"/>
    </font>
    <font>
      <b/>
      <sz val="8"/>
      <color indexed="56"/>
      <name val="Century Gothic"/>
      <family val="2"/>
    </font>
    <font>
      <sz val="6"/>
      <name val="Century Gothic"/>
      <family val="2"/>
    </font>
    <font>
      <b/>
      <sz val="6"/>
      <color indexed="18"/>
      <name val="Century Gothic"/>
      <family val="2"/>
    </font>
    <font>
      <b/>
      <sz val="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entury Gothic"/>
      <family val="2"/>
    </font>
    <font>
      <sz val="6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sz val="11"/>
      <color rgb="FFFF0000"/>
      <name val="Century Gothic"/>
      <family val="2"/>
    </font>
    <font>
      <b/>
      <sz val="8"/>
      <color rgb="FFFF0000"/>
      <name val="Century Gothic"/>
      <family val="2"/>
    </font>
    <font>
      <sz val="8"/>
      <color rgb="FFFF0000"/>
      <name val="Century Gothic"/>
      <family val="2"/>
    </font>
    <font>
      <sz val="6"/>
      <color rgb="FFFF0000"/>
      <name val="Century Gothic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3" fillId="21" borderId="1" applyNumberFormat="0" applyAlignment="0" applyProtection="0"/>
    <xf numFmtId="0" fontId="84" fillId="22" borderId="2" applyNumberFormat="0" applyAlignment="0" applyProtection="0"/>
    <xf numFmtId="0" fontId="85" fillId="0" borderId="3" applyNumberFormat="0" applyFill="0" applyAlignment="0" applyProtection="0"/>
    <xf numFmtId="0" fontId="86" fillId="0" borderId="0" applyNumberFormat="0" applyFill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7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9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0" fillId="21" borderId="5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86" fillId="0" borderId="8" applyNumberFormat="0" applyFill="0" applyAlignment="0" applyProtection="0"/>
    <xf numFmtId="0" fontId="96" fillId="0" borderId="9" applyNumberFormat="0" applyFill="0" applyAlignment="0" applyProtection="0"/>
  </cellStyleXfs>
  <cellXfs count="765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horizontal="center"/>
    </xf>
    <xf numFmtId="188" fontId="1" fillId="33" borderId="10" xfId="0" applyNumberFormat="1" applyFont="1" applyFill="1" applyBorder="1" applyAlignment="1">
      <alignment horizontal="center"/>
    </xf>
    <xf numFmtId="9" fontId="1" fillId="33" borderId="10" xfId="0" applyNumberFormat="1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88" fontId="1" fillId="33" borderId="11" xfId="0" applyNumberFormat="1" applyFont="1" applyFill="1" applyBorder="1" applyAlignment="1">
      <alignment horizontal="center"/>
    </xf>
    <xf numFmtId="9" fontId="1" fillId="33" borderId="11" xfId="0" applyNumberFormat="1" applyFont="1" applyFill="1" applyBorder="1" applyAlignment="1">
      <alignment horizontal="center"/>
    </xf>
    <xf numFmtId="188" fontId="2" fillId="33" borderId="11" xfId="0" applyNumberFormat="1" applyFont="1" applyFill="1" applyBorder="1" applyAlignment="1">
      <alignment horizontal="center"/>
    </xf>
    <xf numFmtId="188" fontId="6" fillId="0" borderId="12" xfId="49" applyNumberFormat="1" applyFont="1" applyBorder="1" applyAlignment="1">
      <alignment/>
    </xf>
    <xf numFmtId="0" fontId="6" fillId="0" borderId="0" xfId="0" applyFont="1" applyAlignment="1">
      <alignment/>
    </xf>
    <xf numFmtId="188" fontId="1" fillId="0" borderId="12" xfId="0" applyNumberFormat="1" applyFont="1" applyBorder="1" applyAlignment="1">
      <alignment/>
    </xf>
    <xf numFmtId="188" fontId="0" fillId="0" borderId="12" xfId="49" applyNumberFormat="1" applyBorder="1" applyAlignment="1">
      <alignment/>
    </xf>
    <xf numFmtId="188" fontId="8" fillId="0" borderId="12" xfId="49" applyNumberFormat="1" applyFont="1" applyBorder="1" applyAlignment="1">
      <alignment/>
    </xf>
    <xf numFmtId="0" fontId="8" fillId="0" borderId="0" xfId="0" applyFont="1" applyAlignment="1">
      <alignment/>
    </xf>
    <xf numFmtId="188" fontId="0" fillId="0" borderId="12" xfId="0" applyNumberForma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4" fillId="0" borderId="13" xfId="0" applyNumberFormat="1" applyFont="1" applyBorder="1" applyAlignment="1">
      <alignment/>
    </xf>
    <xf numFmtId="188" fontId="3" fillId="0" borderId="13" xfId="49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88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188" fontId="4" fillId="0" borderId="0" xfId="49" applyNumberFormat="1" applyFont="1" applyBorder="1" applyAlignment="1">
      <alignment/>
    </xf>
    <xf numFmtId="188" fontId="3" fillId="0" borderId="0" xfId="49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88" fontId="1" fillId="0" borderId="0" xfId="49" applyNumberFormat="1" applyFont="1" applyBorder="1" applyAlignment="1">
      <alignment/>
    </xf>
    <xf numFmtId="190" fontId="4" fillId="0" borderId="0" xfId="55" applyFont="1" applyAlignment="1">
      <alignment horizontal="center"/>
      <protection/>
    </xf>
    <xf numFmtId="190" fontId="4" fillId="0" borderId="0" xfId="55" applyFont="1" applyAlignment="1" applyProtection="1">
      <alignment horizontal="center"/>
      <protection/>
    </xf>
    <xf numFmtId="191" fontId="4" fillId="0" borderId="0" xfId="55" applyNumberFormat="1" applyFont="1" applyAlignment="1" applyProtection="1">
      <alignment horizontal="center"/>
      <protection/>
    </xf>
    <xf numFmtId="10" fontId="4" fillId="0" borderId="0" xfId="55" applyNumberFormat="1" applyFont="1" applyAlignment="1" applyProtection="1">
      <alignment horizontal="center"/>
      <protection/>
    </xf>
    <xf numFmtId="3" fontId="1" fillId="0" borderId="0" xfId="55" applyNumberFormat="1" applyFont="1" applyAlignment="1">
      <alignment horizontal="center"/>
      <protection/>
    </xf>
    <xf numFmtId="3" fontId="1" fillId="0" borderId="0" xfId="55" applyNumberFormat="1" applyFont="1" applyAlignment="1" applyProtection="1">
      <alignment horizontal="center"/>
      <protection/>
    </xf>
    <xf numFmtId="190" fontId="1" fillId="0" borderId="0" xfId="55" applyFont="1">
      <alignment/>
      <protection/>
    </xf>
    <xf numFmtId="190" fontId="11" fillId="0" borderId="0" xfId="55" applyFont="1" applyAlignment="1">
      <alignment horizontal="center"/>
      <protection/>
    </xf>
    <xf numFmtId="190" fontId="12" fillId="34" borderId="10" xfId="55" applyFont="1" applyFill="1" applyBorder="1" applyAlignment="1" applyProtection="1">
      <alignment horizontal="center"/>
      <protection/>
    </xf>
    <xf numFmtId="190" fontId="12" fillId="34" borderId="14" xfId="55" applyFont="1" applyFill="1" applyBorder="1" applyAlignment="1" applyProtection="1">
      <alignment horizontal="center"/>
      <protection/>
    </xf>
    <xf numFmtId="191" fontId="12" fillId="34" borderId="14" xfId="55" applyNumberFormat="1" applyFont="1" applyFill="1" applyBorder="1" applyAlignment="1" applyProtection="1">
      <alignment horizontal="center"/>
      <protection/>
    </xf>
    <xf numFmtId="10" fontId="12" fillId="34" borderId="10" xfId="55" applyNumberFormat="1" applyFont="1" applyFill="1" applyBorder="1" applyAlignment="1" applyProtection="1">
      <alignment horizontal="center"/>
      <protection/>
    </xf>
    <xf numFmtId="190" fontId="12" fillId="0" borderId="0" xfId="55" applyFont="1" applyAlignment="1">
      <alignment horizontal="center"/>
      <protection/>
    </xf>
    <xf numFmtId="190" fontId="13" fillId="0" borderId="0" xfId="55" applyFont="1" applyAlignment="1">
      <alignment horizontal="center"/>
      <protection/>
    </xf>
    <xf numFmtId="190" fontId="12" fillId="34" borderId="15" xfId="55" applyFont="1" applyFill="1" applyBorder="1" applyAlignment="1" applyProtection="1">
      <alignment horizontal="center"/>
      <protection/>
    </xf>
    <xf numFmtId="190" fontId="12" fillId="34" borderId="16" xfId="55" applyFont="1" applyFill="1" applyBorder="1" applyAlignment="1">
      <alignment horizontal="center"/>
      <protection/>
    </xf>
    <xf numFmtId="191" fontId="12" fillId="34" borderId="16" xfId="55" applyNumberFormat="1" applyFont="1" applyFill="1" applyBorder="1" applyAlignment="1" applyProtection="1">
      <alignment horizontal="center"/>
      <protection/>
    </xf>
    <xf numFmtId="10" fontId="12" fillId="34" borderId="15" xfId="55" applyNumberFormat="1" applyFont="1" applyFill="1" applyBorder="1" applyAlignment="1" applyProtection="1">
      <alignment horizontal="center"/>
      <protection/>
    </xf>
    <xf numFmtId="3" fontId="12" fillId="34" borderId="15" xfId="55" applyNumberFormat="1" applyFont="1" applyFill="1" applyBorder="1" applyAlignment="1">
      <alignment horizontal="center"/>
      <protection/>
    </xf>
    <xf numFmtId="3" fontId="12" fillId="34" borderId="16" xfId="55" applyNumberFormat="1" applyFont="1" applyFill="1" applyBorder="1" applyAlignment="1">
      <alignment horizontal="center"/>
      <protection/>
    </xf>
    <xf numFmtId="190" fontId="12" fillId="34" borderId="16" xfId="55" applyFont="1" applyFill="1" applyBorder="1" applyAlignment="1" applyProtection="1">
      <alignment horizontal="center"/>
      <protection/>
    </xf>
    <xf numFmtId="190" fontId="1" fillId="0" borderId="12" xfId="55" applyFont="1" applyBorder="1" applyAlignment="1" applyProtection="1">
      <alignment horizontal="center"/>
      <protection/>
    </xf>
    <xf numFmtId="190" fontId="1" fillId="0" borderId="0" xfId="55" applyFont="1" applyBorder="1" applyAlignment="1" applyProtection="1">
      <alignment horizontal="left"/>
      <protection/>
    </xf>
    <xf numFmtId="191" fontId="1" fillId="0" borderId="0" xfId="55" applyNumberFormat="1" applyFont="1" applyBorder="1" applyAlignment="1" applyProtection="1">
      <alignment horizontal="center"/>
      <protection/>
    </xf>
    <xf numFmtId="10" fontId="1" fillId="0" borderId="12" xfId="55" applyNumberFormat="1" applyFont="1" applyBorder="1" applyAlignment="1" applyProtection="1">
      <alignment horizontal="center"/>
      <protection/>
    </xf>
    <xf numFmtId="37" fontId="1" fillId="0" borderId="0" xfId="55" applyNumberFormat="1" applyFont="1" applyBorder="1" applyProtection="1">
      <alignment/>
      <protection/>
    </xf>
    <xf numFmtId="37" fontId="1" fillId="0" borderId="12" xfId="55" applyNumberFormat="1" applyFont="1" applyBorder="1" applyProtection="1">
      <alignment/>
      <protection/>
    </xf>
    <xf numFmtId="190" fontId="1" fillId="0" borderId="0" xfId="55" applyFont="1" applyBorder="1">
      <alignment/>
      <protection/>
    </xf>
    <xf numFmtId="190" fontId="10" fillId="0" borderId="0" xfId="55" applyFont="1">
      <alignment/>
      <protection/>
    </xf>
    <xf numFmtId="37" fontId="1" fillId="0" borderId="0" xfId="55" applyNumberFormat="1" applyFont="1" applyProtection="1">
      <alignment/>
      <protection/>
    </xf>
    <xf numFmtId="37" fontId="1" fillId="0" borderId="12" xfId="55" applyNumberFormat="1" applyFont="1" applyBorder="1" applyAlignment="1" applyProtection="1">
      <alignment horizontal="center"/>
      <protection/>
    </xf>
    <xf numFmtId="190" fontId="10" fillId="0" borderId="0" xfId="55" applyFont="1">
      <alignment/>
      <protection/>
    </xf>
    <xf numFmtId="37" fontId="1" fillId="0" borderId="11" xfId="55" applyNumberFormat="1" applyFont="1" applyBorder="1" applyProtection="1">
      <alignment/>
      <protection/>
    </xf>
    <xf numFmtId="190" fontId="4" fillId="0" borderId="13" xfId="55" applyFont="1" applyBorder="1" applyAlignment="1" applyProtection="1">
      <alignment horizontal="center"/>
      <protection/>
    </xf>
    <xf numFmtId="190" fontId="4" fillId="0" borderId="17" xfId="55" applyFont="1" applyBorder="1" applyAlignment="1" applyProtection="1">
      <alignment horizontal="left"/>
      <protection/>
    </xf>
    <xf numFmtId="190" fontId="4" fillId="0" borderId="13" xfId="55" applyFont="1" applyBorder="1">
      <alignment/>
      <protection/>
    </xf>
    <xf numFmtId="191" fontId="4" fillId="0" borderId="17" xfId="55" applyNumberFormat="1" applyFont="1" applyBorder="1">
      <alignment/>
      <protection/>
    </xf>
    <xf numFmtId="10" fontId="4" fillId="0" borderId="13" xfId="55" applyNumberFormat="1" applyFont="1" applyBorder="1">
      <alignment/>
      <protection/>
    </xf>
    <xf numFmtId="38" fontId="4" fillId="0" borderId="17" xfId="55" applyNumberFormat="1" applyFont="1" applyBorder="1" applyAlignment="1" applyProtection="1">
      <alignment horizontal="center"/>
      <protection/>
    </xf>
    <xf numFmtId="38" fontId="4" fillId="0" borderId="13" xfId="55" applyNumberFormat="1" applyFont="1" applyBorder="1" applyAlignment="1" applyProtection="1">
      <alignment horizontal="center"/>
      <protection/>
    </xf>
    <xf numFmtId="37" fontId="4" fillId="0" borderId="0" xfId="55" applyNumberFormat="1" applyFont="1" applyProtection="1">
      <alignment/>
      <protection/>
    </xf>
    <xf numFmtId="190" fontId="4" fillId="0" borderId="0" xfId="55" applyFont="1">
      <alignment/>
      <protection/>
    </xf>
    <xf numFmtId="190" fontId="11" fillId="0" borderId="0" xfId="55" applyFont="1">
      <alignment/>
      <protection/>
    </xf>
    <xf numFmtId="190" fontId="4" fillId="0" borderId="12" xfId="55" applyFont="1" applyBorder="1" applyAlignment="1" applyProtection="1">
      <alignment horizontal="center"/>
      <protection/>
    </xf>
    <xf numFmtId="190" fontId="4" fillId="0" borderId="0" xfId="55" applyFont="1" applyBorder="1" applyAlignment="1" applyProtection="1">
      <alignment horizontal="left"/>
      <protection/>
    </xf>
    <xf numFmtId="190" fontId="4" fillId="0" borderId="12" xfId="55" applyFont="1" applyBorder="1">
      <alignment/>
      <protection/>
    </xf>
    <xf numFmtId="191" fontId="4" fillId="0" borderId="0" xfId="55" applyNumberFormat="1" applyFont="1" applyBorder="1">
      <alignment/>
      <protection/>
    </xf>
    <xf numFmtId="10" fontId="4" fillId="0" borderId="12" xfId="55" applyNumberFormat="1" applyFont="1" applyBorder="1">
      <alignment/>
      <protection/>
    </xf>
    <xf numFmtId="38" fontId="4" fillId="0" borderId="0" xfId="55" applyNumberFormat="1" applyFont="1" applyBorder="1" applyAlignment="1" applyProtection="1">
      <alignment horizontal="center"/>
      <protection/>
    </xf>
    <xf numFmtId="38" fontId="4" fillId="0" borderId="12" xfId="55" applyNumberFormat="1" applyFont="1" applyBorder="1" applyAlignment="1" applyProtection="1">
      <alignment horizontal="center"/>
      <protection/>
    </xf>
    <xf numFmtId="190" fontId="1" fillId="0" borderId="12" xfId="55" applyFont="1" applyBorder="1" applyAlignment="1">
      <alignment horizontal="center"/>
      <protection/>
    </xf>
    <xf numFmtId="190" fontId="1" fillId="0" borderId="12" xfId="55" applyFont="1" applyBorder="1">
      <alignment/>
      <protection/>
    </xf>
    <xf numFmtId="191" fontId="1" fillId="0" borderId="0" xfId="55" applyNumberFormat="1" applyFont="1">
      <alignment/>
      <protection/>
    </xf>
    <xf numFmtId="10" fontId="1" fillId="0" borderId="12" xfId="55" applyNumberFormat="1" applyFont="1" applyBorder="1">
      <alignment/>
      <protection/>
    </xf>
    <xf numFmtId="190" fontId="10" fillId="0" borderId="0" xfId="55">
      <alignment/>
      <protection/>
    </xf>
    <xf numFmtId="190" fontId="14" fillId="34" borderId="10" xfId="55" applyFont="1" applyFill="1" applyBorder="1" applyAlignment="1" applyProtection="1">
      <alignment horizontal="center"/>
      <protection/>
    </xf>
    <xf numFmtId="190" fontId="14" fillId="34" borderId="14" xfId="55" applyFont="1" applyFill="1" applyBorder="1" applyAlignment="1" applyProtection="1">
      <alignment horizontal="center"/>
      <protection/>
    </xf>
    <xf numFmtId="191" fontId="14" fillId="34" borderId="14" xfId="55" applyNumberFormat="1" applyFont="1" applyFill="1" applyBorder="1" applyAlignment="1" applyProtection="1">
      <alignment horizontal="center"/>
      <protection/>
    </xf>
    <xf numFmtId="10" fontId="14" fillId="34" borderId="10" xfId="55" applyNumberFormat="1" applyFont="1" applyFill="1" applyBorder="1" applyAlignment="1" applyProtection="1">
      <alignment horizontal="center"/>
      <protection/>
    </xf>
    <xf numFmtId="190" fontId="14" fillId="0" borderId="0" xfId="55" applyFont="1" applyAlignment="1">
      <alignment horizontal="center"/>
      <protection/>
    </xf>
    <xf numFmtId="190" fontId="15" fillId="0" borderId="0" xfId="55" applyFont="1" applyAlignment="1">
      <alignment horizontal="center"/>
      <protection/>
    </xf>
    <xf numFmtId="190" fontId="14" fillId="34" borderId="15" xfId="55" applyFont="1" applyFill="1" applyBorder="1" applyAlignment="1" applyProtection="1">
      <alignment horizontal="center"/>
      <protection/>
    </xf>
    <xf numFmtId="190" fontId="14" fillId="34" borderId="16" xfId="55" applyFont="1" applyFill="1" applyBorder="1" applyAlignment="1">
      <alignment horizontal="center"/>
      <protection/>
    </xf>
    <xf numFmtId="191" fontId="14" fillId="34" borderId="16" xfId="55" applyNumberFormat="1" applyFont="1" applyFill="1" applyBorder="1" applyAlignment="1" applyProtection="1">
      <alignment horizontal="center"/>
      <protection/>
    </xf>
    <xf numFmtId="10" fontId="14" fillId="34" borderId="15" xfId="55" applyNumberFormat="1" applyFont="1" applyFill="1" applyBorder="1" applyAlignment="1" applyProtection="1">
      <alignment horizontal="center"/>
      <protection/>
    </xf>
    <xf numFmtId="190" fontId="14" fillId="34" borderId="16" xfId="55" applyFont="1" applyFill="1" applyBorder="1" applyAlignment="1" applyProtection="1">
      <alignment horizontal="center"/>
      <protection/>
    </xf>
    <xf numFmtId="3" fontId="14" fillId="34" borderId="15" xfId="55" applyNumberFormat="1" applyFont="1" applyFill="1" applyBorder="1" applyAlignment="1">
      <alignment horizontal="center"/>
      <protection/>
    </xf>
    <xf numFmtId="3" fontId="14" fillId="34" borderId="16" xfId="55" applyNumberFormat="1" applyFont="1" applyFill="1" applyBorder="1" applyAlignment="1">
      <alignment horizontal="center"/>
      <protection/>
    </xf>
    <xf numFmtId="3" fontId="1" fillId="0" borderId="0" xfId="55" applyNumberFormat="1" applyFont="1" applyBorder="1">
      <alignment/>
      <protection/>
    </xf>
    <xf numFmtId="190" fontId="4" fillId="0" borderId="0" xfId="55" applyFont="1" applyBorder="1" applyAlignment="1" applyProtection="1">
      <alignment horizontal="center"/>
      <protection/>
    </xf>
    <xf numFmtId="190" fontId="4" fillId="0" borderId="0" xfId="55" applyFont="1" applyBorder="1">
      <alignment/>
      <protection/>
    </xf>
    <xf numFmtId="10" fontId="4" fillId="0" borderId="0" xfId="55" applyNumberFormat="1" applyFont="1" applyBorder="1">
      <alignment/>
      <protection/>
    </xf>
    <xf numFmtId="190" fontId="1" fillId="0" borderId="0" xfId="55" applyFont="1" applyAlignment="1">
      <alignment horizontal="center"/>
      <protection/>
    </xf>
    <xf numFmtId="10" fontId="1" fillId="0" borderId="0" xfId="55" applyNumberFormat="1" applyFont="1">
      <alignment/>
      <protection/>
    </xf>
    <xf numFmtId="1" fontId="1" fillId="0" borderId="0" xfId="54" applyNumberFormat="1" applyFont="1" applyAlignment="1">
      <alignment horizontal="left"/>
      <protection/>
    </xf>
    <xf numFmtId="191" fontId="1" fillId="0" borderId="0" xfId="54" applyNumberFormat="1" applyFont="1">
      <alignment/>
      <protection/>
    </xf>
    <xf numFmtId="0" fontId="0" fillId="0" borderId="0" xfId="54">
      <alignment/>
      <protection/>
    </xf>
    <xf numFmtId="191" fontId="1" fillId="0" borderId="0" xfId="54" applyNumberFormat="1" applyFont="1" applyBorder="1" applyAlignment="1">
      <alignment horizontal="left"/>
      <protection/>
    </xf>
    <xf numFmtId="1" fontId="1" fillId="0" borderId="0" xfId="54" applyNumberFormat="1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191" fontId="1" fillId="0" borderId="0" xfId="54" applyNumberFormat="1" applyFont="1" applyBorder="1" applyAlignment="1">
      <alignment horizontal="center"/>
      <protection/>
    </xf>
    <xf numFmtId="1" fontId="1" fillId="33" borderId="18" xfId="54" applyNumberFormat="1" applyFont="1" applyFill="1" applyBorder="1" applyAlignment="1">
      <alignment horizontal="center"/>
      <protection/>
    </xf>
    <xf numFmtId="0" fontId="1" fillId="33" borderId="10" xfId="54" applyFont="1" applyFill="1" applyBorder="1" applyAlignment="1">
      <alignment horizontal="center"/>
      <protection/>
    </xf>
    <xf numFmtId="191" fontId="1" fillId="33" borderId="10" xfId="54" applyNumberFormat="1" applyFont="1" applyFill="1" applyBorder="1" applyAlignment="1">
      <alignment horizontal="center"/>
      <protection/>
    </xf>
    <xf numFmtId="0" fontId="3" fillId="0" borderId="0" xfId="54" applyFont="1">
      <alignment/>
      <protection/>
    </xf>
    <xf numFmtId="1" fontId="1" fillId="33" borderId="19" xfId="54" applyNumberFormat="1" applyFont="1" applyFill="1" applyBorder="1" applyAlignment="1">
      <alignment horizontal="center"/>
      <protection/>
    </xf>
    <xf numFmtId="0" fontId="1" fillId="33" borderId="11" xfId="54" applyFont="1" applyFill="1" applyBorder="1" applyAlignment="1">
      <alignment horizontal="center"/>
      <protection/>
    </xf>
    <xf numFmtId="191" fontId="1" fillId="33" borderId="11" xfId="54" applyNumberFormat="1" applyFont="1" applyFill="1" applyBorder="1" applyAlignment="1">
      <alignment horizontal="center"/>
      <protection/>
    </xf>
    <xf numFmtId="1" fontId="4" fillId="0" borderId="11" xfId="54" applyNumberFormat="1" applyFont="1" applyFill="1" applyBorder="1" applyAlignment="1">
      <alignment horizontal="left"/>
      <protection/>
    </xf>
    <xf numFmtId="0" fontId="4" fillId="0" borderId="11" xfId="54" applyFont="1" applyFill="1" applyBorder="1">
      <alignment/>
      <protection/>
    </xf>
    <xf numFmtId="191" fontId="4" fillId="0" borderId="11" xfId="54" applyNumberFormat="1" applyFont="1" applyFill="1" applyBorder="1">
      <alignment/>
      <protection/>
    </xf>
    <xf numFmtId="0" fontId="0" fillId="0" borderId="0" xfId="54" applyFill="1">
      <alignment/>
      <protection/>
    </xf>
    <xf numFmtId="1" fontId="1" fillId="0" borderId="13" xfId="54" applyNumberFormat="1" applyFont="1" applyFill="1" applyBorder="1" applyAlignment="1">
      <alignment horizontal="left"/>
      <protection/>
    </xf>
    <xf numFmtId="0" fontId="1" fillId="0" borderId="13" xfId="54" applyFont="1" applyFill="1" applyBorder="1">
      <alignment/>
      <protection/>
    </xf>
    <xf numFmtId="191" fontId="1" fillId="0" borderId="11" xfId="54" applyNumberFormat="1" applyFont="1" applyFill="1" applyBorder="1">
      <alignment/>
      <protection/>
    </xf>
    <xf numFmtId="3" fontId="1" fillId="0" borderId="13" xfId="54" applyNumberFormat="1" applyFont="1" applyFill="1" applyBorder="1">
      <alignment/>
      <protection/>
    </xf>
    <xf numFmtId="1" fontId="4" fillId="0" borderId="13" xfId="54" applyNumberFormat="1" applyFont="1" applyFill="1" applyBorder="1" applyAlignment="1">
      <alignment horizontal="left"/>
      <protection/>
    </xf>
    <xf numFmtId="3" fontId="4" fillId="0" borderId="13" xfId="54" applyNumberFormat="1" applyFont="1" applyFill="1" applyBorder="1">
      <alignment/>
      <protection/>
    </xf>
    <xf numFmtId="3" fontId="18" fillId="0" borderId="0" xfId="0" applyNumberFormat="1" applyFont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3" fillId="0" borderId="0" xfId="54" applyFont="1" applyFill="1">
      <alignment/>
      <protection/>
    </xf>
    <xf numFmtId="0" fontId="1" fillId="0" borderId="12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188" fontId="5" fillId="0" borderId="13" xfId="49" applyNumberFormat="1" applyFont="1" applyBorder="1" applyAlignment="1">
      <alignment/>
    </xf>
    <xf numFmtId="188" fontId="5" fillId="0" borderId="13" xfId="0" applyNumberFormat="1" applyFont="1" applyBorder="1" applyAlignment="1">
      <alignment/>
    </xf>
    <xf numFmtId="9" fontId="5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188" fontId="1" fillId="0" borderId="13" xfId="49" applyNumberFormat="1" applyFont="1" applyBorder="1" applyAlignment="1">
      <alignment/>
    </xf>
    <xf numFmtId="188" fontId="1" fillId="0" borderId="13" xfId="0" applyNumberFormat="1" applyFont="1" applyBorder="1" applyAlignment="1">
      <alignment/>
    </xf>
    <xf numFmtId="9" fontId="1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188" fontId="7" fillId="0" borderId="13" xfId="49" applyNumberFormat="1" applyFont="1" applyBorder="1" applyAlignment="1">
      <alignment/>
    </xf>
    <xf numFmtId="9" fontId="7" fillId="0" borderId="13" xfId="0" applyNumberFormat="1" applyFont="1" applyBorder="1" applyAlignment="1">
      <alignment/>
    </xf>
    <xf numFmtId="189" fontId="1" fillId="0" borderId="13" xfId="48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3" fontId="1" fillId="0" borderId="0" xfId="54" applyNumberFormat="1" applyFont="1" applyFill="1" applyBorder="1">
      <alignment/>
      <protection/>
    </xf>
    <xf numFmtId="0" fontId="19" fillId="0" borderId="13" xfId="0" applyFont="1" applyBorder="1" applyAlignment="1">
      <alignment/>
    </xf>
    <xf numFmtId="0" fontId="19" fillId="0" borderId="13" xfId="0" applyFont="1" applyFill="1" applyBorder="1" applyAlignment="1">
      <alignment/>
    </xf>
    <xf numFmtId="188" fontId="0" fillId="0" borderId="20" xfId="49" applyNumberFormat="1" applyBorder="1" applyAlignment="1">
      <alignment/>
    </xf>
    <xf numFmtId="191" fontId="1" fillId="0" borderId="13" xfId="54" applyNumberFormat="1" applyFont="1" applyFill="1" applyBorder="1">
      <alignment/>
      <protection/>
    </xf>
    <xf numFmtId="0" fontId="3" fillId="0" borderId="0" xfId="0" applyFont="1" applyAlignment="1">
      <alignment horizontal="left"/>
    </xf>
    <xf numFmtId="188" fontId="1" fillId="0" borderId="20" xfId="0" applyNumberFormat="1" applyFont="1" applyBorder="1" applyAlignment="1">
      <alignment/>
    </xf>
    <xf numFmtId="190" fontId="12" fillId="34" borderId="18" xfId="55" applyFont="1" applyFill="1" applyBorder="1" applyAlignment="1" applyProtection="1">
      <alignment horizontal="center"/>
      <protection/>
    </xf>
    <xf numFmtId="190" fontId="12" fillId="34" borderId="21" xfId="55" applyFont="1" applyFill="1" applyBorder="1" applyAlignment="1" applyProtection="1">
      <alignment horizontal="center"/>
      <protection/>
    </xf>
    <xf numFmtId="37" fontId="1" fillId="0" borderId="22" xfId="55" applyNumberFormat="1" applyFont="1" applyBorder="1" applyProtection="1">
      <alignment/>
      <protection/>
    </xf>
    <xf numFmtId="38" fontId="4" fillId="0" borderId="23" xfId="55" applyNumberFormat="1" applyFont="1" applyBorder="1" applyAlignment="1" applyProtection="1">
      <alignment horizontal="center"/>
      <protection/>
    </xf>
    <xf numFmtId="38" fontId="4" fillId="0" borderId="22" xfId="55" applyNumberFormat="1" applyFont="1" applyBorder="1" applyAlignment="1" applyProtection="1">
      <alignment horizontal="center"/>
      <protection/>
    </xf>
    <xf numFmtId="190" fontId="1" fillId="0" borderId="22" xfId="55" applyFont="1" applyBorder="1">
      <alignment/>
      <protection/>
    </xf>
    <xf numFmtId="190" fontId="14" fillId="34" borderId="18" xfId="55" applyFont="1" applyFill="1" applyBorder="1" applyAlignment="1" applyProtection="1">
      <alignment horizontal="center"/>
      <protection/>
    </xf>
    <xf numFmtId="190" fontId="14" fillId="34" borderId="21" xfId="55" applyFont="1" applyFill="1" applyBorder="1" applyAlignment="1" applyProtection="1">
      <alignment horizontal="center"/>
      <protection/>
    </xf>
    <xf numFmtId="38" fontId="4" fillId="0" borderId="24" xfId="55" applyNumberFormat="1" applyFont="1" applyBorder="1" applyAlignment="1" applyProtection="1">
      <alignment horizontal="center"/>
      <protection/>
    </xf>
    <xf numFmtId="190" fontId="12" fillId="34" borderId="11" xfId="55" applyFont="1" applyFill="1" applyBorder="1" applyAlignment="1" applyProtection="1">
      <alignment horizontal="center"/>
      <protection/>
    </xf>
    <xf numFmtId="188" fontId="0" fillId="0" borderId="20" xfId="0" applyNumberFormat="1" applyBorder="1" applyAlignment="1">
      <alignment/>
    </xf>
    <xf numFmtId="0" fontId="0" fillId="0" borderId="13" xfId="0" applyBorder="1" applyAlignment="1">
      <alignment/>
    </xf>
    <xf numFmtId="1" fontId="1" fillId="0" borderId="0" xfId="54" applyNumberFormat="1" applyFont="1" applyFill="1" applyBorder="1" applyAlignment="1">
      <alignment horizontal="left"/>
      <protection/>
    </xf>
    <xf numFmtId="191" fontId="1" fillId="0" borderId="0" xfId="54" applyNumberFormat="1" applyFont="1" applyFill="1" applyBorder="1">
      <alignment/>
      <protection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3" fontId="1" fillId="0" borderId="13" xfId="48" applyNumberFormat="1" applyFont="1" applyBorder="1" applyAlignment="1">
      <alignment horizontal="right"/>
    </xf>
    <xf numFmtId="3" fontId="1" fillId="0" borderId="13" xfId="48" applyNumberFormat="1" applyFont="1" applyBorder="1" applyAlignment="1">
      <alignment/>
    </xf>
    <xf numFmtId="3" fontId="7" fillId="0" borderId="13" xfId="48" applyNumberFormat="1" applyFont="1" applyBorder="1" applyAlignment="1">
      <alignment/>
    </xf>
    <xf numFmtId="3" fontId="5" fillId="0" borderId="13" xfId="49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13" xfId="0" applyNumberFormat="1" applyFont="1" applyBorder="1" applyAlignment="1">
      <alignment/>
    </xf>
    <xf numFmtId="3" fontId="5" fillId="0" borderId="13" xfId="48" applyNumberFormat="1" applyFont="1" applyBorder="1" applyAlignment="1">
      <alignment/>
    </xf>
    <xf numFmtId="9" fontId="12" fillId="34" borderId="10" xfId="55" applyNumberFormat="1" applyFont="1" applyFill="1" applyBorder="1" applyAlignment="1" applyProtection="1">
      <alignment horizontal="center"/>
      <protection/>
    </xf>
    <xf numFmtId="188" fontId="1" fillId="0" borderId="12" xfId="49" applyNumberFormat="1" applyFont="1" applyFill="1" applyBorder="1" applyAlignment="1">
      <alignment/>
    </xf>
    <xf numFmtId="196" fontId="1" fillId="0" borderId="13" xfId="0" applyNumberFormat="1" applyFont="1" applyBorder="1" applyAlignment="1">
      <alignment/>
    </xf>
    <xf numFmtId="188" fontId="1" fillId="0" borderId="13" xfId="49" applyNumberFormat="1" applyFont="1" applyFill="1" applyBorder="1" applyAlignment="1">
      <alignment/>
    </xf>
    <xf numFmtId="188" fontId="5" fillId="0" borderId="13" xfId="49" applyNumberFormat="1" applyFont="1" applyFill="1" applyBorder="1" applyAlignment="1">
      <alignment/>
    </xf>
    <xf numFmtId="190" fontId="12" fillId="34" borderId="0" xfId="55" applyFont="1" applyFill="1" applyBorder="1" applyAlignment="1" applyProtection="1">
      <alignment horizontal="center"/>
      <protection/>
    </xf>
    <xf numFmtId="190" fontId="14" fillId="34" borderId="0" xfId="55" applyFont="1" applyFill="1" applyBorder="1" applyAlignment="1" applyProtection="1">
      <alignment horizontal="center"/>
      <protection/>
    </xf>
    <xf numFmtId="190" fontId="12" fillId="34" borderId="22" xfId="55" applyFont="1" applyFill="1" applyBorder="1" applyAlignment="1" applyProtection="1">
      <alignment horizontal="center"/>
      <protection/>
    </xf>
    <xf numFmtId="190" fontId="12" fillId="34" borderId="19" xfId="55" applyFont="1" applyFill="1" applyBorder="1" applyAlignment="1" applyProtection="1">
      <alignment horizontal="center"/>
      <protection/>
    </xf>
    <xf numFmtId="190" fontId="14" fillId="34" borderId="22" xfId="55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190" fontId="22" fillId="0" borderId="0" xfId="55" applyFont="1" applyAlignment="1">
      <alignment horizontal="center"/>
      <protection/>
    </xf>
    <xf numFmtId="190" fontId="22" fillId="0" borderId="0" xfId="55" applyFont="1">
      <alignment/>
      <protection/>
    </xf>
    <xf numFmtId="191" fontId="22" fillId="0" borderId="0" xfId="55" applyNumberFormat="1" applyFont="1">
      <alignment/>
      <protection/>
    </xf>
    <xf numFmtId="10" fontId="22" fillId="0" borderId="0" xfId="55" applyNumberFormat="1" applyFont="1">
      <alignment/>
      <protection/>
    </xf>
    <xf numFmtId="190" fontId="23" fillId="0" borderId="0" xfId="55" applyFont="1">
      <alignment/>
      <protection/>
    </xf>
    <xf numFmtId="190" fontId="24" fillId="0" borderId="0" xfId="55" applyFont="1" applyAlignment="1">
      <alignment horizontal="center"/>
      <protection/>
    </xf>
    <xf numFmtId="190" fontId="24" fillId="0" borderId="0" xfId="55" applyFont="1" applyAlignment="1" applyProtection="1">
      <alignment horizontal="center"/>
      <protection/>
    </xf>
    <xf numFmtId="191" fontId="24" fillId="0" borderId="0" xfId="55" applyNumberFormat="1" applyFont="1" applyAlignment="1" applyProtection="1">
      <alignment horizontal="center"/>
      <protection/>
    </xf>
    <xf numFmtId="10" fontId="24" fillId="0" borderId="0" xfId="55" applyNumberFormat="1" applyFont="1" applyAlignment="1" applyProtection="1">
      <alignment horizontal="center"/>
      <protection/>
    </xf>
    <xf numFmtId="3" fontId="22" fillId="0" borderId="0" xfId="55" applyNumberFormat="1" applyFont="1" applyAlignment="1">
      <alignment horizontal="center"/>
      <protection/>
    </xf>
    <xf numFmtId="3" fontId="22" fillId="0" borderId="0" xfId="55" applyNumberFormat="1" applyFont="1" applyAlignment="1" applyProtection="1">
      <alignment horizontal="center"/>
      <protection/>
    </xf>
    <xf numFmtId="190" fontId="25" fillId="0" borderId="0" xfId="55" applyFont="1" applyAlignment="1">
      <alignment horizontal="center"/>
      <protection/>
    </xf>
    <xf numFmtId="190" fontId="22" fillId="34" borderId="10" xfId="55" applyFont="1" applyFill="1" applyBorder="1" applyAlignment="1" applyProtection="1">
      <alignment horizontal="center"/>
      <protection/>
    </xf>
    <xf numFmtId="190" fontId="22" fillId="34" borderId="14" xfId="55" applyFont="1" applyFill="1" applyBorder="1" applyAlignment="1" applyProtection="1">
      <alignment horizontal="center"/>
      <protection/>
    </xf>
    <xf numFmtId="191" fontId="22" fillId="34" borderId="14" xfId="55" applyNumberFormat="1" applyFont="1" applyFill="1" applyBorder="1" applyAlignment="1" applyProtection="1">
      <alignment horizontal="center"/>
      <protection/>
    </xf>
    <xf numFmtId="10" fontId="22" fillId="34" borderId="10" xfId="55" applyNumberFormat="1" applyFont="1" applyFill="1" applyBorder="1" applyAlignment="1" applyProtection="1">
      <alignment horizontal="center"/>
      <protection/>
    </xf>
    <xf numFmtId="190" fontId="22" fillId="34" borderId="18" xfId="55" applyFont="1" applyFill="1" applyBorder="1" applyAlignment="1" applyProtection="1">
      <alignment horizontal="center"/>
      <protection/>
    </xf>
    <xf numFmtId="9" fontId="22" fillId="34" borderId="10" xfId="55" applyNumberFormat="1" applyFont="1" applyFill="1" applyBorder="1" applyAlignment="1" applyProtection="1">
      <alignment horizontal="center"/>
      <protection/>
    </xf>
    <xf numFmtId="190" fontId="23" fillId="0" borderId="0" xfId="55" applyFont="1" applyAlignment="1">
      <alignment horizontal="center"/>
      <protection/>
    </xf>
    <xf numFmtId="190" fontId="22" fillId="34" borderId="15" xfId="55" applyFont="1" applyFill="1" applyBorder="1" applyAlignment="1" applyProtection="1">
      <alignment horizontal="center"/>
      <protection/>
    </xf>
    <xf numFmtId="190" fontId="22" fillId="34" borderId="16" xfId="55" applyFont="1" applyFill="1" applyBorder="1" applyAlignment="1">
      <alignment horizontal="center"/>
      <protection/>
    </xf>
    <xf numFmtId="191" fontId="22" fillId="34" borderId="16" xfId="55" applyNumberFormat="1" applyFont="1" applyFill="1" applyBorder="1" applyAlignment="1" applyProtection="1">
      <alignment horizontal="center"/>
      <protection/>
    </xf>
    <xf numFmtId="10" fontId="22" fillId="34" borderId="15" xfId="55" applyNumberFormat="1" applyFont="1" applyFill="1" applyBorder="1" applyAlignment="1" applyProtection="1">
      <alignment horizontal="center"/>
      <protection/>
    </xf>
    <xf numFmtId="3" fontId="22" fillId="34" borderId="15" xfId="55" applyNumberFormat="1" applyFont="1" applyFill="1" applyBorder="1" applyAlignment="1">
      <alignment horizontal="center"/>
      <protection/>
    </xf>
    <xf numFmtId="3" fontId="22" fillId="34" borderId="16" xfId="55" applyNumberFormat="1" applyFont="1" applyFill="1" applyBorder="1" applyAlignment="1">
      <alignment horizontal="center"/>
      <protection/>
    </xf>
    <xf numFmtId="190" fontId="22" fillId="34" borderId="16" xfId="55" applyFont="1" applyFill="1" applyBorder="1" applyAlignment="1" applyProtection="1">
      <alignment horizontal="center"/>
      <protection/>
    </xf>
    <xf numFmtId="190" fontId="22" fillId="34" borderId="21" xfId="55" applyFont="1" applyFill="1" applyBorder="1" applyAlignment="1" applyProtection="1">
      <alignment horizontal="center"/>
      <protection/>
    </xf>
    <xf numFmtId="190" fontId="22" fillId="34" borderId="11" xfId="55" applyFont="1" applyFill="1" applyBorder="1" applyAlignment="1" applyProtection="1">
      <alignment horizontal="center"/>
      <protection/>
    </xf>
    <xf numFmtId="190" fontId="22" fillId="34" borderId="0" xfId="55" applyFont="1" applyFill="1" applyBorder="1" applyAlignment="1" applyProtection="1">
      <alignment horizontal="center"/>
      <protection/>
    </xf>
    <xf numFmtId="190" fontId="22" fillId="0" borderId="12" xfId="55" applyFont="1" applyBorder="1" applyAlignment="1" applyProtection="1">
      <alignment horizontal="center"/>
      <protection/>
    </xf>
    <xf numFmtId="190" fontId="22" fillId="0" borderId="0" xfId="55" applyFont="1" applyBorder="1" applyAlignment="1" applyProtection="1">
      <alignment horizontal="left"/>
      <protection/>
    </xf>
    <xf numFmtId="191" fontId="22" fillId="0" borderId="0" xfId="55" applyNumberFormat="1" applyFont="1" applyBorder="1" applyAlignment="1" applyProtection="1">
      <alignment horizontal="center"/>
      <protection/>
    </xf>
    <xf numFmtId="10" fontId="22" fillId="0" borderId="12" xfId="55" applyNumberFormat="1" applyFont="1" applyBorder="1" applyAlignment="1" applyProtection="1">
      <alignment horizontal="center"/>
      <protection/>
    </xf>
    <xf numFmtId="37" fontId="22" fillId="0" borderId="0" xfId="55" applyNumberFormat="1" applyFont="1" applyBorder="1" applyProtection="1">
      <alignment/>
      <protection/>
    </xf>
    <xf numFmtId="37" fontId="22" fillId="0" borderId="12" xfId="55" applyNumberFormat="1" applyFont="1" applyBorder="1" applyProtection="1">
      <alignment/>
      <protection/>
    </xf>
    <xf numFmtId="3" fontId="22" fillId="0" borderId="0" xfId="55" applyNumberFormat="1" applyFont="1" applyBorder="1">
      <alignment/>
      <protection/>
    </xf>
    <xf numFmtId="37" fontId="22" fillId="0" borderId="22" xfId="55" applyNumberFormat="1" applyFont="1" applyBorder="1" applyProtection="1">
      <alignment/>
      <protection/>
    </xf>
    <xf numFmtId="190" fontId="22" fillId="0" borderId="0" xfId="55" applyFont="1" applyBorder="1">
      <alignment/>
      <protection/>
    </xf>
    <xf numFmtId="37" fontId="22" fillId="0" borderId="0" xfId="55" applyNumberFormat="1" applyFont="1" applyProtection="1">
      <alignment/>
      <protection/>
    </xf>
    <xf numFmtId="37" fontId="22" fillId="0" borderId="12" xfId="55" applyNumberFormat="1" applyFont="1" applyBorder="1" applyAlignment="1" applyProtection="1">
      <alignment horizontal="center"/>
      <protection/>
    </xf>
    <xf numFmtId="190" fontId="23" fillId="0" borderId="0" xfId="55" applyFont="1">
      <alignment/>
      <protection/>
    </xf>
    <xf numFmtId="37" fontId="22" fillId="0" borderId="11" xfId="55" applyNumberFormat="1" applyFont="1" applyBorder="1" applyProtection="1">
      <alignment/>
      <protection/>
    </xf>
    <xf numFmtId="190" fontId="24" fillId="0" borderId="13" xfId="55" applyFont="1" applyBorder="1" applyAlignment="1" applyProtection="1">
      <alignment horizontal="center"/>
      <protection/>
    </xf>
    <xf numFmtId="190" fontId="24" fillId="0" borderId="17" xfId="55" applyFont="1" applyBorder="1" applyAlignment="1" applyProtection="1">
      <alignment horizontal="left"/>
      <protection/>
    </xf>
    <xf numFmtId="190" fontId="24" fillId="0" borderId="13" xfId="55" applyFont="1" applyBorder="1">
      <alignment/>
      <protection/>
    </xf>
    <xf numFmtId="38" fontId="24" fillId="0" borderId="17" xfId="55" applyNumberFormat="1" applyFont="1" applyBorder="1" applyAlignment="1" applyProtection="1">
      <alignment horizontal="center"/>
      <protection/>
    </xf>
    <xf numFmtId="38" fontId="24" fillId="0" borderId="13" xfId="55" applyNumberFormat="1" applyFont="1" applyBorder="1" applyAlignment="1" applyProtection="1">
      <alignment horizontal="center"/>
      <protection/>
    </xf>
    <xf numFmtId="38" fontId="24" fillId="0" borderId="23" xfId="55" applyNumberFormat="1" applyFont="1" applyBorder="1" applyAlignment="1" applyProtection="1">
      <alignment horizontal="center"/>
      <protection/>
    </xf>
    <xf numFmtId="38" fontId="24" fillId="0" borderId="24" xfId="55" applyNumberFormat="1" applyFont="1" applyBorder="1" applyAlignment="1" applyProtection="1">
      <alignment horizontal="center"/>
      <protection/>
    </xf>
    <xf numFmtId="38" fontId="24" fillId="0" borderId="0" xfId="55" applyNumberFormat="1" applyFont="1" applyBorder="1" applyAlignment="1" applyProtection="1">
      <alignment horizontal="center"/>
      <protection/>
    </xf>
    <xf numFmtId="37" fontId="24" fillId="0" borderId="0" xfId="55" applyNumberFormat="1" applyFont="1" applyProtection="1">
      <alignment/>
      <protection/>
    </xf>
    <xf numFmtId="190" fontId="24" fillId="0" borderId="0" xfId="55" applyFont="1">
      <alignment/>
      <protection/>
    </xf>
    <xf numFmtId="190" fontId="25" fillId="0" borderId="0" xfId="55" applyFont="1">
      <alignment/>
      <protection/>
    </xf>
    <xf numFmtId="190" fontId="24" fillId="0" borderId="12" xfId="55" applyFont="1" applyBorder="1" applyAlignment="1" applyProtection="1">
      <alignment horizontal="center"/>
      <protection/>
    </xf>
    <xf numFmtId="190" fontId="24" fillId="0" borderId="0" xfId="55" applyFont="1" applyBorder="1" applyAlignment="1" applyProtection="1">
      <alignment horizontal="left"/>
      <protection/>
    </xf>
    <xf numFmtId="190" fontId="24" fillId="0" borderId="12" xfId="55" applyFont="1" applyBorder="1">
      <alignment/>
      <protection/>
    </xf>
    <xf numFmtId="191" fontId="24" fillId="0" borderId="0" xfId="55" applyNumberFormat="1" applyFont="1" applyBorder="1">
      <alignment/>
      <protection/>
    </xf>
    <xf numFmtId="10" fontId="24" fillId="0" borderId="12" xfId="55" applyNumberFormat="1" applyFont="1" applyBorder="1">
      <alignment/>
      <protection/>
    </xf>
    <xf numFmtId="38" fontId="26" fillId="0" borderId="12" xfId="55" applyNumberFormat="1" applyFont="1" applyBorder="1" applyAlignment="1" applyProtection="1">
      <alignment horizontal="center"/>
      <protection/>
    </xf>
    <xf numFmtId="38" fontId="24" fillId="0" borderId="12" xfId="55" applyNumberFormat="1" applyFont="1" applyBorder="1" applyAlignment="1" applyProtection="1">
      <alignment horizontal="center"/>
      <protection/>
    </xf>
    <xf numFmtId="38" fontId="24" fillId="0" borderId="22" xfId="55" applyNumberFormat="1" applyFont="1" applyBorder="1" applyAlignment="1" applyProtection="1">
      <alignment horizontal="center"/>
      <protection/>
    </xf>
    <xf numFmtId="190" fontId="22" fillId="34" borderId="22" xfId="55" applyFont="1" applyFill="1" applyBorder="1" applyAlignment="1" applyProtection="1">
      <alignment horizontal="center"/>
      <protection/>
    </xf>
    <xf numFmtId="190" fontId="22" fillId="34" borderId="19" xfId="55" applyFont="1" applyFill="1" applyBorder="1" applyAlignment="1" applyProtection="1">
      <alignment horizontal="center"/>
      <protection/>
    </xf>
    <xf numFmtId="190" fontId="22" fillId="0" borderId="12" xfId="55" applyFont="1" applyBorder="1" applyAlignment="1">
      <alignment horizontal="center"/>
      <protection/>
    </xf>
    <xf numFmtId="190" fontId="22" fillId="0" borderId="12" xfId="55" applyFont="1" applyBorder="1">
      <alignment/>
      <protection/>
    </xf>
    <xf numFmtId="10" fontId="22" fillId="0" borderId="12" xfId="55" applyNumberFormat="1" applyFont="1" applyBorder="1">
      <alignment/>
      <protection/>
    </xf>
    <xf numFmtId="190" fontId="22" fillId="0" borderId="22" xfId="55" applyFont="1" applyBorder="1">
      <alignment/>
      <protection/>
    </xf>
    <xf numFmtId="190" fontId="24" fillId="34" borderId="10" xfId="55" applyFont="1" applyFill="1" applyBorder="1" applyAlignment="1" applyProtection="1">
      <alignment horizontal="center"/>
      <protection/>
    </xf>
    <xf numFmtId="190" fontId="24" fillId="34" borderId="14" xfId="55" applyFont="1" applyFill="1" applyBorder="1" applyAlignment="1" applyProtection="1">
      <alignment horizontal="center"/>
      <protection/>
    </xf>
    <xf numFmtId="191" fontId="24" fillId="34" borderId="14" xfId="55" applyNumberFormat="1" applyFont="1" applyFill="1" applyBorder="1" applyAlignment="1" applyProtection="1">
      <alignment horizontal="center"/>
      <protection/>
    </xf>
    <xf numFmtId="10" fontId="24" fillId="34" borderId="10" xfId="55" applyNumberFormat="1" applyFont="1" applyFill="1" applyBorder="1" applyAlignment="1" applyProtection="1">
      <alignment horizontal="center"/>
      <protection/>
    </xf>
    <xf numFmtId="190" fontId="24" fillId="34" borderId="18" xfId="55" applyFont="1" applyFill="1" applyBorder="1" applyAlignment="1" applyProtection="1">
      <alignment horizontal="center"/>
      <protection/>
    </xf>
    <xf numFmtId="190" fontId="24" fillId="34" borderId="22" xfId="55" applyFont="1" applyFill="1" applyBorder="1" applyAlignment="1" applyProtection="1">
      <alignment horizontal="center"/>
      <protection/>
    </xf>
    <xf numFmtId="190" fontId="24" fillId="34" borderId="0" xfId="55" applyFont="1" applyFill="1" applyBorder="1" applyAlignment="1" applyProtection="1">
      <alignment horizontal="center"/>
      <protection/>
    </xf>
    <xf numFmtId="190" fontId="24" fillId="34" borderId="15" xfId="55" applyFont="1" applyFill="1" applyBorder="1" applyAlignment="1" applyProtection="1">
      <alignment horizontal="center"/>
      <protection/>
    </xf>
    <xf numFmtId="190" fontId="24" fillId="34" borderId="16" xfId="55" applyFont="1" applyFill="1" applyBorder="1" applyAlignment="1">
      <alignment horizontal="center"/>
      <protection/>
    </xf>
    <xf numFmtId="191" fontId="24" fillId="34" borderId="16" xfId="55" applyNumberFormat="1" applyFont="1" applyFill="1" applyBorder="1" applyAlignment="1" applyProtection="1">
      <alignment horizontal="center"/>
      <protection/>
    </xf>
    <xf numFmtId="10" fontId="24" fillId="34" borderId="15" xfId="55" applyNumberFormat="1" applyFont="1" applyFill="1" applyBorder="1" applyAlignment="1" applyProtection="1">
      <alignment horizontal="center"/>
      <protection/>
    </xf>
    <xf numFmtId="190" fontId="24" fillId="34" borderId="16" xfId="55" applyFont="1" applyFill="1" applyBorder="1" applyAlignment="1" applyProtection="1">
      <alignment horizontal="center"/>
      <protection/>
    </xf>
    <xf numFmtId="3" fontId="24" fillId="34" borderId="15" xfId="55" applyNumberFormat="1" applyFont="1" applyFill="1" applyBorder="1" applyAlignment="1">
      <alignment horizontal="center"/>
      <protection/>
    </xf>
    <xf numFmtId="3" fontId="24" fillId="34" borderId="16" xfId="55" applyNumberFormat="1" applyFont="1" applyFill="1" applyBorder="1" applyAlignment="1">
      <alignment horizontal="center"/>
      <protection/>
    </xf>
    <xf numFmtId="190" fontId="24" fillId="34" borderId="21" xfId="55" applyFont="1" applyFill="1" applyBorder="1" applyAlignment="1" applyProtection="1">
      <alignment horizontal="center"/>
      <protection/>
    </xf>
    <xf numFmtId="191" fontId="24" fillId="0" borderId="17" xfId="55" applyNumberFormat="1" applyFont="1" applyBorder="1">
      <alignment/>
      <protection/>
    </xf>
    <xf numFmtId="10" fontId="24" fillId="0" borderId="13" xfId="55" applyNumberFormat="1" applyFont="1" applyBorder="1">
      <alignment/>
      <protection/>
    </xf>
    <xf numFmtId="190" fontId="24" fillId="0" borderId="0" xfId="55" applyFont="1" applyBorder="1" applyAlignment="1" applyProtection="1">
      <alignment horizontal="center"/>
      <protection/>
    </xf>
    <xf numFmtId="190" fontId="24" fillId="0" borderId="0" xfId="55" applyFont="1" applyBorder="1">
      <alignment/>
      <protection/>
    </xf>
    <xf numFmtId="10" fontId="24" fillId="0" borderId="0" xfId="55" applyNumberFormat="1" applyFont="1" applyBorder="1">
      <alignment/>
      <protection/>
    </xf>
    <xf numFmtId="38" fontId="26" fillId="0" borderId="13" xfId="55" applyNumberFormat="1" applyFont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12" xfId="0" applyFont="1" applyBorder="1" applyAlignment="1">
      <alignment/>
    </xf>
    <xf numFmtId="0" fontId="29" fillId="0" borderId="0" xfId="0" applyFont="1" applyAlignment="1">
      <alignment/>
    </xf>
    <xf numFmtId="0" fontId="30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2" fillId="33" borderId="10" xfId="0" applyFont="1" applyFill="1" applyBorder="1" applyAlignment="1">
      <alignment horizontal="left"/>
    </xf>
    <xf numFmtId="3" fontId="32" fillId="33" borderId="10" xfId="0" applyNumberFormat="1" applyFont="1" applyFill="1" applyBorder="1" applyAlignment="1">
      <alignment horizontal="center"/>
    </xf>
    <xf numFmtId="188" fontId="32" fillId="33" borderId="10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33" borderId="11" xfId="0" applyFont="1" applyFill="1" applyBorder="1" applyAlignment="1">
      <alignment horizontal="left"/>
    </xf>
    <xf numFmtId="0" fontId="32" fillId="33" borderId="11" xfId="0" applyFont="1" applyFill="1" applyBorder="1" applyAlignment="1">
      <alignment/>
    </xf>
    <xf numFmtId="188" fontId="32" fillId="33" borderId="11" xfId="0" applyNumberFormat="1" applyFont="1" applyFill="1" applyBorder="1" applyAlignment="1">
      <alignment horizontal="center"/>
    </xf>
    <xf numFmtId="0" fontId="33" fillId="0" borderId="12" xfId="0" applyFont="1" applyBorder="1" applyAlignment="1">
      <alignment horizontal="left"/>
    </xf>
    <xf numFmtId="0" fontId="33" fillId="0" borderId="12" xfId="0" applyFont="1" applyBorder="1" applyAlignment="1">
      <alignment/>
    </xf>
    <xf numFmtId="188" fontId="33" fillId="0" borderId="12" xfId="49" applyNumberFormat="1" applyFont="1" applyBorder="1" applyAlignment="1">
      <alignment/>
    </xf>
    <xf numFmtId="0" fontId="33" fillId="0" borderId="0" xfId="0" applyFont="1" applyAlignment="1">
      <alignment/>
    </xf>
    <xf numFmtId="0" fontId="30" fillId="0" borderId="12" xfId="0" applyFont="1" applyBorder="1" applyAlignment="1">
      <alignment horizontal="left"/>
    </xf>
    <xf numFmtId="188" fontId="30" fillId="0" borderId="12" xfId="49" applyNumberFormat="1" applyFont="1" applyBorder="1" applyAlignment="1">
      <alignment/>
    </xf>
    <xf numFmtId="0" fontId="30" fillId="0" borderId="0" xfId="0" applyFont="1" applyAlignment="1">
      <alignment/>
    </xf>
    <xf numFmtId="188" fontId="30" fillId="0" borderId="12" xfId="0" applyNumberFormat="1" applyFont="1" applyBorder="1" applyAlignment="1">
      <alignment/>
    </xf>
    <xf numFmtId="0" fontId="30" fillId="0" borderId="0" xfId="0" applyFont="1" applyBorder="1" applyAlignment="1">
      <alignment/>
    </xf>
    <xf numFmtId="188" fontId="30" fillId="0" borderId="0" xfId="49" applyNumberFormat="1" applyFont="1" applyBorder="1" applyAlignment="1">
      <alignment/>
    </xf>
    <xf numFmtId="0" fontId="30" fillId="0" borderId="11" xfId="0" applyFont="1" applyBorder="1" applyAlignment="1">
      <alignment horizontal="left"/>
    </xf>
    <xf numFmtId="0" fontId="30" fillId="0" borderId="25" xfId="0" applyFont="1" applyBorder="1" applyAlignment="1">
      <alignment/>
    </xf>
    <xf numFmtId="188" fontId="30" fillId="0" borderId="25" xfId="49" applyNumberFormat="1" applyFont="1" applyBorder="1" applyAlignment="1">
      <alignment/>
    </xf>
    <xf numFmtId="188" fontId="30" fillId="0" borderId="11" xfId="49" applyNumberFormat="1" applyFont="1" applyBorder="1" applyAlignment="1">
      <alignment/>
    </xf>
    <xf numFmtId="0" fontId="30" fillId="0" borderId="0" xfId="0" applyFont="1" applyBorder="1" applyAlignment="1">
      <alignment horizontal="left"/>
    </xf>
    <xf numFmtId="0" fontId="30" fillId="0" borderId="25" xfId="0" applyFont="1" applyBorder="1" applyAlignment="1">
      <alignment horizontal="left"/>
    </xf>
    <xf numFmtId="3" fontId="32" fillId="33" borderId="12" xfId="0" applyNumberFormat="1" applyFont="1" applyFill="1" applyBorder="1" applyAlignment="1">
      <alignment horizontal="center"/>
    </xf>
    <xf numFmtId="188" fontId="32" fillId="33" borderId="12" xfId="0" applyNumberFormat="1" applyFont="1" applyFill="1" applyBorder="1" applyAlignment="1">
      <alignment horizontal="center"/>
    </xf>
    <xf numFmtId="0" fontId="30" fillId="0" borderId="18" xfId="0" applyFont="1" applyBorder="1" applyAlignment="1">
      <alignment/>
    </xf>
    <xf numFmtId="0" fontId="30" fillId="0" borderId="10" xfId="0" applyFont="1" applyBorder="1" applyAlignment="1">
      <alignment/>
    </xf>
    <xf numFmtId="188" fontId="33" fillId="0" borderId="12" xfId="0" applyNumberFormat="1" applyFont="1" applyBorder="1" applyAlignment="1">
      <alignment/>
    </xf>
    <xf numFmtId="188" fontId="30" fillId="0" borderId="22" xfId="0" applyNumberFormat="1" applyFont="1" applyBorder="1" applyAlignment="1">
      <alignment/>
    </xf>
    <xf numFmtId="0" fontId="32" fillId="0" borderId="23" xfId="0" applyFont="1" applyBorder="1" applyAlignment="1">
      <alignment horizontal="left"/>
    </xf>
    <xf numFmtId="0" fontId="32" fillId="0" borderId="17" xfId="0" applyFont="1" applyBorder="1" applyAlignment="1">
      <alignment/>
    </xf>
    <xf numFmtId="188" fontId="32" fillId="0" borderId="13" xfId="49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188" fontId="32" fillId="0" borderId="0" xfId="49" applyNumberFormat="1" applyFont="1" applyBorder="1" applyAlignment="1">
      <alignment/>
    </xf>
    <xf numFmtId="0" fontId="30" fillId="0" borderId="0" xfId="0" applyFont="1" applyAlignment="1">
      <alignment horizontal="left"/>
    </xf>
    <xf numFmtId="188" fontId="34" fillId="0" borderId="0" xfId="49" applyNumberFormat="1" applyFont="1" applyBorder="1" applyAlignment="1">
      <alignment horizontal="center"/>
    </xf>
    <xf numFmtId="3" fontId="32" fillId="0" borderId="0" xfId="0" applyNumberFormat="1" applyFont="1" applyAlignment="1">
      <alignment/>
    </xf>
    <xf numFmtId="188" fontId="32" fillId="0" borderId="0" xfId="0" applyNumberFormat="1" applyFont="1" applyAlignment="1">
      <alignment/>
    </xf>
    <xf numFmtId="177" fontId="30" fillId="0" borderId="0" xfId="49" applyNumberFormat="1" applyFont="1" applyBorder="1" applyAlignment="1">
      <alignment/>
    </xf>
    <xf numFmtId="188" fontId="30" fillId="0" borderId="10" xfId="49" applyNumberFormat="1" applyFont="1" applyBorder="1" applyAlignment="1">
      <alignment/>
    </xf>
    <xf numFmtId="188" fontId="5" fillId="0" borderId="23" xfId="49" applyNumberFormat="1" applyFont="1" applyBorder="1" applyAlignment="1">
      <alignment/>
    </xf>
    <xf numFmtId="188" fontId="5" fillId="0" borderId="0" xfId="49" applyNumberFormat="1" applyFont="1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3" fontId="35" fillId="0" borderId="0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8" fontId="29" fillId="0" borderId="0" xfId="0" applyNumberFormat="1" applyFont="1" applyBorder="1" applyAlignment="1">
      <alignment horizontal="right"/>
    </xf>
    <xf numFmtId="38" fontId="29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 horizontal="right"/>
    </xf>
    <xf numFmtId="192" fontId="29" fillId="0" borderId="25" xfId="0" applyNumberFormat="1" applyFont="1" applyBorder="1" applyAlignment="1">
      <alignment horizontal="center"/>
    </xf>
    <xf numFmtId="193" fontId="29" fillId="0" borderId="25" xfId="0" applyNumberFormat="1" applyFont="1" applyFill="1" applyBorder="1" applyAlignment="1">
      <alignment horizontal="left"/>
    </xf>
    <xf numFmtId="3" fontId="29" fillId="0" borderId="25" xfId="0" applyNumberFormat="1" applyFont="1" applyBorder="1" applyAlignment="1">
      <alignment/>
    </xf>
    <xf numFmtId="38" fontId="29" fillId="0" borderId="25" xfId="0" applyNumberFormat="1" applyFont="1" applyBorder="1" applyAlignment="1">
      <alignment/>
    </xf>
    <xf numFmtId="192" fontId="31" fillId="35" borderId="18" xfId="0" applyNumberFormat="1" applyFont="1" applyFill="1" applyBorder="1" applyAlignment="1">
      <alignment horizontal="centerContinuous"/>
    </xf>
    <xf numFmtId="0" fontId="31" fillId="35" borderId="10" xfId="0" applyFont="1" applyFill="1" applyBorder="1" applyAlignment="1">
      <alignment horizontal="centerContinuous"/>
    </xf>
    <xf numFmtId="3" fontId="31" fillId="35" borderId="26" xfId="0" applyNumberFormat="1" applyFont="1" applyFill="1" applyBorder="1" applyAlignment="1">
      <alignment horizontal="center"/>
    </xf>
    <xf numFmtId="38" fontId="31" fillId="35" borderId="23" xfId="0" applyNumberFormat="1" applyFont="1" applyFill="1" applyBorder="1" applyAlignment="1">
      <alignment horizontal="center"/>
    </xf>
    <xf numFmtId="38" fontId="31" fillId="35" borderId="17" xfId="0" applyNumberFormat="1" applyFont="1" applyFill="1" applyBorder="1" applyAlignment="1">
      <alignment horizontal="center"/>
    </xf>
    <xf numFmtId="38" fontId="31" fillId="35" borderId="27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Continuous"/>
    </xf>
    <xf numFmtId="192" fontId="31" fillId="35" borderId="19" xfId="0" applyNumberFormat="1" applyFont="1" applyFill="1" applyBorder="1" applyAlignment="1">
      <alignment horizontal="centerContinuous"/>
    </xf>
    <xf numFmtId="0" fontId="31" fillId="35" borderId="11" xfId="0" applyFont="1" applyFill="1" applyBorder="1" applyAlignment="1">
      <alignment horizontal="centerContinuous"/>
    </xf>
    <xf numFmtId="38" fontId="31" fillId="35" borderId="11" xfId="0" applyNumberFormat="1" applyFont="1" applyFill="1" applyBorder="1" applyAlignment="1">
      <alignment horizontal="center"/>
    </xf>
    <xf numFmtId="192" fontId="37" fillId="0" borderId="22" xfId="0" applyNumberFormat="1" applyFont="1" applyBorder="1" applyAlignment="1">
      <alignment horizontal="center"/>
    </xf>
    <xf numFmtId="0" fontId="37" fillId="0" borderId="12" xfId="0" applyFont="1" applyBorder="1" applyAlignment="1">
      <alignment/>
    </xf>
    <xf numFmtId="3" fontId="29" fillId="0" borderId="0" xfId="0" applyNumberFormat="1" applyFont="1" applyBorder="1" applyAlignment="1">
      <alignment/>
    </xf>
    <xf numFmtId="38" fontId="31" fillId="0" borderId="12" xfId="0" applyNumberFormat="1" applyFont="1" applyFill="1" applyBorder="1" applyAlignment="1">
      <alignment horizontal="center"/>
    </xf>
    <xf numFmtId="192" fontId="28" fillId="0" borderId="22" xfId="0" applyNumberFormat="1" applyFont="1" applyBorder="1" applyAlignment="1">
      <alignment horizontal="center"/>
    </xf>
    <xf numFmtId="0" fontId="29" fillId="0" borderId="12" xfId="0" applyFont="1" applyFill="1" applyBorder="1" applyAlignment="1">
      <alignment/>
    </xf>
    <xf numFmtId="193" fontId="29" fillId="0" borderId="20" xfId="0" applyNumberFormat="1" applyFont="1" applyBorder="1" applyAlignment="1">
      <alignment/>
    </xf>
    <xf numFmtId="38" fontId="29" fillId="0" borderId="12" xfId="0" applyNumberFormat="1" applyFont="1" applyFill="1" applyBorder="1" applyAlignment="1">
      <alignment horizontal="center"/>
    </xf>
    <xf numFmtId="1" fontId="29" fillId="0" borderId="22" xfId="0" applyNumberFormat="1" applyFont="1" applyBorder="1" applyAlignment="1">
      <alignment horizontal="center"/>
    </xf>
    <xf numFmtId="192" fontId="37" fillId="0" borderId="22" xfId="0" applyNumberFormat="1" applyFont="1" applyFill="1" applyBorder="1" applyAlignment="1">
      <alignment horizontal="center"/>
    </xf>
    <xf numFmtId="0" fontId="37" fillId="0" borderId="12" xfId="0" applyFont="1" applyFill="1" applyBorder="1" applyAlignment="1">
      <alignment horizontal="left"/>
    </xf>
    <xf numFmtId="3" fontId="29" fillId="0" borderId="12" xfId="0" applyNumberFormat="1" applyFont="1" applyFill="1" applyBorder="1" applyAlignment="1">
      <alignment horizontal="left"/>
    </xf>
    <xf numFmtId="3" fontId="29" fillId="0" borderId="12" xfId="0" applyNumberFormat="1" applyFont="1" applyFill="1" applyBorder="1" applyAlignment="1">
      <alignment horizontal="centerContinuous"/>
    </xf>
    <xf numFmtId="0" fontId="29" fillId="0" borderId="0" xfId="0" applyFont="1" applyFill="1" applyAlignment="1">
      <alignment horizontal="centerContinuous"/>
    </xf>
    <xf numFmtId="3" fontId="29" fillId="0" borderId="12" xfId="0" applyNumberFormat="1" applyFont="1" applyBorder="1" applyAlignment="1">
      <alignment/>
    </xf>
    <xf numFmtId="1" fontId="28" fillId="0" borderId="22" xfId="0" applyNumberFormat="1" applyFont="1" applyBorder="1" applyAlignment="1">
      <alignment horizontal="center"/>
    </xf>
    <xf numFmtId="0" fontId="37" fillId="0" borderId="12" xfId="0" applyFont="1" applyFill="1" applyBorder="1" applyAlignment="1">
      <alignment/>
    </xf>
    <xf numFmtId="0" fontId="29" fillId="0" borderId="12" xfId="0" applyFont="1" applyFill="1" applyBorder="1" applyAlignment="1">
      <alignment horizontal="left"/>
    </xf>
    <xf numFmtId="192" fontId="29" fillId="0" borderId="22" xfId="0" applyNumberFormat="1" applyFont="1" applyBorder="1" applyAlignment="1">
      <alignment horizontal="center"/>
    </xf>
    <xf numFmtId="1" fontId="29" fillId="0" borderId="21" xfId="0" applyNumberFormat="1" applyFont="1" applyBorder="1" applyAlignment="1">
      <alignment horizontal="center"/>
    </xf>
    <xf numFmtId="3" fontId="29" fillId="0" borderId="15" xfId="0" applyNumberFormat="1" applyFont="1" applyBorder="1" applyAlignment="1">
      <alignment/>
    </xf>
    <xf numFmtId="1" fontId="29" fillId="0" borderId="0" xfId="0" applyNumberFormat="1" applyFont="1" applyBorder="1" applyAlignment="1">
      <alignment horizontal="center"/>
    </xf>
    <xf numFmtId="193" fontId="29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left"/>
    </xf>
    <xf numFmtId="3" fontId="35" fillId="0" borderId="0" xfId="0" applyNumberFormat="1" applyFont="1" applyBorder="1" applyAlignment="1">
      <alignment horizontal="center"/>
    </xf>
    <xf numFmtId="3" fontId="36" fillId="0" borderId="0" xfId="0" applyNumberFormat="1" applyFont="1" applyBorder="1" applyAlignment="1">
      <alignment horizontal="left"/>
    </xf>
    <xf numFmtId="3" fontId="29" fillId="35" borderId="26" xfId="0" applyNumberFormat="1" applyFont="1" applyFill="1" applyBorder="1" applyAlignment="1">
      <alignment horizontal="center"/>
    </xf>
    <xf numFmtId="38" fontId="29" fillId="35" borderId="23" xfId="0" applyNumberFormat="1" applyFont="1" applyFill="1" applyBorder="1" applyAlignment="1">
      <alignment horizontal="center"/>
    </xf>
    <xf numFmtId="38" fontId="29" fillId="35" borderId="17" xfId="0" applyNumberFormat="1" applyFont="1" applyFill="1" applyBorder="1" applyAlignment="1">
      <alignment horizontal="center"/>
    </xf>
    <xf numFmtId="38" fontId="29" fillId="35" borderId="27" xfId="0" applyNumberFormat="1" applyFont="1" applyFill="1" applyBorder="1" applyAlignment="1">
      <alignment horizontal="center"/>
    </xf>
    <xf numFmtId="3" fontId="29" fillId="35" borderId="28" xfId="0" applyNumberFormat="1" applyFont="1" applyFill="1" applyBorder="1" applyAlignment="1">
      <alignment horizontal="center"/>
    </xf>
    <xf numFmtId="38" fontId="29" fillId="35" borderId="11" xfId="0" applyNumberFormat="1" applyFont="1" applyFill="1" applyBorder="1" applyAlignment="1">
      <alignment horizontal="center"/>
    </xf>
    <xf numFmtId="192" fontId="37" fillId="0" borderId="23" xfId="0" applyNumberFormat="1" applyFont="1" applyBorder="1" applyAlignment="1">
      <alignment horizontal="center"/>
    </xf>
    <xf numFmtId="0" fontId="37" fillId="0" borderId="13" xfId="0" applyFont="1" applyBorder="1" applyAlignment="1">
      <alignment/>
    </xf>
    <xf numFmtId="193" fontId="37" fillId="0" borderId="27" xfId="0" applyNumberFormat="1" applyFont="1" applyBorder="1" applyAlignment="1">
      <alignment/>
    </xf>
    <xf numFmtId="3" fontId="29" fillId="0" borderId="17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11" xfId="0" applyFont="1" applyBorder="1" applyAlignment="1">
      <alignment/>
    </xf>
    <xf numFmtId="192" fontId="28" fillId="0" borderId="23" xfId="0" applyNumberFormat="1" applyFont="1" applyBorder="1" applyAlignment="1">
      <alignment horizontal="center"/>
    </xf>
    <xf numFmtId="0" fontId="28" fillId="0" borderId="13" xfId="0" applyFont="1" applyBorder="1" applyAlignment="1">
      <alignment/>
    </xf>
    <xf numFmtId="193" fontId="28" fillId="0" borderId="27" xfId="0" applyNumberFormat="1" applyFont="1" applyBorder="1" applyAlignment="1">
      <alignment/>
    </xf>
    <xf numFmtId="3" fontId="28" fillId="0" borderId="13" xfId="0" applyNumberFormat="1" applyFont="1" applyBorder="1" applyAlignment="1">
      <alignment/>
    </xf>
    <xf numFmtId="0" fontId="40" fillId="0" borderId="0" xfId="0" applyFont="1" applyAlignment="1">
      <alignment/>
    </xf>
    <xf numFmtId="49" fontId="29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/>
    </xf>
    <xf numFmtId="49" fontId="29" fillId="0" borderId="0" xfId="0" applyNumberFormat="1" applyFont="1" applyAlignment="1">
      <alignment/>
    </xf>
    <xf numFmtId="188" fontId="9" fillId="33" borderId="10" xfId="0" applyNumberFormat="1" applyFont="1" applyFill="1" applyBorder="1" applyAlignment="1">
      <alignment horizontal="center"/>
    </xf>
    <xf numFmtId="188" fontId="9" fillId="33" borderId="11" xfId="0" applyNumberFormat="1" applyFont="1" applyFill="1" applyBorder="1" applyAlignment="1">
      <alignment horizontal="center"/>
    </xf>
    <xf numFmtId="188" fontId="41" fillId="0" borderId="13" xfId="0" applyNumberFormat="1" applyFont="1" applyBorder="1" applyAlignment="1">
      <alignment/>
    </xf>
    <xf numFmtId="10" fontId="42" fillId="0" borderId="13" xfId="0" applyNumberFormat="1" applyFont="1" applyBorder="1" applyAlignment="1">
      <alignment/>
    </xf>
    <xf numFmtId="4" fontId="43" fillId="0" borderId="13" xfId="0" applyNumberFormat="1" applyFont="1" applyBorder="1" applyAlignment="1">
      <alignment/>
    </xf>
    <xf numFmtId="188" fontId="9" fillId="0" borderId="13" xfId="0" applyNumberFormat="1" applyFont="1" applyBorder="1" applyAlignment="1">
      <alignment/>
    </xf>
    <xf numFmtId="188" fontId="42" fillId="0" borderId="13" xfId="0" applyNumberFormat="1" applyFont="1" applyBorder="1" applyAlignment="1">
      <alignment/>
    </xf>
    <xf numFmtId="3" fontId="41" fillId="0" borderId="13" xfId="49" applyNumberFormat="1" applyFont="1" applyBorder="1" applyAlignment="1">
      <alignment/>
    </xf>
    <xf numFmtId="4" fontId="43" fillId="0" borderId="12" xfId="0" applyNumberFormat="1" applyFont="1" applyFill="1" applyBorder="1" applyAlignment="1">
      <alignment/>
    </xf>
    <xf numFmtId="4" fontId="41" fillId="0" borderId="13" xfId="0" applyNumberFormat="1" applyFont="1" applyBorder="1" applyAlignment="1">
      <alignment/>
    </xf>
    <xf numFmtId="188" fontId="9" fillId="0" borderId="13" xfId="49" applyNumberFormat="1" applyFont="1" applyBorder="1" applyAlignment="1">
      <alignment/>
    </xf>
    <xf numFmtId="0" fontId="43" fillId="0" borderId="0" xfId="0" applyFont="1" applyAlignment="1">
      <alignment/>
    </xf>
    <xf numFmtId="188" fontId="14" fillId="0" borderId="13" xfId="0" applyNumberFormat="1" applyFont="1" applyBorder="1" applyAlignment="1">
      <alignment/>
    </xf>
    <xf numFmtId="188" fontId="14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left"/>
    </xf>
    <xf numFmtId="3" fontId="45" fillId="0" borderId="13" xfId="48" applyNumberFormat="1" applyFont="1" applyBorder="1" applyAlignment="1">
      <alignment/>
    </xf>
    <xf numFmtId="3" fontId="45" fillId="0" borderId="13" xfId="48" applyNumberFormat="1" applyFont="1" applyBorder="1" applyAlignment="1">
      <alignment/>
    </xf>
    <xf numFmtId="2" fontId="45" fillId="0" borderId="13" xfId="0" applyNumberFormat="1" applyFont="1" applyBorder="1" applyAlignment="1">
      <alignment/>
    </xf>
    <xf numFmtId="3" fontId="46" fillId="0" borderId="13" xfId="48" applyNumberFormat="1" applyFont="1" applyBorder="1" applyAlignment="1">
      <alignment/>
    </xf>
    <xf numFmtId="9" fontId="45" fillId="0" borderId="13" xfId="0" applyNumberFormat="1" applyFont="1" applyBorder="1" applyAlignment="1">
      <alignment/>
    </xf>
    <xf numFmtId="189" fontId="45" fillId="0" borderId="13" xfId="48" applyNumberFormat="1" applyFont="1" applyBorder="1" applyAlignment="1">
      <alignment/>
    </xf>
    <xf numFmtId="188" fontId="45" fillId="0" borderId="13" xfId="49" applyNumberFormat="1" applyFont="1" applyBorder="1" applyAlignment="1">
      <alignment/>
    </xf>
    <xf numFmtId="188" fontId="47" fillId="0" borderId="12" xfId="49" applyNumberFormat="1" applyFont="1" applyBorder="1" applyAlignment="1">
      <alignment/>
    </xf>
    <xf numFmtId="0" fontId="47" fillId="0" borderId="0" xfId="0" applyFont="1" applyAlignment="1">
      <alignment/>
    </xf>
    <xf numFmtId="4" fontId="45" fillId="0" borderId="13" xfId="49" applyNumberFormat="1" applyFont="1" applyBorder="1" applyAlignment="1">
      <alignment/>
    </xf>
    <xf numFmtId="4" fontId="46" fillId="0" borderId="13" xfId="49" applyNumberFormat="1" applyFont="1" applyBorder="1" applyAlignment="1">
      <alignment/>
    </xf>
    <xf numFmtId="188" fontId="9" fillId="0" borderId="10" xfId="0" applyNumberFormat="1" applyFont="1" applyFill="1" applyBorder="1" applyAlignment="1">
      <alignment horizontal="center"/>
    </xf>
    <xf numFmtId="188" fontId="9" fillId="0" borderId="11" xfId="0" applyNumberFormat="1" applyFont="1" applyFill="1" applyBorder="1" applyAlignment="1">
      <alignment horizontal="center"/>
    </xf>
    <xf numFmtId="188" fontId="41" fillId="0" borderId="13" xfId="0" applyNumberFormat="1" applyFont="1" applyFill="1" applyBorder="1" applyAlignment="1">
      <alignment/>
    </xf>
    <xf numFmtId="10" fontId="42" fillId="0" borderId="13" xfId="0" applyNumberFormat="1" applyFont="1" applyFill="1" applyBorder="1" applyAlignment="1">
      <alignment/>
    </xf>
    <xf numFmtId="4" fontId="46" fillId="0" borderId="13" xfId="49" applyNumberFormat="1" applyFont="1" applyFill="1" applyBorder="1" applyAlignment="1">
      <alignment/>
    </xf>
    <xf numFmtId="4" fontId="43" fillId="0" borderId="13" xfId="0" applyNumberFormat="1" applyFont="1" applyFill="1" applyBorder="1" applyAlignment="1">
      <alignment/>
    </xf>
    <xf numFmtId="188" fontId="9" fillId="0" borderId="13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188" fontId="42" fillId="0" borderId="13" xfId="0" applyNumberFormat="1" applyFont="1" applyFill="1" applyBorder="1" applyAlignment="1">
      <alignment/>
    </xf>
    <xf numFmtId="3" fontId="41" fillId="0" borderId="13" xfId="49" applyNumberFormat="1" applyFont="1" applyFill="1" applyBorder="1" applyAlignment="1">
      <alignment/>
    </xf>
    <xf numFmtId="4" fontId="41" fillId="0" borderId="13" xfId="0" applyNumberFormat="1" applyFont="1" applyFill="1" applyBorder="1" applyAlignment="1">
      <alignment/>
    </xf>
    <xf numFmtId="3" fontId="46" fillId="0" borderId="13" xfId="48" applyNumberFormat="1" applyFont="1" applyFill="1" applyBorder="1" applyAlignment="1">
      <alignment/>
    </xf>
    <xf numFmtId="188" fontId="9" fillId="0" borderId="12" xfId="0" applyNumberFormat="1" applyFont="1" applyFill="1" applyBorder="1" applyAlignment="1">
      <alignment/>
    </xf>
    <xf numFmtId="188" fontId="9" fillId="0" borderId="20" xfId="0" applyNumberFormat="1" applyFont="1" applyFill="1" applyBorder="1" applyAlignment="1">
      <alignment/>
    </xf>
    <xf numFmtId="188" fontId="9" fillId="0" borderId="13" xfId="49" applyNumberFormat="1" applyFont="1" applyFill="1" applyBorder="1" applyAlignment="1">
      <alignment/>
    </xf>
    <xf numFmtId="0" fontId="43" fillId="0" borderId="0" xfId="0" applyFont="1" applyFill="1" applyAlignment="1">
      <alignment/>
    </xf>
    <xf numFmtId="188" fontId="14" fillId="0" borderId="13" xfId="0" applyNumberFormat="1" applyFont="1" applyFill="1" applyBorder="1" applyAlignment="1">
      <alignment/>
    </xf>
    <xf numFmtId="188" fontId="14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188" fontId="9" fillId="36" borderId="10" xfId="0" applyNumberFormat="1" applyFont="1" applyFill="1" applyBorder="1" applyAlignment="1">
      <alignment horizontal="center"/>
    </xf>
    <xf numFmtId="188" fontId="9" fillId="36" borderId="11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49" fontId="30" fillId="0" borderId="0" xfId="0" applyNumberFormat="1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3" fontId="29" fillId="0" borderId="20" xfId="0" applyNumberFormat="1" applyFont="1" applyFill="1" applyBorder="1" applyAlignment="1">
      <alignment horizontal="left"/>
    </xf>
    <xf numFmtId="0" fontId="97" fillId="0" borderId="12" xfId="0" applyFont="1" applyBorder="1" applyAlignment="1">
      <alignment/>
    </xf>
    <xf numFmtId="0" fontId="97" fillId="0" borderId="12" xfId="0" applyFont="1" applyFill="1" applyBorder="1" applyAlignment="1">
      <alignment/>
    </xf>
    <xf numFmtId="193" fontId="29" fillId="0" borderId="12" xfId="0" applyNumberFormat="1" applyFont="1" applyBorder="1" applyAlignment="1">
      <alignment/>
    </xf>
    <xf numFmtId="193" fontId="37" fillId="0" borderId="12" xfId="0" applyNumberFormat="1" applyFont="1" applyBorder="1" applyAlignment="1">
      <alignment/>
    </xf>
    <xf numFmtId="193" fontId="37" fillId="0" borderId="12" xfId="0" applyNumberFormat="1" applyFont="1" applyFill="1" applyBorder="1" applyAlignment="1">
      <alignment horizontal="left"/>
    </xf>
    <xf numFmtId="193" fontId="29" fillId="0" borderId="12" xfId="0" applyNumberFormat="1" applyFont="1" applyFill="1" applyBorder="1" applyAlignment="1">
      <alignment horizontal="left"/>
    </xf>
    <xf numFmtId="195" fontId="29" fillId="0" borderId="12" xfId="48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195" fontId="37" fillId="0" borderId="12" xfId="48" applyNumberFormat="1" applyFont="1" applyBorder="1" applyAlignment="1">
      <alignment/>
    </xf>
    <xf numFmtId="193" fontId="98" fillId="0" borderId="12" xfId="0" applyNumberFormat="1" applyFont="1" applyBorder="1" applyAlignment="1">
      <alignment/>
    </xf>
    <xf numFmtId="193" fontId="29" fillId="0" borderId="11" xfId="0" applyNumberFormat="1" applyFont="1" applyBorder="1" applyAlignment="1">
      <alignment/>
    </xf>
    <xf numFmtId="38" fontId="31" fillId="0" borderId="20" xfId="0" applyNumberFormat="1" applyFont="1" applyFill="1" applyBorder="1" applyAlignment="1">
      <alignment horizontal="center"/>
    </xf>
    <xf numFmtId="38" fontId="29" fillId="0" borderId="20" xfId="0" applyNumberFormat="1" applyFont="1" applyFill="1" applyBorder="1" applyAlignment="1">
      <alignment horizontal="center"/>
    </xf>
    <xf numFmtId="3" fontId="29" fillId="0" borderId="29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3" fontId="38" fillId="0" borderId="12" xfId="0" applyNumberFormat="1" applyFont="1" applyBorder="1" applyAlignment="1">
      <alignment horizontal="right" vertical="top" wrapText="1"/>
    </xf>
    <xf numFmtId="3" fontId="29" fillId="0" borderId="12" xfId="0" applyNumberFormat="1" applyFont="1" applyFill="1" applyBorder="1" applyAlignment="1">
      <alignment horizontal="right"/>
    </xf>
    <xf numFmtId="3" fontId="38" fillId="0" borderId="12" xfId="0" applyNumberFormat="1" applyFont="1" applyFill="1" applyBorder="1" applyAlignment="1">
      <alignment/>
    </xf>
    <xf numFmtId="3" fontId="38" fillId="0" borderId="12" xfId="49" applyNumberFormat="1" applyFont="1" applyFill="1" applyBorder="1" applyAlignment="1">
      <alignment/>
    </xf>
    <xf numFmtId="3" fontId="38" fillId="0" borderId="12" xfId="0" applyNumberFormat="1" applyFont="1" applyBorder="1" applyAlignment="1">
      <alignment/>
    </xf>
    <xf numFmtId="3" fontId="39" fillId="0" borderId="12" xfId="49" applyNumberFormat="1" applyFont="1" applyFill="1" applyBorder="1" applyAlignment="1">
      <alignment/>
    </xf>
    <xf numFmtId="3" fontId="38" fillId="0" borderId="12" xfId="49" applyNumberFormat="1" applyFont="1" applyFill="1" applyBorder="1" applyAlignment="1">
      <alignment/>
    </xf>
    <xf numFmtId="3" fontId="29" fillId="0" borderId="12" xfId="49" applyNumberFormat="1" applyFont="1" applyFill="1" applyBorder="1" applyAlignment="1">
      <alignment/>
    </xf>
    <xf numFmtId="3" fontId="98" fillId="0" borderId="12" xfId="0" applyNumberFormat="1" applyFont="1" applyBorder="1" applyAlignment="1">
      <alignment/>
    </xf>
    <xf numFmtId="3" fontId="99" fillId="0" borderId="12" xfId="49" applyNumberFormat="1" applyFont="1" applyFill="1" applyBorder="1" applyAlignment="1">
      <alignment/>
    </xf>
    <xf numFmtId="3" fontId="100" fillId="0" borderId="12" xfId="49" applyNumberFormat="1" applyFont="1" applyFill="1" applyBorder="1" applyAlignment="1">
      <alignment/>
    </xf>
    <xf numFmtId="3" fontId="38" fillId="0" borderId="12" xfId="0" applyNumberFormat="1" applyFont="1" applyFill="1" applyBorder="1" applyAlignment="1">
      <alignment/>
    </xf>
    <xf numFmtId="0" fontId="49" fillId="0" borderId="12" xfId="0" applyFont="1" applyFill="1" applyBorder="1" applyAlignment="1">
      <alignment horizontal="left"/>
    </xf>
    <xf numFmtId="0" fontId="97" fillId="0" borderId="12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3" fontId="51" fillId="33" borderId="10" xfId="0" applyNumberFormat="1" applyFont="1" applyFill="1" applyBorder="1" applyAlignment="1">
      <alignment horizontal="center"/>
    </xf>
    <xf numFmtId="188" fontId="51" fillId="33" borderId="1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33" borderId="11" xfId="0" applyFont="1" applyFill="1" applyBorder="1" applyAlignment="1">
      <alignment horizontal="left"/>
    </xf>
    <xf numFmtId="0" fontId="51" fillId="33" borderId="11" xfId="0" applyFont="1" applyFill="1" applyBorder="1" applyAlignment="1">
      <alignment/>
    </xf>
    <xf numFmtId="188" fontId="51" fillId="33" borderId="11" xfId="0" applyNumberFormat="1" applyFont="1" applyFill="1" applyBorder="1" applyAlignment="1">
      <alignment horizontal="center"/>
    </xf>
    <xf numFmtId="0" fontId="52" fillId="0" borderId="12" xfId="0" applyFont="1" applyBorder="1" applyAlignment="1">
      <alignment horizontal="left"/>
    </xf>
    <xf numFmtId="0" fontId="52" fillId="0" borderId="12" xfId="0" applyFont="1" applyBorder="1" applyAlignment="1">
      <alignment/>
    </xf>
    <xf numFmtId="188" fontId="52" fillId="0" borderId="12" xfId="49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12" xfId="0" applyFont="1" applyBorder="1" applyAlignment="1">
      <alignment horizontal="left"/>
    </xf>
    <xf numFmtId="0" fontId="53" fillId="0" borderId="12" xfId="0" applyFont="1" applyBorder="1" applyAlignment="1">
      <alignment/>
    </xf>
    <xf numFmtId="188" fontId="53" fillId="0" borderId="12" xfId="49" applyNumberFormat="1" applyFont="1" applyBorder="1" applyAlignment="1">
      <alignment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left"/>
    </xf>
    <xf numFmtId="0" fontId="54" fillId="0" borderId="12" xfId="0" applyFont="1" applyBorder="1" applyAlignment="1">
      <alignment/>
    </xf>
    <xf numFmtId="188" fontId="54" fillId="0" borderId="12" xfId="49" applyNumberFormat="1" applyFont="1" applyBorder="1" applyAlignment="1">
      <alignment/>
    </xf>
    <xf numFmtId="0" fontId="54" fillId="0" borderId="0" xfId="0" applyFont="1" applyAlignment="1">
      <alignment/>
    </xf>
    <xf numFmtId="188" fontId="53" fillId="0" borderId="12" xfId="0" applyNumberFormat="1" applyFont="1" applyBorder="1" applyAlignment="1">
      <alignment/>
    </xf>
    <xf numFmtId="0" fontId="53" fillId="0" borderId="0" xfId="0" applyFont="1" applyBorder="1" applyAlignment="1">
      <alignment/>
    </xf>
    <xf numFmtId="188" fontId="53" fillId="0" borderId="0" xfId="49" applyNumberFormat="1" applyFont="1" applyBorder="1" applyAlignment="1">
      <alignment/>
    </xf>
    <xf numFmtId="0" fontId="53" fillId="0" borderId="11" xfId="0" applyFont="1" applyBorder="1" applyAlignment="1">
      <alignment horizontal="left"/>
    </xf>
    <xf numFmtId="0" fontId="53" fillId="0" borderId="25" xfId="0" applyFont="1" applyBorder="1" applyAlignment="1">
      <alignment/>
    </xf>
    <xf numFmtId="188" fontId="53" fillId="0" borderId="25" xfId="49" applyNumberFormat="1" applyFont="1" applyBorder="1" applyAlignment="1">
      <alignment/>
    </xf>
    <xf numFmtId="188" fontId="53" fillId="0" borderId="11" xfId="49" applyNumberFormat="1" applyFont="1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25" xfId="0" applyFont="1" applyBorder="1" applyAlignment="1">
      <alignment horizontal="left"/>
    </xf>
    <xf numFmtId="3" fontId="51" fillId="33" borderId="12" xfId="0" applyNumberFormat="1" applyFont="1" applyFill="1" applyBorder="1" applyAlignment="1">
      <alignment horizontal="center"/>
    </xf>
    <xf numFmtId="188" fontId="51" fillId="33" borderId="12" xfId="0" applyNumberFormat="1" applyFont="1" applyFill="1" applyBorder="1" applyAlignment="1">
      <alignment horizontal="center"/>
    </xf>
    <xf numFmtId="0" fontId="53" fillId="0" borderId="18" xfId="0" applyFont="1" applyBorder="1" applyAlignment="1">
      <alignment/>
    </xf>
    <xf numFmtId="0" fontId="53" fillId="0" borderId="10" xfId="0" applyFont="1" applyBorder="1" applyAlignment="1">
      <alignment/>
    </xf>
    <xf numFmtId="188" fontId="52" fillId="0" borderId="12" xfId="0" applyNumberFormat="1" applyFont="1" applyBorder="1" applyAlignment="1">
      <alignment/>
    </xf>
    <xf numFmtId="188" fontId="53" fillId="0" borderId="22" xfId="0" applyNumberFormat="1" applyFont="1" applyBorder="1" applyAlignment="1">
      <alignment/>
    </xf>
    <xf numFmtId="188" fontId="53" fillId="0" borderId="22" xfId="49" applyNumberFormat="1" applyFont="1" applyBorder="1" applyAlignment="1">
      <alignment/>
    </xf>
    <xf numFmtId="0" fontId="51" fillId="0" borderId="23" xfId="0" applyFont="1" applyBorder="1" applyAlignment="1">
      <alignment horizontal="left"/>
    </xf>
    <xf numFmtId="0" fontId="51" fillId="0" borderId="17" xfId="0" applyFont="1" applyBorder="1" applyAlignment="1">
      <alignment/>
    </xf>
    <xf numFmtId="188" fontId="51" fillId="0" borderId="13" xfId="49" applyNumberFormat="1" applyFont="1" applyBorder="1" applyAlignment="1">
      <alignment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188" fontId="51" fillId="0" borderId="0" xfId="49" applyNumberFormat="1" applyFont="1" applyBorder="1" applyAlignment="1">
      <alignment/>
    </xf>
    <xf numFmtId="0" fontId="53" fillId="0" borderId="0" xfId="0" applyFont="1" applyAlignment="1">
      <alignment horizontal="left"/>
    </xf>
    <xf numFmtId="188" fontId="55" fillId="0" borderId="0" xfId="49" applyNumberFormat="1" applyFont="1" applyBorder="1" applyAlignment="1">
      <alignment horizontal="center"/>
    </xf>
    <xf numFmtId="3" fontId="51" fillId="0" borderId="0" xfId="0" applyNumberFormat="1" applyFont="1" applyAlignment="1">
      <alignment/>
    </xf>
    <xf numFmtId="188" fontId="51" fillId="0" borderId="0" xfId="0" applyNumberFormat="1" applyFont="1" applyAlignment="1">
      <alignment/>
    </xf>
    <xf numFmtId="177" fontId="53" fillId="0" borderId="0" xfId="49" applyNumberFormat="1" applyFont="1" applyBorder="1" applyAlignment="1">
      <alignment/>
    </xf>
    <xf numFmtId="192" fontId="31" fillId="35" borderId="22" xfId="0" applyNumberFormat="1" applyFont="1" applyFill="1" applyBorder="1" applyAlignment="1">
      <alignment horizontal="centerContinuous"/>
    </xf>
    <xf numFmtId="0" fontId="31" fillId="35" borderId="12" xfId="0" applyFont="1" applyFill="1" applyBorder="1" applyAlignment="1">
      <alignment horizontal="centerContinuous"/>
    </xf>
    <xf numFmtId="3" fontId="31" fillId="35" borderId="20" xfId="0" applyNumberFormat="1" applyFont="1" applyFill="1" applyBorder="1" applyAlignment="1">
      <alignment horizontal="center"/>
    </xf>
    <xf numFmtId="38" fontId="31" fillId="35" borderId="0" xfId="0" applyNumberFormat="1" applyFont="1" applyFill="1" applyBorder="1" applyAlignment="1">
      <alignment horizontal="center"/>
    </xf>
    <xf numFmtId="38" fontId="31" fillId="35" borderId="12" xfId="0" applyNumberFormat="1" applyFont="1" applyFill="1" applyBorder="1" applyAlignment="1">
      <alignment horizontal="center"/>
    </xf>
    <xf numFmtId="38" fontId="31" fillId="35" borderId="20" xfId="0" applyNumberFormat="1" applyFont="1" applyFill="1" applyBorder="1" applyAlignment="1">
      <alignment horizontal="center"/>
    </xf>
    <xf numFmtId="0" fontId="31" fillId="35" borderId="0" xfId="0" applyFont="1" applyFill="1" applyBorder="1" applyAlignment="1">
      <alignment horizontal="centerContinuous"/>
    </xf>
    <xf numFmtId="3" fontId="31" fillId="35" borderId="0" xfId="0" applyNumberFormat="1" applyFont="1" applyFill="1" applyBorder="1" applyAlignment="1">
      <alignment horizontal="center"/>
    </xf>
    <xf numFmtId="3" fontId="28" fillId="0" borderId="1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188" fontId="29" fillId="0" borderId="12" xfId="49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9" fontId="28" fillId="0" borderId="0" xfId="0" applyNumberFormat="1" applyFont="1" applyAlignment="1">
      <alignment/>
    </xf>
    <xf numFmtId="197" fontId="28" fillId="0" borderId="0" xfId="48" applyNumberFormat="1" applyFont="1" applyBorder="1" applyAlignment="1">
      <alignment/>
    </xf>
    <xf numFmtId="197" fontId="28" fillId="0" borderId="0" xfId="48" applyNumberFormat="1" applyFont="1" applyAlignment="1">
      <alignment/>
    </xf>
    <xf numFmtId="192" fontId="31" fillId="35" borderId="0" xfId="0" applyNumberFormat="1" applyFont="1" applyFill="1" applyBorder="1" applyAlignment="1">
      <alignment horizontal="centerContinuous"/>
    </xf>
    <xf numFmtId="3" fontId="29" fillId="35" borderId="0" xfId="0" applyNumberFormat="1" applyFont="1" applyFill="1" applyBorder="1" applyAlignment="1">
      <alignment horizontal="center"/>
    </xf>
    <xf numFmtId="38" fontId="29" fillId="35" borderId="0" xfId="0" applyNumberFormat="1" applyFont="1" applyFill="1" applyBorder="1" applyAlignment="1">
      <alignment horizontal="center"/>
    </xf>
    <xf numFmtId="197" fontId="28" fillId="0" borderId="0" xfId="0" applyNumberFormat="1" applyFont="1" applyAlignment="1">
      <alignment/>
    </xf>
    <xf numFmtId="197" fontId="98" fillId="0" borderId="0" xfId="0" applyNumberFormat="1" applyFont="1" applyAlignment="1">
      <alignment/>
    </xf>
    <xf numFmtId="0" fontId="29" fillId="0" borderId="12" xfId="0" applyFont="1" applyBorder="1" applyAlignment="1">
      <alignment horizontal="left" vertical="top" wrapText="1"/>
    </xf>
    <xf numFmtId="179" fontId="29" fillId="37" borderId="12" xfId="48" applyFont="1" applyFill="1" applyBorder="1" applyAlignment="1">
      <alignment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Fill="1" applyBorder="1" applyAlignment="1">
      <alignment vertical="top" wrapText="1"/>
    </xf>
    <xf numFmtId="0" fontId="29" fillId="0" borderId="12" xfId="0" applyFont="1" applyFill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justify" vertical="center" wrapText="1"/>
    </xf>
    <xf numFmtId="0" fontId="29" fillId="38" borderId="12" xfId="0" applyFont="1" applyFill="1" applyBorder="1" applyAlignment="1">
      <alignment wrapText="1"/>
    </xf>
    <xf numFmtId="191" fontId="0" fillId="0" borderId="0" xfId="0" applyNumberFormat="1" applyAlignment="1">
      <alignment/>
    </xf>
    <xf numFmtId="192" fontId="30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right"/>
    </xf>
    <xf numFmtId="3" fontId="56" fillId="0" borderId="0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38" fontId="30" fillId="0" borderId="0" xfId="0" applyNumberFormat="1" applyFont="1" applyBorder="1" applyAlignment="1">
      <alignment horizontal="right"/>
    </xf>
    <xf numFmtId="38" fontId="30" fillId="0" borderId="0" xfId="0" applyNumberFormat="1" applyFont="1" applyBorder="1" applyAlignment="1">
      <alignment/>
    </xf>
    <xf numFmtId="3" fontId="57" fillId="0" borderId="0" xfId="0" applyNumberFormat="1" applyFont="1" applyBorder="1" applyAlignment="1">
      <alignment horizontal="right"/>
    </xf>
    <xf numFmtId="192" fontId="30" fillId="0" borderId="25" xfId="0" applyNumberFormat="1" applyFont="1" applyBorder="1" applyAlignment="1">
      <alignment horizontal="center"/>
    </xf>
    <xf numFmtId="193" fontId="30" fillId="0" borderId="25" xfId="0" applyNumberFormat="1" applyFont="1" applyFill="1" applyBorder="1" applyAlignment="1">
      <alignment horizontal="left"/>
    </xf>
    <xf numFmtId="3" fontId="30" fillId="0" borderId="25" xfId="0" applyNumberFormat="1" applyFont="1" applyBorder="1" applyAlignment="1">
      <alignment/>
    </xf>
    <xf numFmtId="38" fontId="30" fillId="0" borderId="25" xfId="0" applyNumberFormat="1" applyFont="1" applyBorder="1" applyAlignment="1">
      <alignment/>
    </xf>
    <xf numFmtId="192" fontId="30" fillId="35" borderId="18" xfId="0" applyNumberFormat="1" applyFont="1" applyFill="1" applyBorder="1" applyAlignment="1">
      <alignment horizontal="centerContinuous"/>
    </xf>
    <xf numFmtId="0" fontId="30" fillId="35" borderId="10" xfId="0" applyFont="1" applyFill="1" applyBorder="1" applyAlignment="1">
      <alignment horizontal="centerContinuous"/>
    </xf>
    <xf numFmtId="3" fontId="30" fillId="35" borderId="26" xfId="0" applyNumberFormat="1" applyFont="1" applyFill="1" applyBorder="1" applyAlignment="1">
      <alignment horizontal="center"/>
    </xf>
    <xf numFmtId="38" fontId="30" fillId="35" borderId="23" xfId="0" applyNumberFormat="1" applyFont="1" applyFill="1" applyBorder="1" applyAlignment="1">
      <alignment horizontal="center"/>
    </xf>
    <xf numFmtId="38" fontId="30" fillId="35" borderId="17" xfId="0" applyNumberFormat="1" applyFont="1" applyFill="1" applyBorder="1" applyAlignment="1">
      <alignment horizontal="center"/>
    </xf>
    <xf numFmtId="38" fontId="30" fillId="35" borderId="27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Continuous"/>
    </xf>
    <xf numFmtId="192" fontId="30" fillId="35" borderId="19" xfId="0" applyNumberFormat="1" applyFont="1" applyFill="1" applyBorder="1" applyAlignment="1">
      <alignment horizontal="centerContinuous"/>
    </xf>
    <xf numFmtId="0" fontId="30" fillId="35" borderId="12" xfId="0" applyFont="1" applyFill="1" applyBorder="1" applyAlignment="1">
      <alignment horizontal="centerContinuous"/>
    </xf>
    <xf numFmtId="3" fontId="30" fillId="35" borderId="20" xfId="0" applyNumberFormat="1" applyFont="1" applyFill="1" applyBorder="1" applyAlignment="1">
      <alignment horizontal="center"/>
    </xf>
    <xf numFmtId="38" fontId="30" fillId="35" borderId="12" xfId="0" applyNumberFormat="1" applyFont="1" applyFill="1" applyBorder="1" applyAlignment="1">
      <alignment horizontal="center"/>
    </xf>
    <xf numFmtId="38" fontId="30" fillId="35" borderId="11" xfId="0" applyNumberFormat="1" applyFont="1" applyFill="1" applyBorder="1" applyAlignment="1">
      <alignment horizontal="center"/>
    </xf>
    <xf numFmtId="192" fontId="30" fillId="35" borderId="22" xfId="0" applyNumberFormat="1" applyFont="1" applyFill="1" applyBorder="1" applyAlignment="1">
      <alignment horizontal="centerContinuous"/>
    </xf>
    <xf numFmtId="0" fontId="30" fillId="35" borderId="0" xfId="0" applyFont="1" applyFill="1" applyBorder="1" applyAlignment="1">
      <alignment horizontal="centerContinuous"/>
    </xf>
    <xf numFmtId="3" fontId="30" fillId="35" borderId="0" xfId="0" applyNumberFormat="1" applyFont="1" applyFill="1" applyBorder="1" applyAlignment="1">
      <alignment horizontal="center"/>
    </xf>
    <xf numFmtId="38" fontId="30" fillId="35" borderId="0" xfId="0" applyNumberFormat="1" applyFont="1" applyFill="1" applyBorder="1" applyAlignment="1">
      <alignment horizontal="center"/>
    </xf>
    <xf numFmtId="38" fontId="30" fillId="35" borderId="20" xfId="0" applyNumberFormat="1" applyFont="1" applyFill="1" applyBorder="1" applyAlignment="1">
      <alignment horizontal="center"/>
    </xf>
    <xf numFmtId="192" fontId="34" fillId="0" borderId="22" xfId="0" applyNumberFormat="1" applyFont="1" applyBorder="1" applyAlignment="1">
      <alignment horizontal="center"/>
    </xf>
    <xf numFmtId="0" fontId="34" fillId="0" borderId="12" xfId="0" applyFont="1" applyBorder="1" applyAlignment="1">
      <alignment/>
    </xf>
    <xf numFmtId="193" fontId="34" fillId="0" borderId="12" xfId="0" applyNumberFormat="1" applyFont="1" applyBorder="1" applyAlignment="1">
      <alignment/>
    </xf>
    <xf numFmtId="3" fontId="30" fillId="0" borderId="12" xfId="0" applyNumberFormat="1" applyFont="1" applyBorder="1" applyAlignment="1">
      <alignment/>
    </xf>
    <xf numFmtId="38" fontId="30" fillId="0" borderId="20" xfId="0" applyNumberFormat="1" applyFont="1" applyFill="1" applyBorder="1" applyAlignment="1">
      <alignment horizontal="center"/>
    </xf>
    <xf numFmtId="38" fontId="30" fillId="0" borderId="12" xfId="0" applyNumberFormat="1" applyFont="1" applyFill="1" applyBorder="1" applyAlignment="1">
      <alignment horizontal="center"/>
    </xf>
    <xf numFmtId="192" fontId="32" fillId="0" borderId="22" xfId="0" applyNumberFormat="1" applyFont="1" applyBorder="1" applyAlignment="1">
      <alignment horizontal="center"/>
    </xf>
    <xf numFmtId="0" fontId="30" fillId="0" borderId="12" xfId="0" applyFont="1" applyFill="1" applyBorder="1" applyAlignment="1">
      <alignment/>
    </xf>
    <xf numFmtId="193" fontId="30" fillId="0" borderId="12" xfId="0" applyNumberFormat="1" applyFont="1" applyBorder="1" applyAlignment="1">
      <alignment/>
    </xf>
    <xf numFmtId="1" fontId="30" fillId="0" borderId="22" xfId="0" applyNumberFormat="1" applyFont="1" applyBorder="1" applyAlignment="1">
      <alignment horizontal="center"/>
    </xf>
    <xf numFmtId="3" fontId="30" fillId="0" borderId="12" xfId="0" applyNumberFormat="1" applyFont="1" applyBorder="1" applyAlignment="1">
      <alignment horizontal="right" vertical="top" wrapText="1"/>
    </xf>
    <xf numFmtId="192" fontId="34" fillId="0" borderId="22" xfId="0" applyNumberFormat="1" applyFont="1" applyFill="1" applyBorder="1" applyAlignment="1">
      <alignment horizontal="center"/>
    </xf>
    <xf numFmtId="0" fontId="34" fillId="0" borderId="12" xfId="0" applyFont="1" applyFill="1" applyBorder="1" applyAlignment="1">
      <alignment horizontal="left"/>
    </xf>
    <xf numFmtId="193" fontId="34" fillId="0" borderId="12" xfId="0" applyNumberFormat="1" applyFont="1" applyFill="1" applyBorder="1" applyAlignment="1">
      <alignment horizontal="left"/>
    </xf>
    <xf numFmtId="3" fontId="30" fillId="0" borderId="12" xfId="0" applyNumberFormat="1" applyFont="1" applyFill="1" applyBorder="1" applyAlignment="1">
      <alignment horizontal="left"/>
    </xf>
    <xf numFmtId="3" fontId="30" fillId="0" borderId="20" xfId="0" applyNumberFormat="1" applyFont="1" applyFill="1" applyBorder="1" applyAlignment="1">
      <alignment horizontal="left"/>
    </xf>
    <xf numFmtId="3" fontId="30" fillId="0" borderId="12" xfId="0" applyNumberFormat="1" applyFont="1" applyFill="1" applyBorder="1" applyAlignment="1">
      <alignment horizontal="centerContinuous"/>
    </xf>
    <xf numFmtId="0" fontId="30" fillId="0" borderId="12" xfId="0" applyFont="1" applyFill="1" applyBorder="1" applyAlignment="1">
      <alignment horizontal="left"/>
    </xf>
    <xf numFmtId="193" fontId="30" fillId="0" borderId="12" xfId="0" applyNumberFormat="1" applyFont="1" applyFill="1" applyBorder="1" applyAlignment="1">
      <alignment horizontal="left"/>
    </xf>
    <xf numFmtId="3" fontId="30" fillId="0" borderId="12" xfId="0" applyNumberFormat="1" applyFont="1" applyFill="1" applyBorder="1" applyAlignment="1">
      <alignment horizontal="right"/>
    </xf>
    <xf numFmtId="1" fontId="32" fillId="0" borderId="22" xfId="0" applyNumberFormat="1" applyFont="1" applyBorder="1" applyAlignment="1">
      <alignment horizontal="center"/>
    </xf>
    <xf numFmtId="0" fontId="34" fillId="0" borderId="12" xfId="0" applyFont="1" applyFill="1" applyBorder="1" applyAlignment="1">
      <alignment/>
    </xf>
    <xf numFmtId="3" fontId="33" fillId="0" borderId="12" xfId="49" applyNumberFormat="1" applyFont="1" applyFill="1" applyBorder="1" applyAlignment="1">
      <alignment/>
    </xf>
    <xf numFmtId="3" fontId="30" fillId="0" borderId="20" xfId="0" applyNumberFormat="1" applyFont="1" applyBorder="1" applyAlignment="1">
      <alignment/>
    </xf>
    <xf numFmtId="3" fontId="30" fillId="0" borderId="12" xfId="0" applyNumberFormat="1" applyFont="1" applyBorder="1" applyAlignment="1">
      <alignment/>
    </xf>
    <xf numFmtId="3" fontId="30" fillId="0" borderId="12" xfId="49" applyNumberFormat="1" applyFont="1" applyFill="1" applyBorder="1" applyAlignment="1">
      <alignment/>
    </xf>
    <xf numFmtId="192" fontId="30" fillId="0" borderId="22" xfId="0" applyNumberFormat="1" applyFont="1" applyBorder="1" applyAlignment="1">
      <alignment horizontal="center"/>
    </xf>
    <xf numFmtId="195" fontId="30" fillId="0" borderId="12" xfId="48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195" fontId="34" fillId="0" borderId="12" xfId="48" applyNumberFormat="1" applyFont="1" applyBorder="1" applyAlignment="1">
      <alignment/>
    </xf>
    <xf numFmtId="0" fontId="101" fillId="0" borderId="12" xfId="0" applyFont="1" applyFill="1" applyBorder="1" applyAlignment="1">
      <alignment horizontal="left"/>
    </xf>
    <xf numFmtId="193" fontId="101" fillId="0" borderId="12" xfId="0" applyNumberFormat="1" applyFont="1" applyBorder="1" applyAlignment="1">
      <alignment/>
    </xf>
    <xf numFmtId="0" fontId="101" fillId="0" borderId="12" xfId="0" applyFont="1" applyFill="1" applyBorder="1" applyAlignment="1">
      <alignment/>
    </xf>
    <xf numFmtId="0" fontId="101" fillId="0" borderId="12" xfId="0" applyFont="1" applyBorder="1" applyAlignment="1">
      <alignment/>
    </xf>
    <xf numFmtId="3" fontId="101" fillId="0" borderId="12" xfId="0" applyNumberFormat="1" applyFont="1" applyBorder="1" applyAlignment="1">
      <alignment/>
    </xf>
    <xf numFmtId="3" fontId="101" fillId="0" borderId="12" xfId="49" applyNumberFormat="1" applyFont="1" applyFill="1" applyBorder="1" applyAlignment="1">
      <alignment/>
    </xf>
    <xf numFmtId="3" fontId="102" fillId="0" borderId="12" xfId="49" applyNumberFormat="1" applyFont="1" applyFill="1" applyBorder="1" applyAlignment="1">
      <alignment/>
    </xf>
    <xf numFmtId="3" fontId="30" fillId="0" borderId="12" xfId="0" applyNumberFormat="1" applyFont="1" applyFill="1" applyBorder="1" applyAlignment="1">
      <alignment/>
    </xf>
    <xf numFmtId="1" fontId="30" fillId="0" borderId="21" xfId="0" applyNumberFormat="1" applyFont="1" applyBorder="1" applyAlignment="1">
      <alignment horizontal="center"/>
    </xf>
    <xf numFmtId="0" fontId="30" fillId="0" borderId="11" xfId="0" applyFont="1" applyBorder="1" applyAlignment="1">
      <alignment/>
    </xf>
    <xf numFmtId="193" fontId="30" fillId="0" borderId="11" xfId="0" applyNumberFormat="1" applyFont="1" applyBorder="1" applyAlignment="1">
      <alignment/>
    </xf>
    <xf numFmtId="3" fontId="30" fillId="0" borderId="29" xfId="0" applyNumberFormat="1" applyFont="1" applyBorder="1" applyAlignment="1">
      <alignment/>
    </xf>
    <xf numFmtId="3" fontId="30" fillId="0" borderId="15" xfId="0" applyNumberFormat="1" applyFont="1" applyBorder="1" applyAlignment="1">
      <alignment/>
    </xf>
    <xf numFmtId="1" fontId="30" fillId="0" borderId="0" xfId="0" applyNumberFormat="1" applyFont="1" applyBorder="1" applyAlignment="1">
      <alignment horizontal="center"/>
    </xf>
    <xf numFmtId="193" fontId="32" fillId="0" borderId="0" xfId="0" applyNumberFormat="1" applyFont="1" applyBorder="1" applyAlignment="1">
      <alignment/>
    </xf>
    <xf numFmtId="193" fontId="30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56" fillId="0" borderId="0" xfId="0" applyFont="1" applyBorder="1" applyAlignment="1">
      <alignment horizontal="left"/>
    </xf>
    <xf numFmtId="3" fontId="56" fillId="0" borderId="0" xfId="0" applyNumberFormat="1" applyFont="1" applyBorder="1" applyAlignment="1">
      <alignment horizontal="center"/>
    </xf>
    <xf numFmtId="3" fontId="57" fillId="0" borderId="0" xfId="0" applyNumberFormat="1" applyFont="1" applyBorder="1" applyAlignment="1">
      <alignment horizontal="left"/>
    </xf>
    <xf numFmtId="0" fontId="30" fillId="35" borderId="11" xfId="0" applyFont="1" applyFill="1" applyBorder="1" applyAlignment="1">
      <alignment horizontal="centerContinuous"/>
    </xf>
    <xf numFmtId="3" fontId="30" fillId="35" borderId="28" xfId="0" applyNumberFormat="1" applyFont="1" applyFill="1" applyBorder="1" applyAlignment="1">
      <alignment horizontal="center"/>
    </xf>
    <xf numFmtId="192" fontId="30" fillId="35" borderId="0" xfId="0" applyNumberFormat="1" applyFont="1" applyFill="1" applyBorder="1" applyAlignment="1">
      <alignment horizontal="centerContinuous"/>
    </xf>
    <xf numFmtId="192" fontId="34" fillId="0" borderId="23" xfId="0" applyNumberFormat="1" applyFont="1" applyBorder="1" applyAlignment="1">
      <alignment horizontal="center"/>
    </xf>
    <xf numFmtId="0" fontId="34" fillId="0" borderId="13" xfId="0" applyFont="1" applyBorder="1" applyAlignment="1">
      <alignment/>
    </xf>
    <xf numFmtId="193" fontId="34" fillId="0" borderId="27" xfId="0" applyNumberFormat="1" applyFont="1" applyBorder="1" applyAlignment="1">
      <alignment/>
    </xf>
    <xf numFmtId="3" fontId="30" fillId="0" borderId="17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197" fontId="32" fillId="0" borderId="0" xfId="48" applyNumberFormat="1" applyFont="1" applyBorder="1" applyAlignment="1">
      <alignment/>
    </xf>
    <xf numFmtId="9" fontId="32" fillId="0" borderId="0" xfId="0" applyNumberFormat="1" applyFont="1" applyAlignment="1">
      <alignment/>
    </xf>
    <xf numFmtId="193" fontId="30" fillId="0" borderId="2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197" fontId="32" fillId="0" borderId="0" xfId="48" applyNumberFormat="1" applyFont="1" applyAlignment="1">
      <alignment/>
    </xf>
    <xf numFmtId="197" fontId="32" fillId="0" borderId="0" xfId="0" applyNumberFormat="1" applyFont="1" applyAlignment="1">
      <alignment/>
    </xf>
    <xf numFmtId="197" fontId="101" fillId="0" borderId="0" xfId="0" applyNumberFormat="1" applyFont="1" applyAlignment="1">
      <alignment/>
    </xf>
    <xf numFmtId="3" fontId="30" fillId="0" borderId="11" xfId="0" applyNumberFormat="1" applyFont="1" applyBorder="1" applyAlignment="1">
      <alignment/>
    </xf>
    <xf numFmtId="192" fontId="32" fillId="0" borderId="23" xfId="0" applyNumberFormat="1" applyFont="1" applyBorder="1" applyAlignment="1">
      <alignment horizontal="center"/>
    </xf>
    <xf numFmtId="0" fontId="32" fillId="0" borderId="13" xfId="0" applyFont="1" applyBorder="1" applyAlignment="1">
      <alignment/>
    </xf>
    <xf numFmtId="193" fontId="32" fillId="0" borderId="27" xfId="0" applyNumberFormat="1" applyFont="1" applyBorder="1" applyAlignment="1">
      <alignment/>
    </xf>
    <xf numFmtId="3" fontId="32" fillId="0" borderId="13" xfId="0" applyNumberFormat="1" applyFont="1" applyBorder="1" applyAlignment="1">
      <alignment/>
    </xf>
    <xf numFmtId="3" fontId="32" fillId="0" borderId="11" xfId="0" applyNumberFormat="1" applyFont="1" applyBorder="1" applyAlignment="1">
      <alignment/>
    </xf>
    <xf numFmtId="49" fontId="30" fillId="0" borderId="0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/>
    </xf>
    <xf numFmtId="49" fontId="30" fillId="0" borderId="0" xfId="0" applyNumberFormat="1" applyFont="1" applyAlignment="1">
      <alignment/>
    </xf>
    <xf numFmtId="195" fontId="0" fillId="0" borderId="0" xfId="48" applyNumberFormat="1" applyFont="1" applyAlignment="1">
      <alignment/>
    </xf>
    <xf numFmtId="188" fontId="1" fillId="37" borderId="10" xfId="0" applyNumberFormat="1" applyFont="1" applyFill="1" applyBorder="1" applyAlignment="1">
      <alignment horizontal="center"/>
    </xf>
    <xf numFmtId="188" fontId="1" fillId="37" borderId="11" xfId="0" applyNumberFormat="1" applyFont="1" applyFill="1" applyBorder="1" applyAlignment="1">
      <alignment horizontal="center"/>
    </xf>
    <xf numFmtId="188" fontId="1" fillId="37" borderId="13" xfId="0" applyNumberFormat="1" applyFont="1" applyFill="1" applyBorder="1" applyAlignment="1">
      <alignment/>
    </xf>
    <xf numFmtId="4" fontId="45" fillId="37" borderId="13" xfId="49" applyNumberFormat="1" applyFont="1" applyFill="1" applyBorder="1" applyAlignment="1">
      <alignment/>
    </xf>
    <xf numFmtId="0" fontId="0" fillId="37" borderId="0" xfId="0" applyFont="1" applyFill="1" applyAlignment="1">
      <alignment/>
    </xf>
    <xf numFmtId="3" fontId="1" fillId="37" borderId="13" xfId="49" applyNumberFormat="1" applyFont="1" applyFill="1" applyBorder="1" applyAlignment="1">
      <alignment/>
    </xf>
    <xf numFmtId="3" fontId="1" fillId="37" borderId="13" xfId="0" applyNumberFormat="1" applyFont="1" applyFill="1" applyBorder="1" applyAlignment="1">
      <alignment/>
    </xf>
    <xf numFmtId="188" fontId="1" fillId="37" borderId="12" xfId="0" applyNumberFormat="1" applyFont="1" applyFill="1" applyBorder="1" applyAlignment="1">
      <alignment/>
    </xf>
    <xf numFmtId="4" fontId="1" fillId="37" borderId="13" xfId="0" applyNumberFormat="1" applyFont="1" applyFill="1" applyBorder="1" applyAlignment="1">
      <alignment/>
    </xf>
    <xf numFmtId="3" fontId="45" fillId="37" borderId="13" xfId="48" applyNumberFormat="1" applyFont="1" applyFill="1" applyBorder="1" applyAlignment="1">
      <alignment/>
    </xf>
    <xf numFmtId="188" fontId="1" fillId="37" borderId="13" xfId="49" applyNumberFormat="1" applyFont="1" applyFill="1" applyBorder="1" applyAlignment="1">
      <alignment/>
    </xf>
    <xf numFmtId="188" fontId="4" fillId="37" borderId="13" xfId="0" applyNumberFormat="1" applyFont="1" applyFill="1" applyBorder="1" applyAlignment="1">
      <alignment/>
    </xf>
    <xf numFmtId="188" fontId="4" fillId="37" borderId="0" xfId="0" applyNumberFormat="1" applyFont="1" applyFill="1" applyBorder="1" applyAlignment="1">
      <alignment/>
    </xf>
    <xf numFmtId="190" fontId="22" fillId="0" borderId="0" xfId="55" applyFont="1" applyBorder="1" applyAlignment="1">
      <alignment horizontal="center"/>
      <protection/>
    </xf>
    <xf numFmtId="0" fontId="27" fillId="0" borderId="0" xfId="0" applyFont="1" applyBorder="1" applyAlignment="1">
      <alignment/>
    </xf>
    <xf numFmtId="193" fontId="30" fillId="0" borderId="0" xfId="0" applyNumberFormat="1" applyFont="1" applyFill="1" applyBorder="1" applyAlignment="1">
      <alignment horizontal="left"/>
    </xf>
    <xf numFmtId="38" fontId="30" fillId="35" borderId="26" xfId="0" applyNumberFormat="1" applyFont="1" applyFill="1" applyBorder="1" applyAlignment="1">
      <alignment horizontal="center"/>
    </xf>
    <xf numFmtId="38" fontId="30" fillId="35" borderId="28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1" fontId="34" fillId="0" borderId="22" xfId="0" applyNumberFormat="1" applyFont="1" applyBorder="1" applyAlignment="1">
      <alignment horizontal="center"/>
    </xf>
    <xf numFmtId="1" fontId="34" fillId="0" borderId="22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horizontal="left" vertical="top" wrapText="1"/>
    </xf>
    <xf numFmtId="179" fontId="30" fillId="37" borderId="12" xfId="48" applyFont="1" applyFill="1" applyBorder="1" applyAlignment="1">
      <alignment/>
    </xf>
    <xf numFmtId="0" fontId="30" fillId="0" borderId="12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3" fontId="30" fillId="0" borderId="12" xfId="0" applyNumberFormat="1" applyFont="1" applyFill="1" applyBorder="1" applyAlignment="1">
      <alignment/>
    </xf>
    <xf numFmtId="0" fontId="30" fillId="38" borderId="12" xfId="0" applyFont="1" applyFill="1" applyBorder="1" applyAlignment="1">
      <alignment wrapText="1"/>
    </xf>
    <xf numFmtId="3" fontId="30" fillId="0" borderId="12" xfId="49" applyNumberFormat="1" applyFont="1" applyFill="1" applyBorder="1" applyAlignment="1">
      <alignment/>
    </xf>
    <xf numFmtId="1" fontId="101" fillId="0" borderId="22" xfId="0" applyNumberFormat="1" applyFont="1" applyBorder="1" applyAlignment="1">
      <alignment horizontal="center"/>
    </xf>
    <xf numFmtId="1" fontId="34" fillId="0" borderId="22" xfId="0" applyNumberFormat="1" applyFont="1" applyBorder="1" applyAlignment="1">
      <alignment horizontal="left"/>
    </xf>
    <xf numFmtId="1" fontId="101" fillId="0" borderId="22" xfId="0" applyNumberFormat="1" applyFont="1" applyBorder="1" applyAlignment="1">
      <alignment horizontal="left"/>
    </xf>
    <xf numFmtId="1" fontId="34" fillId="0" borderId="23" xfId="0" applyNumberFormat="1" applyFont="1" applyBorder="1" applyAlignment="1">
      <alignment horizontal="center"/>
    </xf>
    <xf numFmtId="193" fontId="32" fillId="0" borderId="20" xfId="0" applyNumberFormat="1" applyFont="1" applyBorder="1" applyAlignment="1">
      <alignment/>
    </xf>
    <xf numFmtId="197" fontId="30" fillId="0" borderId="0" xfId="48" applyNumberFormat="1" applyFont="1" applyAlignment="1">
      <alignment/>
    </xf>
    <xf numFmtId="1" fontId="58" fillId="0" borderId="0" xfId="54" applyNumberFormat="1" applyFont="1" applyAlignment="1">
      <alignment horizontal="left"/>
      <protection/>
    </xf>
    <xf numFmtId="3" fontId="59" fillId="0" borderId="0" xfId="53" applyNumberFormat="1" applyFont="1" applyAlignment="1">
      <alignment horizontal="center"/>
      <protection/>
    </xf>
    <xf numFmtId="191" fontId="58" fillId="0" borderId="0" xfId="54" applyNumberFormat="1" applyFont="1">
      <alignment/>
      <protection/>
    </xf>
    <xf numFmtId="0" fontId="58" fillId="0" borderId="0" xfId="54" applyFont="1">
      <alignment/>
      <protection/>
    </xf>
    <xf numFmtId="191" fontId="58" fillId="0" borderId="0" xfId="54" applyNumberFormat="1" applyFont="1" applyBorder="1" applyAlignment="1">
      <alignment horizontal="left"/>
      <protection/>
    </xf>
    <xf numFmtId="3" fontId="59" fillId="0" borderId="0" xfId="53" applyNumberFormat="1" applyFont="1" applyBorder="1" applyAlignment="1">
      <alignment horizontal="center"/>
      <protection/>
    </xf>
    <xf numFmtId="1" fontId="58" fillId="0" borderId="0" xfId="54" applyNumberFormat="1" applyFont="1" applyBorder="1" applyAlignment="1">
      <alignment horizontal="center"/>
      <protection/>
    </xf>
    <xf numFmtId="0" fontId="58" fillId="0" borderId="0" xfId="54" applyFont="1" applyBorder="1" applyAlignment="1">
      <alignment horizontal="center"/>
      <protection/>
    </xf>
    <xf numFmtId="191" fontId="58" fillId="0" borderId="0" xfId="54" applyNumberFormat="1" applyFont="1" applyBorder="1" applyAlignment="1">
      <alignment horizontal="center"/>
      <protection/>
    </xf>
    <xf numFmtId="1" fontId="58" fillId="33" borderId="18" xfId="54" applyNumberFormat="1" applyFont="1" applyFill="1" applyBorder="1" applyAlignment="1">
      <alignment horizontal="center"/>
      <protection/>
    </xf>
    <xf numFmtId="0" fontId="58" fillId="33" borderId="10" xfId="54" applyFont="1" applyFill="1" applyBorder="1" applyAlignment="1">
      <alignment horizontal="center"/>
      <protection/>
    </xf>
    <xf numFmtId="191" fontId="58" fillId="33" borderId="10" xfId="54" applyNumberFormat="1" applyFont="1" applyFill="1" applyBorder="1" applyAlignment="1">
      <alignment horizontal="center"/>
      <protection/>
    </xf>
    <xf numFmtId="191" fontId="58" fillId="0" borderId="0" xfId="54" applyNumberFormat="1" applyFont="1" applyFill="1" applyBorder="1" applyAlignment="1">
      <alignment horizontal="center"/>
      <protection/>
    </xf>
    <xf numFmtId="0" fontId="60" fillId="0" borderId="0" xfId="54" applyFont="1">
      <alignment/>
      <protection/>
    </xf>
    <xf numFmtId="1" fontId="58" fillId="33" borderId="19" xfId="54" applyNumberFormat="1" applyFont="1" applyFill="1" applyBorder="1" applyAlignment="1">
      <alignment horizontal="center"/>
      <protection/>
    </xf>
    <xf numFmtId="0" fontId="58" fillId="33" borderId="11" xfId="54" applyFont="1" applyFill="1" applyBorder="1" applyAlignment="1">
      <alignment horizontal="center"/>
      <protection/>
    </xf>
    <xf numFmtId="191" fontId="58" fillId="33" borderId="11" xfId="54" applyNumberFormat="1" applyFont="1" applyFill="1" applyBorder="1" applyAlignment="1">
      <alignment horizontal="center"/>
      <protection/>
    </xf>
    <xf numFmtId="1" fontId="60" fillId="0" borderId="11" xfId="54" applyNumberFormat="1" applyFont="1" applyFill="1" applyBorder="1" applyAlignment="1">
      <alignment horizontal="left"/>
      <protection/>
    </xf>
    <xf numFmtId="0" fontId="60" fillId="0" borderId="11" xfId="54" applyFont="1" applyFill="1" applyBorder="1">
      <alignment/>
      <protection/>
    </xf>
    <xf numFmtId="191" fontId="60" fillId="0" borderId="11" xfId="54" applyNumberFormat="1" applyFont="1" applyFill="1" applyBorder="1">
      <alignment/>
      <protection/>
    </xf>
    <xf numFmtId="191" fontId="60" fillId="0" borderId="0" xfId="54" applyNumberFormat="1" applyFont="1" applyFill="1" applyBorder="1">
      <alignment/>
      <protection/>
    </xf>
    <xf numFmtId="0" fontId="58" fillId="0" borderId="0" xfId="54" applyFont="1" applyFill="1">
      <alignment/>
      <protection/>
    </xf>
    <xf numFmtId="1" fontId="58" fillId="0" borderId="13" xfId="54" applyNumberFormat="1" applyFont="1" applyFill="1" applyBorder="1" applyAlignment="1">
      <alignment horizontal="left"/>
      <protection/>
    </xf>
    <xf numFmtId="0" fontId="58" fillId="0" borderId="13" xfId="54" applyFont="1" applyFill="1" applyBorder="1">
      <alignment/>
      <protection/>
    </xf>
    <xf numFmtId="191" fontId="58" fillId="0" borderId="11" xfId="54" applyNumberFormat="1" applyFont="1" applyFill="1" applyBorder="1">
      <alignment/>
      <protection/>
    </xf>
    <xf numFmtId="191" fontId="58" fillId="0" borderId="0" xfId="54" applyNumberFormat="1" applyFont="1" applyFill="1" applyBorder="1">
      <alignment/>
      <protection/>
    </xf>
    <xf numFmtId="3" fontId="58" fillId="0" borderId="13" xfId="54" applyNumberFormat="1" applyFont="1" applyFill="1" applyBorder="1">
      <alignment/>
      <protection/>
    </xf>
    <xf numFmtId="191" fontId="58" fillId="0" borderId="13" xfId="54" applyNumberFormat="1" applyFont="1" applyFill="1" applyBorder="1">
      <alignment/>
      <protection/>
    </xf>
    <xf numFmtId="1" fontId="58" fillId="0" borderId="0" xfId="54" applyNumberFormat="1" applyFont="1" applyFill="1" applyBorder="1" applyAlignment="1">
      <alignment horizontal="left"/>
      <protection/>
    </xf>
    <xf numFmtId="3" fontId="58" fillId="0" borderId="0" xfId="54" applyNumberFormat="1" applyFont="1" applyFill="1" applyBorder="1">
      <alignment/>
      <protection/>
    </xf>
    <xf numFmtId="1" fontId="58" fillId="0" borderId="25" xfId="54" applyNumberFormat="1" applyFont="1" applyFill="1" applyBorder="1" applyAlignment="1">
      <alignment horizontal="left"/>
      <protection/>
    </xf>
    <xf numFmtId="3" fontId="58" fillId="0" borderId="25" xfId="54" applyNumberFormat="1" applyFont="1" applyFill="1" applyBorder="1">
      <alignment/>
      <protection/>
    </xf>
    <xf numFmtId="191" fontId="58" fillId="0" borderId="25" xfId="54" applyNumberFormat="1" applyFont="1" applyFill="1" applyBorder="1">
      <alignment/>
      <protection/>
    </xf>
    <xf numFmtId="1" fontId="58" fillId="33" borderId="22" xfId="54" applyNumberFormat="1" applyFont="1" applyFill="1" applyBorder="1" applyAlignment="1">
      <alignment horizontal="center"/>
      <protection/>
    </xf>
    <xf numFmtId="0" fontId="58" fillId="33" borderId="12" xfId="54" applyFont="1" applyFill="1" applyBorder="1" applyAlignment="1">
      <alignment horizontal="center"/>
      <protection/>
    </xf>
    <xf numFmtId="191" fontId="58" fillId="33" borderId="12" xfId="54" applyNumberFormat="1" applyFont="1" applyFill="1" applyBorder="1" applyAlignment="1">
      <alignment horizontal="center"/>
      <protection/>
    </xf>
    <xf numFmtId="191" fontId="58" fillId="33" borderId="0" xfId="54" applyNumberFormat="1" applyFont="1" applyFill="1" applyBorder="1" applyAlignment="1">
      <alignment horizontal="center"/>
      <protection/>
    </xf>
    <xf numFmtId="1" fontId="60" fillId="0" borderId="13" xfId="54" applyNumberFormat="1" applyFont="1" applyFill="1" applyBorder="1" applyAlignment="1">
      <alignment horizontal="left"/>
      <protection/>
    </xf>
    <xf numFmtId="3" fontId="60" fillId="0" borderId="13" xfId="54" applyNumberFormat="1" applyFont="1" applyFill="1" applyBorder="1">
      <alignment/>
      <protection/>
    </xf>
    <xf numFmtId="191" fontId="103" fillId="39" borderId="11" xfId="54" applyNumberFormat="1" applyFont="1" applyFill="1" applyBorder="1">
      <alignment/>
      <protection/>
    </xf>
    <xf numFmtId="38" fontId="58" fillId="0" borderId="13" xfId="54" applyNumberFormat="1" applyFont="1" applyFill="1" applyBorder="1">
      <alignment/>
      <protection/>
    </xf>
    <xf numFmtId="38" fontId="58" fillId="0" borderId="0" xfId="54" applyNumberFormat="1" applyFont="1" applyFill="1" applyBorder="1">
      <alignment/>
      <protection/>
    </xf>
    <xf numFmtId="191" fontId="103" fillId="0" borderId="11" xfId="54" applyNumberFormat="1" applyFont="1" applyFill="1" applyBorder="1">
      <alignment/>
      <protection/>
    </xf>
    <xf numFmtId="3" fontId="58" fillId="0" borderId="17" xfId="54" applyNumberFormat="1" applyFont="1" applyFill="1" applyBorder="1">
      <alignment/>
      <protection/>
    </xf>
    <xf numFmtId="1" fontId="58" fillId="0" borderId="10" xfId="54" applyNumberFormat="1" applyFont="1" applyFill="1" applyBorder="1" applyAlignment="1">
      <alignment horizontal="left"/>
      <protection/>
    </xf>
    <xf numFmtId="3" fontId="58" fillId="0" borderId="14" xfId="54" applyNumberFormat="1" applyFont="1" applyFill="1" applyBorder="1">
      <alignment/>
      <protection/>
    </xf>
    <xf numFmtId="191" fontId="58" fillId="0" borderId="12" xfId="54" applyNumberFormat="1" applyFont="1" applyFill="1" applyBorder="1">
      <alignment/>
      <protection/>
    </xf>
    <xf numFmtId="3" fontId="60" fillId="0" borderId="10" xfId="54" applyNumberFormat="1" applyFont="1" applyFill="1" applyBorder="1">
      <alignment/>
      <protection/>
    </xf>
    <xf numFmtId="0" fontId="60" fillId="0" borderId="14" xfId="54" applyFont="1" applyFill="1" applyBorder="1">
      <alignment/>
      <protection/>
    </xf>
    <xf numFmtId="191" fontId="60" fillId="0" borderId="10" xfId="54" applyNumberFormat="1" applyFont="1" applyFill="1" applyBorder="1">
      <alignment/>
      <protection/>
    </xf>
    <xf numFmtId="0" fontId="60" fillId="0" borderId="17" xfId="54" applyFont="1" applyFill="1" applyBorder="1">
      <alignment/>
      <protection/>
    </xf>
    <xf numFmtId="191" fontId="60" fillId="0" borderId="13" xfId="54" applyNumberFormat="1" applyFont="1" applyFill="1" applyBorder="1">
      <alignment/>
      <protection/>
    </xf>
    <xf numFmtId="0" fontId="58" fillId="0" borderId="0" xfId="0" applyFont="1" applyAlignment="1">
      <alignment/>
    </xf>
    <xf numFmtId="195" fontId="58" fillId="0" borderId="0" xfId="0" applyNumberFormat="1" applyFont="1" applyAlignment="1">
      <alignment/>
    </xf>
    <xf numFmtId="195" fontId="103" fillId="39" borderId="0" xfId="48" applyNumberFormat="1" applyFont="1" applyFill="1" applyAlignment="1">
      <alignment/>
    </xf>
    <xf numFmtId="0" fontId="60" fillId="0" borderId="0" xfId="0" applyFont="1" applyAlignment="1">
      <alignment/>
    </xf>
    <xf numFmtId="38" fontId="30" fillId="35" borderId="23" xfId="0" applyNumberFormat="1" applyFont="1" applyFill="1" applyBorder="1" applyAlignment="1">
      <alignment horizontal="center"/>
    </xf>
    <xf numFmtId="38" fontId="30" fillId="35" borderId="27" xfId="0" applyNumberFormat="1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NEXOS" xfId="53"/>
    <cellStyle name="Normal_Distbpsto99" xfId="54"/>
    <cellStyle name="Normal_PSTOAD9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04 (4)"/>
      <sheetName val="INGRESOS04 (3)"/>
      <sheetName val="INGRESOS04 (2)"/>
      <sheetName val="ANALISIS INGRESOS"/>
      <sheetName val="INGRESOS04"/>
      <sheetName val="PROYENOMINA"/>
      <sheetName val="SIDEF"/>
      <sheetName val="ALCALDIA"/>
      <sheetName val="PERSONERIA"/>
      <sheetName val="CONCEJO"/>
      <sheetName val="Hoja1"/>
      <sheetName val="NominC"/>
      <sheetName val="INVERSION"/>
    </sheetNames>
    <sheetDataSet>
      <sheetData sheetId="4">
        <row r="8">
          <cell r="E8">
            <v>35112000</v>
          </cell>
        </row>
        <row r="15">
          <cell r="E15">
            <v>6300000</v>
          </cell>
        </row>
        <row r="17">
          <cell r="E17">
            <v>3268692</v>
          </cell>
        </row>
        <row r="19">
          <cell r="E19">
            <v>0</v>
          </cell>
        </row>
        <row r="20">
          <cell r="E20">
            <v>409549.9670836107</v>
          </cell>
        </row>
        <row r="31">
          <cell r="E31">
            <v>51573970.39022976</v>
          </cell>
        </row>
        <row r="32">
          <cell r="E32">
            <v>54093518.74562493</v>
          </cell>
        </row>
        <row r="44">
          <cell r="E44">
            <v>0</v>
          </cell>
        </row>
        <row r="69">
          <cell r="E69">
            <v>68953850.7</v>
          </cell>
        </row>
        <row r="74">
          <cell r="F74">
            <v>12633594.528996786</v>
          </cell>
        </row>
      </sheetData>
      <sheetData sheetId="5">
        <row r="29">
          <cell r="W29">
            <v>29273203.447697043</v>
          </cell>
          <cell r="AD29">
            <v>30187067.26455</v>
          </cell>
          <cell r="AE29">
            <v>22206578.2176</v>
          </cell>
          <cell r="AF29">
            <v>1448979.2286984</v>
          </cell>
        </row>
        <row r="44">
          <cell r="AE44">
            <v>8675167.0236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2"/>
  <sheetViews>
    <sheetView zoomScalePageLayoutView="0" workbookViewId="0" topLeftCell="D83">
      <selection activeCell="L109" sqref="L109"/>
    </sheetView>
  </sheetViews>
  <sheetFormatPr defaultColWidth="11.421875" defaultRowHeight="12.75"/>
  <cols>
    <col min="1" max="1" width="2.57421875" style="307" customWidth="1"/>
    <col min="2" max="2" width="6.00390625" style="307" customWidth="1"/>
    <col min="3" max="3" width="35.7109375" style="307" customWidth="1"/>
    <col min="4" max="4" width="13.421875" style="307" customWidth="1"/>
    <col min="5" max="5" width="14.28125" style="307" customWidth="1"/>
    <col min="6" max="6" width="16.57421875" style="307" customWidth="1"/>
    <col min="7" max="7" width="15.57421875" style="307" customWidth="1"/>
    <col min="8" max="8" width="12.140625" style="307" bestFit="1" customWidth="1"/>
    <col min="9" max="16384" width="11.421875" style="307" customWidth="1"/>
  </cols>
  <sheetData>
    <row r="1" spans="2:7" s="297" customFormat="1" ht="12.75">
      <c r="B1" s="294" t="s">
        <v>0</v>
      </c>
      <c r="C1" s="295" t="s">
        <v>1</v>
      </c>
      <c r="D1" s="296" t="s">
        <v>5</v>
      </c>
      <c r="E1" s="296" t="s">
        <v>10</v>
      </c>
      <c r="F1" s="296" t="s">
        <v>11</v>
      </c>
      <c r="G1" s="296" t="s">
        <v>12</v>
      </c>
    </row>
    <row r="2" spans="2:7" s="297" customFormat="1" ht="12.75">
      <c r="B2" s="298"/>
      <c r="C2" s="299"/>
      <c r="D2" s="300" t="s">
        <v>301</v>
      </c>
      <c r="E2" s="300" t="s">
        <v>17</v>
      </c>
      <c r="F2" s="300" t="s">
        <v>18</v>
      </c>
      <c r="G2" s="300" t="s">
        <v>19</v>
      </c>
    </row>
    <row r="3" spans="2:7" s="304" customFormat="1" ht="13.5">
      <c r="B3" s="301">
        <v>1</v>
      </c>
      <c r="C3" s="302" t="s">
        <v>20</v>
      </c>
      <c r="D3" s="303">
        <f>SUM(D5+D34)</f>
        <v>3783212239.4542866</v>
      </c>
      <c r="E3" s="303">
        <f>SUM(E5+E34)</f>
        <v>2556172839.15</v>
      </c>
      <c r="F3" s="303">
        <f>SUM(F5+F34)</f>
        <v>0</v>
      </c>
      <c r="G3" s="303">
        <f>SUM(G5+G34)</f>
        <v>1259381009.2616894</v>
      </c>
    </row>
    <row r="4" spans="2:7" ht="13.5">
      <c r="B4" s="305"/>
      <c r="C4" s="289"/>
      <c r="D4" s="306"/>
      <c r="E4" s="306"/>
      <c r="F4" s="306"/>
      <c r="G4" s="306"/>
    </row>
    <row r="5" spans="2:7" s="304" customFormat="1" ht="13.5">
      <c r="B5" s="301">
        <v>1.1</v>
      </c>
      <c r="C5" s="302" t="s">
        <v>21</v>
      </c>
      <c r="D5" s="303">
        <f>SUM(D6+D12)</f>
        <v>724594853.9042864</v>
      </c>
      <c r="E5" s="303">
        <f>SUM(E6+E12)</f>
        <v>111511166.6</v>
      </c>
      <c r="F5" s="303">
        <f>SUM(F6+F12)</f>
        <v>0</v>
      </c>
      <c r="G5" s="303">
        <f>SUM(G6+G12)</f>
        <v>645425296.2616894</v>
      </c>
    </row>
    <row r="6" spans="2:7" ht="13.5">
      <c r="B6" s="301" t="s">
        <v>22</v>
      </c>
      <c r="C6" s="302" t="s">
        <v>23</v>
      </c>
      <c r="D6" s="303">
        <f>SUM(D7:D10)</f>
        <v>382610415.11168945</v>
      </c>
      <c r="E6" s="303">
        <f>SUM(E7:E10)</f>
        <v>37543250</v>
      </c>
      <c r="F6" s="303">
        <f>SUM(F7:F10)</f>
        <v>0</v>
      </c>
      <c r="G6" s="303">
        <f>SUM(G7:G10)</f>
        <v>345067165.11168945</v>
      </c>
    </row>
    <row r="7" spans="2:7" ht="13.5">
      <c r="B7" s="305">
        <v>11101</v>
      </c>
      <c r="C7" s="289" t="s">
        <v>24</v>
      </c>
      <c r="D7" s="306">
        <f>+E7+F7+G7</f>
        <v>343291058.61168945</v>
      </c>
      <c r="E7" s="306"/>
      <c r="F7" s="306"/>
      <c r="G7" s="306">
        <v>343291058.61168945</v>
      </c>
    </row>
    <row r="8" spans="2:7" ht="13.5">
      <c r="B8" s="305">
        <v>11102</v>
      </c>
      <c r="C8" s="289" t="s">
        <v>25</v>
      </c>
      <c r="D8" s="306">
        <f>+E8+F8+G8</f>
        <v>37543250</v>
      </c>
      <c r="E8" s="306">
        <v>37543250</v>
      </c>
      <c r="F8" s="306"/>
      <c r="G8" s="306">
        <v>0</v>
      </c>
    </row>
    <row r="9" spans="2:7" ht="13.5">
      <c r="B9" s="305">
        <v>11103</v>
      </c>
      <c r="C9" s="289" t="s">
        <v>26</v>
      </c>
      <c r="D9" s="306">
        <f>+E9+F9+G9</f>
        <v>498750</v>
      </c>
      <c r="E9" s="306"/>
      <c r="F9" s="306"/>
      <c r="G9" s="306">
        <v>498750</v>
      </c>
    </row>
    <row r="10" spans="2:7" ht="13.5">
      <c r="B10" s="305">
        <v>11104</v>
      </c>
      <c r="C10" s="289" t="s">
        <v>27</v>
      </c>
      <c r="D10" s="306">
        <f>+E10+F10+G10</f>
        <v>1277356.5</v>
      </c>
      <c r="E10" s="306"/>
      <c r="F10" s="306"/>
      <c r="G10" s="306">
        <v>1277356.5</v>
      </c>
    </row>
    <row r="11" spans="2:7" ht="13.5">
      <c r="B11" s="305"/>
      <c r="C11" s="289"/>
      <c r="D11" s="306"/>
      <c r="E11" s="306"/>
      <c r="F11" s="306"/>
      <c r="G11" s="306"/>
    </row>
    <row r="12" spans="2:7" ht="13.5">
      <c r="B12" s="301" t="s">
        <v>28</v>
      </c>
      <c r="C12" s="302" t="s">
        <v>29</v>
      </c>
      <c r="D12" s="303">
        <f>SUM(D13:D32)</f>
        <v>341984438.7925969</v>
      </c>
      <c r="E12" s="303">
        <f>SUM(E13:E32)</f>
        <v>73967916.6</v>
      </c>
      <c r="F12" s="303">
        <f>SUM(F13:F32)</f>
        <v>0</v>
      </c>
      <c r="G12" s="303">
        <f>SUM(G13:G32)</f>
        <v>300358131.15</v>
      </c>
    </row>
    <row r="13" spans="2:7" ht="13.5">
      <c r="B13" s="305"/>
      <c r="C13" s="289" t="s">
        <v>30</v>
      </c>
      <c r="D13" s="306">
        <v>155507625</v>
      </c>
      <c r="E13" s="306"/>
      <c r="F13" s="306"/>
      <c r="G13" s="306">
        <f>+D13</f>
        <v>155507625</v>
      </c>
    </row>
    <row r="14" spans="2:7" ht="13.5">
      <c r="B14" s="305"/>
      <c r="C14" s="289" t="s">
        <v>31</v>
      </c>
      <c r="D14" s="306">
        <v>18971662.5</v>
      </c>
      <c r="E14" s="306"/>
      <c r="F14" s="306"/>
      <c r="G14" s="306">
        <f>+D14</f>
        <v>18971662.5</v>
      </c>
    </row>
    <row r="15" spans="2:6" ht="13.5">
      <c r="B15" s="305"/>
      <c r="C15" s="289" t="s">
        <v>32</v>
      </c>
      <c r="D15" s="306">
        <v>4410000</v>
      </c>
      <c r="E15" s="306">
        <f>+D15</f>
        <v>4410000</v>
      </c>
      <c r="F15" s="306"/>
    </row>
    <row r="16" spans="2:7" ht="13.5">
      <c r="B16" s="305"/>
      <c r="C16" s="289" t="s">
        <v>33</v>
      </c>
      <c r="D16" s="306">
        <v>91507500</v>
      </c>
      <c r="F16" s="306"/>
      <c r="G16" s="306">
        <f>+D16</f>
        <v>91507500</v>
      </c>
    </row>
    <row r="17" spans="2:7" ht="13.5">
      <c r="B17" s="305"/>
      <c r="C17" s="289" t="s">
        <v>34</v>
      </c>
      <c r="D17" s="306">
        <v>1332126.6</v>
      </c>
      <c r="E17" s="306">
        <f>+D17</f>
        <v>1332126.6</v>
      </c>
      <c r="F17" s="306"/>
      <c r="G17" s="306"/>
    </row>
    <row r="18" spans="2:7" ht="13.5">
      <c r="B18" s="305"/>
      <c r="C18" s="289" t="s">
        <v>35</v>
      </c>
      <c r="D18" s="306">
        <v>0</v>
      </c>
      <c r="E18" s="306">
        <f>+D18</f>
        <v>0</v>
      </c>
      <c r="F18" s="306"/>
      <c r="G18" s="306"/>
    </row>
    <row r="19" spans="2:7" ht="13.5">
      <c r="B19" s="305"/>
      <c r="C19" s="289" t="s">
        <v>36</v>
      </c>
      <c r="D19" s="306">
        <v>0</v>
      </c>
      <c r="E19" s="306">
        <f>+D19</f>
        <v>0</v>
      </c>
      <c r="F19" s="306"/>
      <c r="G19" s="306"/>
    </row>
    <row r="20" spans="2:7" ht="13.5">
      <c r="B20" s="305"/>
      <c r="C20" s="289" t="s">
        <v>37</v>
      </c>
      <c r="D20" s="306">
        <v>100000</v>
      </c>
      <c r="E20" s="306">
        <f>+D20</f>
        <v>100000</v>
      </c>
      <c r="F20" s="306"/>
      <c r="G20" s="306"/>
    </row>
    <row r="21" spans="2:7" ht="13.5">
      <c r="B21" s="305"/>
      <c r="C21" s="289" t="s">
        <v>38</v>
      </c>
      <c r="D21" s="306">
        <v>6744793.65</v>
      </c>
      <c r="E21" s="306"/>
      <c r="F21" s="306"/>
      <c r="G21" s="306">
        <f aca="true" t="shared" si="0" ref="G21:G29">+D21</f>
        <v>6744793.65</v>
      </c>
    </row>
    <row r="22" spans="2:7" ht="13.5">
      <c r="B22" s="305"/>
      <c r="C22" s="289" t="s">
        <v>39</v>
      </c>
      <c r="D22" s="306">
        <v>288750</v>
      </c>
      <c r="E22" s="306"/>
      <c r="F22" s="306"/>
      <c r="G22" s="306">
        <f t="shared" si="0"/>
        <v>288750</v>
      </c>
    </row>
    <row r="23" spans="2:7" ht="13.5">
      <c r="B23" s="305"/>
      <c r="C23" s="289" t="s">
        <v>40</v>
      </c>
      <c r="D23" s="306">
        <v>0</v>
      </c>
      <c r="E23" s="306"/>
      <c r="F23" s="306"/>
      <c r="G23" s="306">
        <f t="shared" si="0"/>
        <v>0</v>
      </c>
    </row>
    <row r="24" spans="2:7" ht="13.5">
      <c r="B24" s="305"/>
      <c r="C24" s="289" t="s">
        <v>41</v>
      </c>
      <c r="D24" s="306">
        <v>877800</v>
      </c>
      <c r="E24" s="306"/>
      <c r="F24" s="306"/>
      <c r="G24" s="306">
        <f t="shared" si="0"/>
        <v>877800</v>
      </c>
    </row>
    <row r="25" spans="2:7" ht="13.5">
      <c r="B25" s="305"/>
      <c r="C25" s="289" t="s">
        <v>42</v>
      </c>
      <c r="D25" s="306">
        <v>26460000</v>
      </c>
      <c r="E25" s="306"/>
      <c r="F25" s="306"/>
      <c r="G25" s="306">
        <f t="shared" si="0"/>
        <v>26460000</v>
      </c>
    </row>
    <row r="26" spans="2:7" ht="13.5">
      <c r="B26" s="305"/>
      <c r="C26" s="289" t="s">
        <v>43</v>
      </c>
      <c r="D26" s="306">
        <v>0</v>
      </c>
      <c r="E26" s="306"/>
      <c r="F26" s="306"/>
      <c r="G26" s="306">
        <f t="shared" si="0"/>
        <v>0</v>
      </c>
    </row>
    <row r="27" spans="2:7" ht="13.5">
      <c r="B27" s="305"/>
      <c r="C27" s="289" t="s">
        <v>44</v>
      </c>
      <c r="D27" s="306">
        <v>0</v>
      </c>
      <c r="E27" s="306"/>
      <c r="F27" s="306"/>
      <c r="G27" s="306">
        <f t="shared" si="0"/>
        <v>0</v>
      </c>
    </row>
    <row r="28" spans="2:7" ht="13.5">
      <c r="B28" s="305"/>
      <c r="C28" s="289" t="s">
        <v>45</v>
      </c>
      <c r="D28" s="306">
        <v>0</v>
      </c>
      <c r="E28" s="306"/>
      <c r="F28" s="306"/>
      <c r="G28" s="306">
        <f t="shared" si="0"/>
        <v>0</v>
      </c>
    </row>
    <row r="29" spans="2:7" ht="13.5">
      <c r="B29" s="305"/>
      <c r="C29" s="289" t="s">
        <v>46</v>
      </c>
      <c r="D29" s="306">
        <v>0</v>
      </c>
      <c r="E29" s="306"/>
      <c r="F29" s="306"/>
      <c r="G29" s="306">
        <f t="shared" si="0"/>
        <v>0</v>
      </c>
    </row>
    <row r="30" spans="2:7" ht="13.5">
      <c r="B30" s="305"/>
      <c r="C30" s="289" t="s">
        <v>47</v>
      </c>
      <c r="D30" s="306">
        <v>0</v>
      </c>
      <c r="E30" s="306"/>
      <c r="F30" s="306"/>
      <c r="G30" s="306"/>
    </row>
    <row r="31" spans="2:7" ht="13.5">
      <c r="B31" s="305"/>
      <c r="C31" s="289" t="s">
        <v>256</v>
      </c>
      <c r="D31" s="306"/>
      <c r="E31" s="306">
        <v>35784181</v>
      </c>
      <c r="F31" s="306"/>
      <c r="G31" s="306"/>
    </row>
    <row r="32" spans="2:7" ht="13.5">
      <c r="B32" s="305"/>
      <c r="C32" s="289" t="s">
        <v>263</v>
      </c>
      <c r="D32" s="306">
        <v>35784181.042596854</v>
      </c>
      <c r="E32" s="306">
        <v>32341609</v>
      </c>
      <c r="F32" s="308"/>
      <c r="G32" s="308"/>
    </row>
    <row r="33" spans="2:7" ht="13.5">
      <c r="B33" s="305"/>
      <c r="C33" s="289"/>
      <c r="D33" s="306">
        <v>0</v>
      </c>
      <c r="E33" s="306"/>
      <c r="F33" s="308"/>
      <c r="G33" s="308"/>
    </row>
    <row r="34" spans="2:7" s="304" customFormat="1" ht="13.5">
      <c r="B34" s="301">
        <v>1.2</v>
      </c>
      <c r="C34" s="302" t="s">
        <v>48</v>
      </c>
      <c r="D34" s="303">
        <f>SUM(D35+D56+D62+D70)</f>
        <v>3058617385.55</v>
      </c>
      <c r="E34" s="303">
        <f>SUM(E35+E56+E62+E70)</f>
        <v>2444661672.55</v>
      </c>
      <c r="F34" s="303">
        <f>SUM(F35+F56+F62+F70)</f>
        <v>0</v>
      </c>
      <c r="G34" s="303">
        <f>SUM(G35+G56+G62+G70)</f>
        <v>613955713</v>
      </c>
    </row>
    <row r="35" spans="2:7" ht="13.5">
      <c r="B35" s="301" t="s">
        <v>49</v>
      </c>
      <c r="C35" s="302" t="s">
        <v>50</v>
      </c>
      <c r="D35" s="303">
        <f>SUM(D36:D48)</f>
        <v>34800000</v>
      </c>
      <c r="E35" s="303">
        <f>SUM(E36:E48)</f>
        <v>100000</v>
      </c>
      <c r="F35" s="303">
        <f>SUM(F36:F48)</f>
        <v>0</v>
      </c>
      <c r="G35" s="303">
        <f>SUM(G36:G48)</f>
        <v>34700000</v>
      </c>
    </row>
    <row r="36" spans="2:7" ht="13.5">
      <c r="B36" s="305"/>
      <c r="C36" s="289" t="s">
        <v>51</v>
      </c>
      <c r="D36" s="306">
        <f>SUM('ANALISIS INGRESOS'!V38)</f>
        <v>0</v>
      </c>
      <c r="E36" s="306"/>
      <c r="F36" s="306"/>
      <c r="G36" s="306">
        <f aca="true" t="shared" si="1" ref="G36:G42">+D36</f>
        <v>0</v>
      </c>
    </row>
    <row r="37" spans="2:7" ht="13.5">
      <c r="B37" s="305"/>
      <c r="C37" s="289" t="s">
        <v>52</v>
      </c>
      <c r="D37" s="306">
        <v>9000000</v>
      </c>
      <c r="E37" s="306"/>
      <c r="F37" s="306"/>
      <c r="G37" s="306">
        <f t="shared" si="1"/>
        <v>9000000</v>
      </c>
    </row>
    <row r="38" spans="2:7" ht="13.5">
      <c r="B38" s="305"/>
      <c r="C38" s="289" t="s">
        <v>53</v>
      </c>
      <c r="D38" s="306">
        <f>SUM('ANALISIS INGRESOS'!Q40)</f>
        <v>0</v>
      </c>
      <c r="E38" s="306"/>
      <c r="F38" s="306"/>
      <c r="G38" s="306">
        <f t="shared" si="1"/>
        <v>0</v>
      </c>
    </row>
    <row r="39" spans="2:7" ht="13.5">
      <c r="B39" s="305"/>
      <c r="C39" s="289" t="s">
        <v>287</v>
      </c>
      <c r="D39" s="306">
        <v>16000000</v>
      </c>
      <c r="E39" s="306"/>
      <c r="F39" s="306"/>
      <c r="G39" s="306">
        <f t="shared" si="1"/>
        <v>16000000</v>
      </c>
    </row>
    <row r="40" spans="2:7" ht="13.5">
      <c r="B40" s="305"/>
      <c r="C40" s="289" t="s">
        <v>55</v>
      </c>
      <c r="D40" s="306">
        <v>200000</v>
      </c>
      <c r="E40" s="306"/>
      <c r="F40" s="306"/>
      <c r="G40" s="306">
        <f t="shared" si="1"/>
        <v>200000</v>
      </c>
    </row>
    <row r="41" spans="2:7" ht="13.5">
      <c r="B41" s="305"/>
      <c r="C41" s="289" t="s">
        <v>56</v>
      </c>
      <c r="D41" s="306">
        <v>100000</v>
      </c>
      <c r="E41" s="306"/>
      <c r="F41" s="306"/>
      <c r="G41" s="306">
        <f t="shared" si="1"/>
        <v>100000</v>
      </c>
    </row>
    <row r="42" spans="2:7" ht="13.5">
      <c r="B42" s="305"/>
      <c r="C42" s="289" t="s">
        <v>57</v>
      </c>
      <c r="D42" s="306">
        <v>3000000</v>
      </c>
      <c r="E42" s="306"/>
      <c r="F42" s="306"/>
      <c r="G42" s="306">
        <f t="shared" si="1"/>
        <v>3000000</v>
      </c>
    </row>
    <row r="43" spans="2:7" ht="13.5">
      <c r="B43" s="305"/>
      <c r="C43" s="289" t="s">
        <v>58</v>
      </c>
      <c r="D43" s="306">
        <v>700000</v>
      </c>
      <c r="E43" s="306"/>
      <c r="F43" s="306"/>
      <c r="G43" s="306">
        <f>+D43</f>
        <v>700000</v>
      </c>
    </row>
    <row r="44" spans="2:7" ht="13.5">
      <c r="B44" s="305"/>
      <c r="C44" s="289" t="s">
        <v>59</v>
      </c>
      <c r="D44" s="306">
        <v>100000</v>
      </c>
      <c r="E44" s="306">
        <f>D44</f>
        <v>100000</v>
      </c>
      <c r="F44" s="306"/>
      <c r="G44" s="306">
        <v>0</v>
      </c>
    </row>
    <row r="45" spans="2:7" ht="13.5">
      <c r="B45" s="305"/>
      <c r="C45" s="289" t="s">
        <v>303</v>
      </c>
      <c r="D45" s="306">
        <v>5000000</v>
      </c>
      <c r="E45" s="306"/>
      <c r="F45" s="306"/>
      <c r="G45" s="306">
        <f>+D45</f>
        <v>5000000</v>
      </c>
    </row>
    <row r="46" spans="2:7" ht="13.5">
      <c r="B46" s="305"/>
      <c r="C46" s="289" t="s">
        <v>61</v>
      </c>
      <c r="D46" s="306"/>
      <c r="E46" s="306"/>
      <c r="F46" s="306"/>
      <c r="G46" s="306">
        <f>+D46</f>
        <v>0</v>
      </c>
    </row>
    <row r="47" spans="2:7" ht="13.5">
      <c r="B47" s="305"/>
      <c r="C47" s="289" t="s">
        <v>202</v>
      </c>
      <c r="D47" s="306">
        <v>600000</v>
      </c>
      <c r="E47" s="306"/>
      <c r="F47" s="306"/>
      <c r="G47" s="306">
        <f>+D47</f>
        <v>600000</v>
      </c>
    </row>
    <row r="48" spans="2:7" ht="13.5">
      <c r="B48" s="305"/>
      <c r="C48" s="309" t="s">
        <v>267</v>
      </c>
      <c r="D48" s="306">
        <v>100000</v>
      </c>
      <c r="E48" s="310"/>
      <c r="F48" s="306"/>
      <c r="G48" s="306">
        <f>+D48</f>
        <v>100000</v>
      </c>
    </row>
    <row r="49" spans="2:7" ht="13.5">
      <c r="B49" s="311"/>
      <c r="C49" s="312"/>
      <c r="D49" s="313"/>
      <c r="E49" s="313"/>
      <c r="F49" s="314"/>
      <c r="G49" s="314"/>
    </row>
    <row r="50" spans="2:7" ht="13.5">
      <c r="B50" s="315"/>
      <c r="C50" s="309"/>
      <c r="D50" s="310"/>
      <c r="E50" s="310"/>
      <c r="F50" s="310"/>
      <c r="G50" s="310"/>
    </row>
    <row r="51" spans="2:7" ht="13.5">
      <c r="B51" s="315"/>
      <c r="C51" s="309"/>
      <c r="D51" s="310"/>
      <c r="E51" s="310"/>
      <c r="F51" s="310"/>
      <c r="G51" s="310"/>
    </row>
    <row r="52" spans="2:7" ht="13.5">
      <c r="B52" s="316"/>
      <c r="C52" s="312"/>
      <c r="D52" s="313"/>
      <c r="E52" s="313"/>
      <c r="F52" s="313"/>
      <c r="G52" s="313"/>
    </row>
    <row r="53" spans="2:7" ht="13.5">
      <c r="B53" s="305"/>
      <c r="C53" s="317" t="s">
        <v>1</v>
      </c>
      <c r="D53" s="318" t="s">
        <v>5</v>
      </c>
      <c r="E53" s="318" t="s">
        <v>10</v>
      </c>
      <c r="F53" s="318" t="s">
        <v>11</v>
      </c>
      <c r="G53" s="318" t="s">
        <v>12</v>
      </c>
    </row>
    <row r="54" spans="2:7" ht="13.5">
      <c r="B54" s="305"/>
      <c r="C54" s="299"/>
      <c r="D54" s="300" t="s">
        <v>301</v>
      </c>
      <c r="E54" s="300" t="s">
        <v>17</v>
      </c>
      <c r="F54" s="300" t="s">
        <v>18</v>
      </c>
      <c r="G54" s="300" t="s">
        <v>19</v>
      </c>
    </row>
    <row r="55" spans="2:7" ht="13.5">
      <c r="B55" s="305"/>
      <c r="D55" s="319"/>
      <c r="E55" s="320"/>
      <c r="F55" s="306"/>
      <c r="G55" s="334"/>
    </row>
    <row r="56" spans="2:7" ht="13.5">
      <c r="B56" s="301" t="s">
        <v>63</v>
      </c>
      <c r="C56" s="302" t="s">
        <v>64</v>
      </c>
      <c r="D56" s="321">
        <f>SUM(D57:D58)</f>
        <v>0</v>
      </c>
      <c r="E56" s="321">
        <f>SUM(E57:E58)</f>
        <v>0</v>
      </c>
      <c r="F56" s="321">
        <f>SUM(F57:F58)</f>
        <v>0</v>
      </c>
      <c r="G56" s="321">
        <f>SUM(G57:G58)</f>
        <v>0</v>
      </c>
    </row>
    <row r="57" spans="2:7" ht="13.5">
      <c r="B57" s="305"/>
      <c r="C57" s="289" t="s">
        <v>65</v>
      </c>
      <c r="D57" s="308">
        <f>SUM('ANALISIS INGRESOS'!V53)</f>
        <v>0</v>
      </c>
      <c r="E57" s="308"/>
      <c r="F57" s="308"/>
      <c r="G57" s="306">
        <f>+D57</f>
        <v>0</v>
      </c>
    </row>
    <row r="58" spans="2:7" ht="13.5">
      <c r="B58" s="305"/>
      <c r="C58" s="289" t="s">
        <v>66</v>
      </c>
      <c r="D58" s="308">
        <f>SUM('ANALISIS INGRESOS'!V54)</f>
        <v>0</v>
      </c>
      <c r="E58" s="322">
        <f>+D58</f>
        <v>0</v>
      </c>
      <c r="F58" s="308"/>
      <c r="G58" s="306"/>
    </row>
    <row r="59" spans="2:7" ht="13.5">
      <c r="B59" s="301" t="s">
        <v>67</v>
      </c>
      <c r="C59" s="302" t="s">
        <v>304</v>
      </c>
      <c r="D59" s="322">
        <f>D60</f>
        <v>200000</v>
      </c>
      <c r="E59" s="322">
        <v>0</v>
      </c>
      <c r="F59" s="322">
        <v>0</v>
      </c>
      <c r="G59" s="306">
        <f>G60</f>
        <v>200000</v>
      </c>
    </row>
    <row r="60" spans="2:7" ht="13.5">
      <c r="B60" s="305"/>
      <c r="C60" s="289" t="s">
        <v>305</v>
      </c>
      <c r="D60" s="322">
        <v>200000</v>
      </c>
      <c r="E60" s="322">
        <v>0</v>
      </c>
      <c r="F60" s="322">
        <v>0</v>
      </c>
      <c r="G60" s="306">
        <f>D60</f>
        <v>200000</v>
      </c>
    </row>
    <row r="61" spans="2:7" ht="13.5">
      <c r="B61" s="305"/>
      <c r="C61" s="289"/>
      <c r="D61" s="322"/>
      <c r="E61" s="322"/>
      <c r="F61" s="322"/>
      <c r="G61" s="306"/>
    </row>
    <row r="62" spans="2:7" ht="13.5">
      <c r="B62" s="301" t="s">
        <v>306</v>
      </c>
      <c r="C62" s="302" t="s">
        <v>265</v>
      </c>
      <c r="D62" s="303">
        <f>SUM(D63:D68)</f>
        <v>2930415842</v>
      </c>
      <c r="E62" s="303">
        <f>SUM(E63:E68)</f>
        <v>2351160129</v>
      </c>
      <c r="F62" s="303">
        <f>SUM(F63:F68)</f>
        <v>0</v>
      </c>
      <c r="G62" s="303">
        <f>SUM(G63:G68)</f>
        <v>579255713</v>
      </c>
    </row>
    <row r="63" spans="2:7" ht="13.5">
      <c r="B63" s="305"/>
      <c r="C63" s="289" t="s">
        <v>69</v>
      </c>
      <c r="D63" s="306">
        <f>SUM('ANALISIS INGRESOS'!Q57)</f>
        <v>301792223</v>
      </c>
      <c r="E63" s="306">
        <f>+D63</f>
        <v>301792223</v>
      </c>
      <c r="F63" s="308"/>
      <c r="G63" s="308"/>
    </row>
    <row r="64" spans="2:7" ht="13.5">
      <c r="B64" s="305"/>
      <c r="C64" s="289" t="s">
        <v>70</v>
      </c>
      <c r="D64" s="306">
        <v>579255713</v>
      </c>
      <c r="E64" s="306">
        <v>0</v>
      </c>
      <c r="F64" s="306">
        <v>0</v>
      </c>
      <c r="G64" s="306">
        <f>+D64</f>
        <v>579255713</v>
      </c>
    </row>
    <row r="65" spans="2:7" ht="13.5">
      <c r="B65" s="305"/>
      <c r="C65" s="289" t="s">
        <v>71</v>
      </c>
      <c r="D65" s="306">
        <f>SUM('ANALISIS INGRESOS'!Q59)</f>
        <v>369507902</v>
      </c>
      <c r="E65" s="306">
        <f>+D65</f>
        <v>369507902</v>
      </c>
      <c r="F65" s="306"/>
      <c r="G65" s="306"/>
    </row>
    <row r="66" spans="2:7" ht="13.5">
      <c r="B66" s="305"/>
      <c r="C66" s="309" t="s">
        <v>255</v>
      </c>
      <c r="D66" s="306">
        <f>SUM('ANALISIS INGRESOS'!Q60)</f>
        <v>896845164</v>
      </c>
      <c r="E66" s="306">
        <f>+D66</f>
        <v>896845164</v>
      </c>
      <c r="F66" s="306"/>
      <c r="G66" s="306"/>
    </row>
    <row r="67" spans="2:7" ht="13.5">
      <c r="B67" s="305"/>
      <c r="C67" s="289" t="s">
        <v>72</v>
      </c>
      <c r="D67" s="306">
        <f>SUM('ANALISIS INGRESOS'!Q61)</f>
        <v>724663168</v>
      </c>
      <c r="E67" s="306">
        <f>+D67</f>
        <v>724663168</v>
      </c>
      <c r="F67" s="306"/>
      <c r="G67" s="306"/>
    </row>
    <row r="68" spans="2:7" ht="13.5">
      <c r="B68" s="305"/>
      <c r="C68" s="289" t="s">
        <v>73</v>
      </c>
      <c r="D68" s="306">
        <f>SUM('ANALISIS INGRESOS'!Q62)</f>
        <v>58351672</v>
      </c>
      <c r="E68" s="306">
        <f>+D68</f>
        <v>58351672</v>
      </c>
      <c r="F68" s="306"/>
      <c r="G68" s="306"/>
    </row>
    <row r="69" spans="2:7" ht="13.5">
      <c r="B69" s="305"/>
      <c r="C69" s="289"/>
      <c r="D69" s="306"/>
      <c r="E69" s="306"/>
      <c r="F69" s="306"/>
      <c r="G69" s="306"/>
    </row>
    <row r="70" spans="2:7" s="304" customFormat="1" ht="13.5">
      <c r="B70" s="301">
        <v>2</v>
      </c>
      <c r="C70" s="302" t="s">
        <v>74</v>
      </c>
      <c r="D70" s="321">
        <f>SUM(D71:D71)</f>
        <v>93401543.55</v>
      </c>
      <c r="E70" s="321">
        <f>SUM(E71:E71)</f>
        <v>93401543.55</v>
      </c>
      <c r="F70" s="321">
        <f>SUM(F71:F71)</f>
        <v>0</v>
      </c>
      <c r="G70" s="321">
        <f>SUM(G71:G71)</f>
        <v>0</v>
      </c>
    </row>
    <row r="71" spans="2:7" ht="13.5">
      <c r="B71" s="305"/>
      <c r="C71" s="289" t="s">
        <v>75</v>
      </c>
      <c r="D71" s="306">
        <f>+E71</f>
        <v>93401543.55</v>
      </c>
      <c r="E71" s="308">
        <v>93401543.55</v>
      </c>
      <c r="F71" s="308"/>
      <c r="G71" s="306"/>
    </row>
    <row r="72" spans="2:7" ht="13.5">
      <c r="B72" s="305"/>
      <c r="C72" s="289"/>
      <c r="D72" s="308"/>
      <c r="E72" s="308"/>
      <c r="F72" s="308"/>
      <c r="G72" s="308"/>
    </row>
    <row r="73" spans="2:7" ht="13.5">
      <c r="B73" s="305"/>
      <c r="C73" s="289"/>
      <c r="D73" s="306"/>
      <c r="E73" s="306"/>
      <c r="F73" s="306"/>
      <c r="G73" s="306"/>
    </row>
    <row r="74" spans="2:7" s="304" customFormat="1" ht="13.5">
      <c r="B74" s="301">
        <v>3</v>
      </c>
      <c r="C74" s="302" t="s">
        <v>76</v>
      </c>
      <c r="D74" s="321">
        <f>SUM(D75:D78)</f>
        <v>15225818</v>
      </c>
      <c r="E74" s="321">
        <f>SUM(E75:E78)</f>
        <v>0</v>
      </c>
      <c r="F74" s="321">
        <f>SUM(F75:F78)</f>
        <v>15225818</v>
      </c>
      <c r="G74" s="321">
        <f>SUM(G75:G78)</f>
        <v>0</v>
      </c>
    </row>
    <row r="75" spans="2:7" ht="13.5">
      <c r="B75" s="305"/>
      <c r="C75" s="289" t="s">
        <v>77</v>
      </c>
      <c r="D75" s="308">
        <v>0</v>
      </c>
      <c r="E75" s="308"/>
      <c r="F75" s="308"/>
      <c r="G75" s="308"/>
    </row>
    <row r="76" spans="2:7" ht="13.5">
      <c r="B76" s="305"/>
      <c r="C76" s="289" t="s">
        <v>78</v>
      </c>
      <c r="D76" s="308">
        <f>SUM('ANALISIS INGRESOS'!Q80)</f>
        <v>15225818</v>
      </c>
      <c r="E76" s="308"/>
      <c r="F76" s="308">
        <f>D76</f>
        <v>15225818</v>
      </c>
      <c r="G76" s="308"/>
    </row>
    <row r="77" spans="2:7" ht="13.5">
      <c r="B77" s="305"/>
      <c r="C77" s="289" t="s">
        <v>85</v>
      </c>
      <c r="D77" s="308">
        <f>SUM('ANALISIS INGRESOS'!V82)</f>
        <v>0</v>
      </c>
      <c r="E77" s="308"/>
      <c r="F77" s="308">
        <f>D77</f>
        <v>0</v>
      </c>
      <c r="G77" s="308"/>
    </row>
    <row r="78" spans="2:7" ht="13.5">
      <c r="B78" s="305"/>
      <c r="C78" s="289" t="s">
        <v>80</v>
      </c>
      <c r="D78" s="308">
        <f>SUM('ANALISIS INGRESOS'!V85)</f>
        <v>0</v>
      </c>
      <c r="E78" s="308"/>
      <c r="F78" s="308">
        <f>D78</f>
        <v>0</v>
      </c>
      <c r="G78" s="308"/>
    </row>
    <row r="79" spans="2:7" ht="13.5">
      <c r="B79" s="305"/>
      <c r="C79" s="289"/>
      <c r="D79" s="306"/>
      <c r="E79" s="308">
        <f>F79</f>
        <v>0</v>
      </c>
      <c r="F79" s="306"/>
      <c r="G79" s="314"/>
    </row>
    <row r="80" spans="2:7" s="297" customFormat="1" ht="12.75">
      <c r="B80" s="323"/>
      <c r="C80" s="324" t="s">
        <v>81</v>
      </c>
      <c r="D80" s="325">
        <f>SUM(D3+D74)</f>
        <v>3798438057.4542866</v>
      </c>
      <c r="E80" s="325">
        <f>SUM(E3+E74)</f>
        <v>2556172839.15</v>
      </c>
      <c r="F80" s="325">
        <f>SUM(F3+F74)</f>
        <v>15225818</v>
      </c>
      <c r="G80" s="325">
        <f>SUM(G3+G70+G74)</f>
        <v>1259381009.2616894</v>
      </c>
    </row>
    <row r="81" spans="2:7" s="297" customFormat="1" ht="13.5" hidden="1">
      <c r="B81" s="326" t="s">
        <v>302</v>
      </c>
      <c r="C81" s="327"/>
      <c r="D81" s="328"/>
      <c r="E81" s="328"/>
      <c r="F81" s="328"/>
      <c r="G81" s="328"/>
    </row>
    <row r="82" spans="2:7" s="297" customFormat="1" ht="13.5" hidden="1">
      <c r="B82" s="329" t="s">
        <v>82</v>
      </c>
      <c r="C82" s="327"/>
      <c r="D82" s="328"/>
      <c r="E82" s="328"/>
      <c r="F82" s="328"/>
      <c r="G82" s="328"/>
    </row>
    <row r="83" spans="2:7" s="297" customFormat="1" ht="13.5">
      <c r="B83" s="329"/>
      <c r="C83" s="327"/>
      <c r="D83" s="328"/>
      <c r="E83" s="328"/>
      <c r="F83" s="328"/>
      <c r="G83" s="328"/>
    </row>
    <row r="84" spans="2:7" s="297" customFormat="1" ht="13.5">
      <c r="B84" s="329"/>
      <c r="C84" s="327"/>
      <c r="D84" s="330" t="s">
        <v>86</v>
      </c>
      <c r="E84" s="328"/>
      <c r="F84" s="328"/>
      <c r="G84" s="328"/>
    </row>
    <row r="85" spans="2:7" s="297" customFormat="1" ht="13.5">
      <c r="B85" s="329"/>
      <c r="C85" s="327"/>
      <c r="D85" s="328"/>
      <c r="E85" s="328"/>
      <c r="F85" s="328"/>
      <c r="G85" s="328"/>
    </row>
    <row r="86" spans="2:8" s="297" customFormat="1" ht="13.5">
      <c r="B86" s="309" t="s">
        <v>289</v>
      </c>
      <c r="C86" s="307"/>
      <c r="D86" s="310"/>
      <c r="E86" s="310"/>
      <c r="F86" s="310"/>
      <c r="G86" s="310">
        <f>+G80*0.8</f>
        <v>1007504807.4093516</v>
      </c>
      <c r="H86" s="331"/>
    </row>
    <row r="87" spans="2:7" s="297" customFormat="1" ht="13.5">
      <c r="B87" s="309" t="s">
        <v>288</v>
      </c>
      <c r="C87" s="307"/>
      <c r="D87" s="310"/>
      <c r="E87" s="310"/>
      <c r="F87" s="310"/>
      <c r="G87" s="310">
        <f>SUM(PROYENOMINA!V42)</f>
        <v>75908170.80000001</v>
      </c>
    </row>
    <row r="88" spans="2:8" s="297" customFormat="1" ht="13.5">
      <c r="B88" s="309" t="s">
        <v>280</v>
      </c>
      <c r="C88" s="307"/>
      <c r="D88" s="310"/>
      <c r="E88" s="310"/>
      <c r="F88" s="310"/>
      <c r="G88" s="310">
        <f>+G80*0.015</f>
        <v>18890715.13892534</v>
      </c>
      <c r="H88" s="310"/>
    </row>
    <row r="89" spans="2:8" s="297" customFormat="1" ht="13.5">
      <c r="B89" s="309" t="s">
        <v>87</v>
      </c>
      <c r="C89" s="307"/>
      <c r="D89" s="310"/>
      <c r="E89" s="310"/>
      <c r="F89" s="310"/>
      <c r="G89" s="310">
        <f>+G87+G88</f>
        <v>94798885.93892536</v>
      </c>
      <c r="H89" s="331"/>
    </row>
    <row r="90" spans="2:7" s="297" customFormat="1" ht="13.5">
      <c r="B90" s="309" t="s">
        <v>88</v>
      </c>
      <c r="C90" s="307"/>
      <c r="D90" s="310"/>
      <c r="E90" s="310"/>
      <c r="F90" s="310"/>
      <c r="G90" s="310">
        <f>+(461500*1.05)*150</f>
        <v>72686250</v>
      </c>
    </row>
    <row r="91" spans="2:7" s="297" customFormat="1" ht="13.5">
      <c r="B91" s="309" t="s">
        <v>293</v>
      </c>
      <c r="C91" s="307"/>
      <c r="D91" s="310"/>
      <c r="E91" s="310"/>
      <c r="F91" s="310"/>
      <c r="G91" s="310">
        <f>SUM(E71:E71)+E8+E15+E17+E19+E20+E44+E31+E32+H93</f>
        <v>207296582.85</v>
      </c>
    </row>
    <row r="92" spans="2:7" s="297" customFormat="1" ht="13.5">
      <c r="B92" s="309" t="s">
        <v>290</v>
      </c>
      <c r="C92" s="307"/>
      <c r="D92" s="310"/>
      <c r="E92" s="310"/>
      <c r="F92" s="310"/>
      <c r="G92" s="310">
        <f>+G80*0.2</f>
        <v>251876201.8523379</v>
      </c>
    </row>
    <row r="93" spans="2:8" s="297" customFormat="1" ht="13.5">
      <c r="B93" s="309" t="s">
        <v>89</v>
      </c>
      <c r="C93" s="307"/>
      <c r="D93" s="310"/>
      <c r="E93" s="310"/>
      <c r="F93" s="310"/>
      <c r="G93" s="310">
        <f>SUM(F76:F78)-H93+1</f>
        <v>12941946.3</v>
      </c>
      <c r="H93" s="332">
        <f>F80*0.15</f>
        <v>2283872.6999999997</v>
      </c>
    </row>
    <row r="94" spans="2:7" s="297" customFormat="1" ht="13.5">
      <c r="B94" s="309" t="s">
        <v>90</v>
      </c>
      <c r="C94" s="307"/>
      <c r="D94" s="310"/>
      <c r="E94" s="310"/>
      <c r="F94" s="310"/>
      <c r="G94" s="310">
        <f>+E58</f>
        <v>0</v>
      </c>
    </row>
    <row r="95" spans="2:7" s="297" customFormat="1" ht="13.5">
      <c r="B95" s="309" t="s">
        <v>163</v>
      </c>
      <c r="C95" s="307"/>
      <c r="D95" s="310"/>
      <c r="E95" s="310"/>
      <c r="F95" s="310"/>
      <c r="G95" s="310">
        <f>E63+E65+E66+E67+E68</f>
        <v>2351160129</v>
      </c>
    </row>
    <row r="96" spans="2:7" ht="13.5">
      <c r="B96" s="315" t="s">
        <v>91</v>
      </c>
      <c r="C96" s="309"/>
      <c r="D96" s="310"/>
      <c r="E96" s="310"/>
      <c r="F96" s="310"/>
      <c r="G96" s="333">
        <f>G92+G93+G94+G95-1</f>
        <v>2615978276.152338</v>
      </c>
    </row>
    <row r="97" spans="2:7" ht="13.5">
      <c r="B97" s="315"/>
      <c r="C97" s="309"/>
      <c r="D97" s="310"/>
      <c r="E97" s="310"/>
      <c r="F97" s="310"/>
      <c r="G97" s="310"/>
    </row>
    <row r="98" spans="2:7" ht="13.5">
      <c r="B98" s="309" t="s">
        <v>92</v>
      </c>
      <c r="C98" s="309"/>
      <c r="D98" s="310"/>
      <c r="E98" s="310"/>
      <c r="F98" s="310"/>
      <c r="G98" s="310">
        <f>+G86-G89-G90</f>
        <v>840019671.4704262</v>
      </c>
    </row>
    <row r="100" ht="13.5">
      <c r="G100" s="307" t="s">
        <v>257</v>
      </c>
    </row>
    <row r="102" ht="13.5">
      <c r="C102" s="297"/>
    </row>
  </sheetData>
  <sheetProtection/>
  <printOptions/>
  <pageMargins left="0.11811023622047245" right="0.11811023622047245" top="1.7322834645669292" bottom="0.7874015748031497" header="0.3937007874015748" footer="0.1968503937007874"/>
  <pageSetup horizontalDpi="120" verticalDpi="120" orientation="portrait" paperSize="128" scale="96" r:id="rId1"/>
  <headerFooter alignWithMargins="0">
    <oddHeader>&amp;CDEPARTAMENTO DE VICHADA
ALCALDIA MUNICIPIO DE PUERTO CARREÑO
INGRESOS 2007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N185"/>
  <sheetViews>
    <sheetView zoomScalePageLayoutView="0" workbookViewId="0" topLeftCell="A140">
      <selection activeCell="A142" sqref="A142"/>
    </sheetView>
  </sheetViews>
  <sheetFormatPr defaultColWidth="11.421875" defaultRowHeight="12.75"/>
  <cols>
    <col min="1" max="1" width="1.8515625" style="288" customWidth="1"/>
    <col min="2" max="2" width="4.8515625" style="288" customWidth="1"/>
    <col min="3" max="3" width="56.57421875" style="288" customWidth="1"/>
    <col min="4" max="4" width="14.140625" style="288" customWidth="1"/>
    <col min="5" max="5" width="17.140625" style="288" customWidth="1"/>
    <col min="6" max="6" width="16.28125" style="288" customWidth="1"/>
    <col min="7" max="9" width="11.421875" style="288" customWidth="1"/>
    <col min="10" max="10" width="16.57421875" style="288" bestFit="1" customWidth="1"/>
    <col min="11" max="11" width="5.421875" style="288" customWidth="1"/>
    <col min="12" max="12" width="3.140625" style="288" customWidth="1"/>
    <col min="13" max="13" width="3.8515625" style="288" customWidth="1"/>
    <col min="14" max="14" width="13.8515625" style="288" bestFit="1" customWidth="1"/>
    <col min="15" max="16384" width="11.421875" style="288" customWidth="1"/>
  </cols>
  <sheetData>
    <row r="1" spans="2:7" ht="13.5">
      <c r="B1" s="337"/>
      <c r="C1" s="338"/>
      <c r="D1" s="339" t="s">
        <v>232</v>
      </c>
      <c r="E1" s="340"/>
      <c r="F1" s="341"/>
      <c r="G1" s="342"/>
    </row>
    <row r="2" spans="2:7" ht="13.5">
      <c r="B2" s="337"/>
      <c r="C2" s="343"/>
      <c r="D2" s="339" t="s">
        <v>233</v>
      </c>
      <c r="E2" s="340"/>
      <c r="F2" s="341"/>
      <c r="G2" s="342"/>
    </row>
    <row r="3" spans="2:7" ht="18" customHeight="1">
      <c r="B3" s="344"/>
      <c r="C3" s="291"/>
      <c r="D3" s="345"/>
      <c r="E3" s="346"/>
      <c r="F3" s="347"/>
      <c r="G3" s="347"/>
    </row>
    <row r="4" spans="2:7" s="354" customFormat="1" ht="14.25">
      <c r="B4" s="348" t="s">
        <v>234</v>
      </c>
      <c r="C4" s="349" t="s">
        <v>1</v>
      </c>
      <c r="D4" s="350" t="s">
        <v>235</v>
      </c>
      <c r="E4" s="351"/>
      <c r="F4" s="352" t="s">
        <v>236</v>
      </c>
      <c r="G4" s="353"/>
    </row>
    <row r="5" spans="2:7" s="354" customFormat="1" ht="14.25">
      <c r="B5" s="355"/>
      <c r="C5" s="538"/>
      <c r="D5" s="539" t="s">
        <v>237</v>
      </c>
      <c r="E5" s="541" t="s">
        <v>250</v>
      </c>
      <c r="F5" s="357" t="s">
        <v>238</v>
      </c>
      <c r="G5" s="357" t="s">
        <v>239</v>
      </c>
    </row>
    <row r="6" spans="2:7" s="354" customFormat="1" ht="14.25">
      <c r="B6" s="537"/>
      <c r="C6" s="543"/>
      <c r="D6" s="544"/>
      <c r="E6" s="540"/>
      <c r="F6" s="542"/>
      <c r="G6" s="541"/>
    </row>
    <row r="7" spans="2:7" s="354" customFormat="1" ht="14.25">
      <c r="B7" s="358"/>
      <c r="C7" s="359" t="s">
        <v>320</v>
      </c>
      <c r="D7" s="465">
        <f>SUM(D8:D9)</f>
        <v>1266353066</v>
      </c>
      <c r="E7" s="372"/>
      <c r="F7" s="473"/>
      <c r="G7" s="361"/>
    </row>
    <row r="8" spans="2:7" s="354" customFormat="1" ht="16.5">
      <c r="B8" s="362"/>
      <c r="C8" s="363" t="s">
        <v>251</v>
      </c>
      <c r="D8" s="464">
        <f>+E8</f>
        <v>369507902</v>
      </c>
      <c r="E8" s="476">
        <f>'ANALISIS INGRESOS'!V59</f>
        <v>369507902</v>
      </c>
      <c r="F8" s="474"/>
      <c r="G8" s="365"/>
    </row>
    <row r="9" spans="2:7" s="354" customFormat="1" ht="16.5">
      <c r="B9" s="366"/>
      <c r="C9" s="363" t="s">
        <v>240</v>
      </c>
      <c r="D9" s="464">
        <f>+E9</f>
        <v>896845164</v>
      </c>
      <c r="E9" s="477">
        <f>'ANALISIS INGRESOS'!V60</f>
        <v>896845164</v>
      </c>
      <c r="F9" s="474"/>
      <c r="G9" s="365"/>
    </row>
    <row r="10" spans="2:7" s="354" customFormat="1" ht="16.5">
      <c r="B10" s="366"/>
      <c r="C10" s="363"/>
      <c r="D10" s="464">
        <f>D11-D12</f>
        <v>0</v>
      </c>
      <c r="E10" s="477"/>
      <c r="F10" s="474"/>
      <c r="G10" s="365"/>
    </row>
    <row r="11" spans="2:7" s="354" customFormat="1" ht="14.25">
      <c r="B11" s="366"/>
      <c r="C11" s="363"/>
      <c r="D11" s="465">
        <f>'ANALISIS INGRESOS'!V57</f>
        <v>301792223</v>
      </c>
      <c r="E11" s="372"/>
      <c r="F11" s="474"/>
      <c r="G11" s="365"/>
    </row>
    <row r="12" spans="2:7" s="371" customFormat="1" ht="13.5">
      <c r="B12" s="367"/>
      <c r="C12" s="368" t="s">
        <v>321</v>
      </c>
      <c r="D12" s="466">
        <f>+D13+D20+D27+D31+D35+D39</f>
        <v>301792223</v>
      </c>
      <c r="E12" s="369"/>
      <c r="F12" s="461"/>
      <c r="G12" s="370"/>
    </row>
    <row r="13" spans="2:7" s="371" customFormat="1" ht="13.5">
      <c r="B13" s="367"/>
      <c r="C13" s="368" t="s">
        <v>324</v>
      </c>
      <c r="D13" s="466">
        <f>SUM(D14:D19)</f>
        <v>137792223</v>
      </c>
      <c r="E13" s="369"/>
      <c r="F13" s="461"/>
      <c r="G13" s="370"/>
    </row>
    <row r="14" spans="2:7" s="371" customFormat="1" ht="13.5">
      <c r="B14" s="367"/>
      <c r="C14" s="375" t="s">
        <v>331</v>
      </c>
      <c r="D14" s="467">
        <f aca="true" t="shared" si="0" ref="D14:D19">+E14</f>
        <v>5000000</v>
      </c>
      <c r="E14" s="478">
        <v>5000000</v>
      </c>
      <c r="F14" s="461"/>
      <c r="G14" s="370"/>
    </row>
    <row r="15" spans="2:7" s="371" customFormat="1" ht="13.5">
      <c r="B15" s="367"/>
      <c r="C15" s="375" t="s">
        <v>332</v>
      </c>
      <c r="D15" s="467">
        <f t="shared" si="0"/>
        <v>5000000</v>
      </c>
      <c r="E15" s="478">
        <v>5000000</v>
      </c>
      <c r="F15" s="461"/>
      <c r="G15" s="370"/>
    </row>
    <row r="16" spans="2:7" s="371" customFormat="1" ht="13.5">
      <c r="B16" s="367"/>
      <c r="C16" s="375" t="s">
        <v>333</v>
      </c>
      <c r="D16" s="467">
        <f t="shared" si="0"/>
        <v>7000000</v>
      </c>
      <c r="E16" s="478">
        <v>7000000</v>
      </c>
      <c r="F16" s="461"/>
      <c r="G16" s="370"/>
    </row>
    <row r="17" spans="2:7" s="371" customFormat="1" ht="13.5">
      <c r="B17" s="367"/>
      <c r="C17" s="375" t="s">
        <v>334</v>
      </c>
      <c r="D17" s="467">
        <f t="shared" si="0"/>
        <v>15000000</v>
      </c>
      <c r="E17" s="478">
        <v>15000000</v>
      </c>
      <c r="F17" s="461"/>
      <c r="G17" s="370"/>
    </row>
    <row r="18" spans="2:7" s="371" customFormat="1" ht="13.5">
      <c r="B18" s="367"/>
      <c r="C18" s="375" t="s">
        <v>335</v>
      </c>
      <c r="D18" s="467">
        <f t="shared" si="0"/>
        <v>15000000</v>
      </c>
      <c r="E18" s="478">
        <v>15000000</v>
      </c>
      <c r="F18" s="461"/>
      <c r="G18" s="370"/>
    </row>
    <row r="19" spans="2:7" s="371" customFormat="1" ht="13.5">
      <c r="B19" s="367"/>
      <c r="C19" s="375" t="s">
        <v>336</v>
      </c>
      <c r="D19" s="467">
        <f t="shared" si="0"/>
        <v>90792223</v>
      </c>
      <c r="E19" s="467">
        <v>90792223</v>
      </c>
      <c r="F19" s="461"/>
      <c r="G19" s="370"/>
    </row>
    <row r="20" spans="2:7" s="371" customFormat="1" ht="13.5">
      <c r="B20" s="367"/>
      <c r="C20" s="368" t="s">
        <v>325</v>
      </c>
      <c r="D20" s="466">
        <f>D21</f>
        <v>20000000</v>
      </c>
      <c r="E20" s="478"/>
      <c r="F20" s="461"/>
      <c r="G20" s="370"/>
    </row>
    <row r="21" spans="2:7" s="371" customFormat="1" ht="13.5">
      <c r="B21" s="367"/>
      <c r="C21" s="375" t="s">
        <v>467</v>
      </c>
      <c r="D21" s="467">
        <f>+E21</f>
        <v>20000000</v>
      </c>
      <c r="E21" s="478">
        <v>20000000</v>
      </c>
      <c r="F21" s="461"/>
      <c r="G21" s="370"/>
    </row>
    <row r="22" spans="2:7" s="371" customFormat="1" ht="13.5">
      <c r="B22" s="367"/>
      <c r="C22" s="368" t="s">
        <v>326</v>
      </c>
      <c r="D22" s="466">
        <f>SUM(D23:D26)</f>
        <v>10000000</v>
      </c>
      <c r="E22" s="369"/>
      <c r="F22" s="461"/>
      <c r="G22" s="370"/>
    </row>
    <row r="23" spans="2:7" s="371" customFormat="1" ht="13.5">
      <c r="B23" s="367"/>
      <c r="C23" s="557" t="s">
        <v>423</v>
      </c>
      <c r="D23" s="467">
        <f>+E23</f>
        <v>2000000</v>
      </c>
      <c r="E23" s="558">
        <v>2000000</v>
      </c>
      <c r="F23" s="461"/>
      <c r="G23" s="370"/>
    </row>
    <row r="24" spans="2:7" s="371" customFormat="1" ht="13.5">
      <c r="B24" s="367"/>
      <c r="C24" s="287" t="s">
        <v>424</v>
      </c>
      <c r="D24" s="467">
        <f>+E24</f>
        <v>3000000</v>
      </c>
      <c r="E24" s="558">
        <v>3000000</v>
      </c>
      <c r="F24" s="461"/>
      <c r="G24" s="370"/>
    </row>
    <row r="25" spans="2:7" s="371" customFormat="1" ht="13.5">
      <c r="B25" s="367"/>
      <c r="C25" s="287" t="s">
        <v>425</v>
      </c>
      <c r="D25" s="467">
        <f>+E25</f>
        <v>2000000</v>
      </c>
      <c r="E25" s="558">
        <v>2000000</v>
      </c>
      <c r="F25" s="461"/>
      <c r="G25" s="370"/>
    </row>
    <row r="26" spans="2:7" s="371" customFormat="1" ht="13.5">
      <c r="B26" s="367"/>
      <c r="C26" s="287" t="s">
        <v>426</v>
      </c>
      <c r="D26" s="467">
        <f>+E26</f>
        <v>3000000</v>
      </c>
      <c r="E26" s="558">
        <v>3000000</v>
      </c>
      <c r="F26" s="461"/>
      <c r="G26" s="370"/>
    </row>
    <row r="27" spans="2:7" s="371" customFormat="1" ht="13.5">
      <c r="B27" s="367"/>
      <c r="C27" s="368" t="s">
        <v>327</v>
      </c>
      <c r="D27" s="466">
        <f>SUM(D28:D30)</f>
        <v>42000000</v>
      </c>
      <c r="E27" s="369"/>
      <c r="F27" s="461"/>
      <c r="G27" s="370"/>
    </row>
    <row r="28" spans="2:7" s="371" customFormat="1" ht="27">
      <c r="B28" s="367"/>
      <c r="C28" s="557" t="s">
        <v>427</v>
      </c>
      <c r="D28" s="466">
        <f>+E28</f>
        <v>20000000</v>
      </c>
      <c r="E28" s="478">
        <v>20000000</v>
      </c>
      <c r="F28" s="461"/>
      <c r="G28" s="370"/>
    </row>
    <row r="29" spans="2:7" s="371" customFormat="1" ht="13.5">
      <c r="B29" s="367"/>
      <c r="C29" s="287" t="s">
        <v>428</v>
      </c>
      <c r="D29" s="466">
        <f>+E29</f>
        <v>10000000</v>
      </c>
      <c r="E29" s="478">
        <v>10000000</v>
      </c>
      <c r="F29" s="461"/>
      <c r="G29" s="370"/>
    </row>
    <row r="30" spans="2:7" s="371" customFormat="1" ht="13.5">
      <c r="B30" s="367"/>
      <c r="C30" s="287" t="s">
        <v>429</v>
      </c>
      <c r="D30" s="466">
        <f>+E30</f>
        <v>12000000</v>
      </c>
      <c r="E30" s="478">
        <v>12000000</v>
      </c>
      <c r="F30" s="461"/>
      <c r="G30" s="370"/>
    </row>
    <row r="31" spans="2:7" s="371" customFormat="1" ht="13.5">
      <c r="B31" s="367"/>
      <c r="C31" s="368" t="s">
        <v>328</v>
      </c>
      <c r="D31" s="466">
        <f>SUM(D32:D34)</f>
        <v>30000000</v>
      </c>
      <c r="E31" s="478"/>
      <c r="F31" s="461"/>
      <c r="G31" s="370"/>
    </row>
    <row r="32" spans="2:7" s="371" customFormat="1" ht="40.5">
      <c r="B32" s="367"/>
      <c r="C32" s="559" t="s">
        <v>430</v>
      </c>
      <c r="D32" s="466">
        <f>+E32</f>
        <v>10000000</v>
      </c>
      <c r="E32" s="478">
        <v>10000000</v>
      </c>
      <c r="F32" s="461"/>
      <c r="G32" s="370"/>
    </row>
    <row r="33" spans="2:7" s="371" customFormat="1" ht="27">
      <c r="B33" s="367"/>
      <c r="C33" s="559" t="s">
        <v>431</v>
      </c>
      <c r="D33" s="466">
        <f>+E33</f>
        <v>5000000</v>
      </c>
      <c r="E33" s="478">
        <v>5000000</v>
      </c>
      <c r="F33" s="461"/>
      <c r="G33" s="370"/>
    </row>
    <row r="34" spans="2:7" s="371" customFormat="1" ht="27">
      <c r="B34" s="367"/>
      <c r="C34" s="557" t="s">
        <v>432</v>
      </c>
      <c r="D34" s="466">
        <f>+E34</f>
        <v>15000000</v>
      </c>
      <c r="E34" s="478">
        <v>15000000</v>
      </c>
      <c r="F34" s="461"/>
      <c r="G34" s="370"/>
    </row>
    <row r="35" spans="2:7" s="371" customFormat="1" ht="13.5">
      <c r="B35" s="367"/>
      <c r="C35" s="368" t="s">
        <v>329</v>
      </c>
      <c r="D35" s="466">
        <f>SUM(D36:D38)</f>
        <v>19000000</v>
      </c>
      <c r="E35" s="478"/>
      <c r="F35" s="461"/>
      <c r="G35" s="370"/>
    </row>
    <row r="36" spans="2:7" s="371" customFormat="1" ht="40.5">
      <c r="B36" s="367"/>
      <c r="C36" s="560" t="s">
        <v>343</v>
      </c>
      <c r="D36" s="466">
        <f>E36</f>
        <v>7000000</v>
      </c>
      <c r="E36" s="478">
        <v>7000000</v>
      </c>
      <c r="F36" s="461"/>
      <c r="G36" s="370"/>
    </row>
    <row r="37" spans="2:7" s="371" customFormat="1" ht="13.5">
      <c r="B37" s="367"/>
      <c r="C37" s="363" t="s">
        <v>344</v>
      </c>
      <c r="D37" s="466">
        <f>E37</f>
        <v>5000000</v>
      </c>
      <c r="E37" s="478">
        <v>5000000</v>
      </c>
      <c r="F37" s="461"/>
      <c r="G37" s="370"/>
    </row>
    <row r="38" spans="2:7" s="371" customFormat="1" ht="13.5">
      <c r="B38" s="367"/>
      <c r="C38" s="561" t="s">
        <v>345</v>
      </c>
      <c r="D38" s="466">
        <f>E38</f>
        <v>7000000</v>
      </c>
      <c r="E38" s="478">
        <v>7000000</v>
      </c>
      <c r="F38" s="461"/>
      <c r="G38" s="370"/>
    </row>
    <row r="39" spans="2:7" s="371" customFormat="1" ht="13.5">
      <c r="B39" s="367"/>
      <c r="C39" s="368" t="s">
        <v>330</v>
      </c>
      <c r="D39" s="466">
        <f>SUM(D40:D45)</f>
        <v>53000000</v>
      </c>
      <c r="E39" s="478"/>
      <c r="F39" s="461"/>
      <c r="G39" s="370"/>
    </row>
    <row r="40" spans="2:7" s="371" customFormat="1" ht="27">
      <c r="B40" s="367"/>
      <c r="C40" s="562" t="s">
        <v>346</v>
      </c>
      <c r="D40" s="466">
        <f aca="true" t="shared" si="1" ref="D40:D45">E40</f>
        <v>3000000</v>
      </c>
      <c r="E40" s="478">
        <v>3000000</v>
      </c>
      <c r="F40" s="461"/>
      <c r="G40" s="370"/>
    </row>
    <row r="41" spans="2:7" s="371" customFormat="1" ht="27">
      <c r="B41" s="367"/>
      <c r="C41" s="563" t="s">
        <v>347</v>
      </c>
      <c r="D41" s="466">
        <f t="shared" si="1"/>
        <v>5000000</v>
      </c>
      <c r="E41" s="478">
        <v>5000000</v>
      </c>
      <c r="F41" s="461"/>
      <c r="G41" s="370"/>
    </row>
    <row r="42" spans="2:7" s="286" customFormat="1" ht="27">
      <c r="B42" s="362"/>
      <c r="C42" s="562" t="s">
        <v>348</v>
      </c>
      <c r="D42" s="466">
        <f t="shared" si="1"/>
        <v>3000000</v>
      </c>
      <c r="E42" s="479">
        <v>3000000</v>
      </c>
      <c r="F42" s="395"/>
      <c r="G42" s="372"/>
    </row>
    <row r="43" spans="2:7" ht="16.5">
      <c r="B43" s="366"/>
      <c r="C43" s="564" t="s">
        <v>349</v>
      </c>
      <c r="D43" s="466">
        <f t="shared" si="1"/>
        <v>7000000</v>
      </c>
      <c r="E43" s="480">
        <v>7000000</v>
      </c>
      <c r="F43" s="395"/>
      <c r="G43" s="372"/>
    </row>
    <row r="44" spans="2:7" ht="16.5">
      <c r="B44" s="366"/>
      <c r="C44" s="564" t="s">
        <v>350</v>
      </c>
      <c r="D44" s="466">
        <f t="shared" si="1"/>
        <v>20000000</v>
      </c>
      <c r="E44" s="481">
        <v>20000000</v>
      </c>
      <c r="F44" s="395"/>
      <c r="G44" s="372"/>
    </row>
    <row r="45" spans="2:7" ht="16.5">
      <c r="B45" s="366"/>
      <c r="C45" s="564" t="s">
        <v>351</v>
      </c>
      <c r="D45" s="466">
        <f t="shared" si="1"/>
        <v>15000000</v>
      </c>
      <c r="E45" s="481">
        <v>15000000</v>
      </c>
      <c r="F45" s="395"/>
      <c r="G45" s="372"/>
    </row>
    <row r="46" spans="2:7" ht="16.5">
      <c r="B46" s="373"/>
      <c r="C46" s="374" t="s">
        <v>322</v>
      </c>
      <c r="D46" s="465">
        <f>D47</f>
        <v>58351672</v>
      </c>
      <c r="E46" s="482"/>
      <c r="F46" s="395"/>
      <c r="G46" s="372"/>
    </row>
    <row r="47" spans="2:7" ht="16.5">
      <c r="B47" s="366"/>
      <c r="C47" s="363" t="s">
        <v>307</v>
      </c>
      <c r="D47" s="464">
        <f>E47</f>
        <v>58351672</v>
      </c>
      <c r="E47" s="481">
        <f>'ANALISIS INGRESOS'!V62</f>
        <v>58351672</v>
      </c>
      <c r="F47" s="395"/>
      <c r="G47" s="372"/>
    </row>
    <row r="48" spans="2:7" ht="16.5">
      <c r="B48" s="366"/>
      <c r="C48" s="363"/>
      <c r="D48" s="464">
        <f>D50-D49</f>
        <v>0</v>
      </c>
      <c r="E48" s="481"/>
      <c r="F48" s="395"/>
      <c r="G48" s="372"/>
    </row>
    <row r="49" spans="2:7" ht="13.5">
      <c r="B49" s="366"/>
      <c r="C49" s="359" t="s">
        <v>257</v>
      </c>
      <c r="D49" s="465">
        <f>'ANALISIS INGRESOS'!V63</f>
        <v>303239931</v>
      </c>
      <c r="E49" s="372" t="s">
        <v>257</v>
      </c>
      <c r="F49" s="395"/>
      <c r="G49" s="372"/>
    </row>
    <row r="50" spans="2:7" s="286" customFormat="1" ht="13.5">
      <c r="B50" s="358"/>
      <c r="C50" s="359" t="s">
        <v>323</v>
      </c>
      <c r="D50" s="465">
        <f>SUM(D51:D54)</f>
        <v>303239931</v>
      </c>
      <c r="E50" s="372"/>
      <c r="F50" s="395"/>
      <c r="G50" s="372"/>
    </row>
    <row r="51" spans="2:7" ht="13.5">
      <c r="B51" s="366"/>
      <c r="C51" s="363" t="s">
        <v>252</v>
      </c>
      <c r="D51" s="464">
        <f>+E51</f>
        <v>137893805</v>
      </c>
      <c r="E51" s="372">
        <v>137893805</v>
      </c>
      <c r="F51" s="395"/>
      <c r="G51" s="372"/>
    </row>
    <row r="52" spans="2:7" ht="16.5">
      <c r="B52" s="366"/>
      <c r="C52" s="363" t="s">
        <v>272</v>
      </c>
      <c r="D52" s="464">
        <f>+E52</f>
        <v>25704136</v>
      </c>
      <c r="E52" s="483">
        <v>25704136</v>
      </c>
      <c r="F52" s="395"/>
      <c r="G52" s="372"/>
    </row>
    <row r="53" spans="2:7" ht="16.5">
      <c r="B53" s="366"/>
      <c r="C53" s="363" t="s">
        <v>258</v>
      </c>
      <c r="D53" s="464">
        <f>+E53</f>
        <v>107616249</v>
      </c>
      <c r="E53" s="483">
        <v>107616249</v>
      </c>
      <c r="F53" s="395"/>
      <c r="G53" s="372"/>
    </row>
    <row r="54" spans="2:7" ht="16.5">
      <c r="B54" s="366"/>
      <c r="C54" s="363" t="s">
        <v>273</v>
      </c>
      <c r="D54" s="464">
        <f>+E54</f>
        <v>32025741</v>
      </c>
      <c r="E54" s="483">
        <v>32025741</v>
      </c>
      <c r="F54" s="395"/>
      <c r="G54" s="372"/>
    </row>
    <row r="55" spans="2:7" ht="16.5">
      <c r="B55" s="366"/>
      <c r="C55" s="363"/>
      <c r="D55" s="464">
        <f>D56-D57</f>
        <v>0</v>
      </c>
      <c r="E55" s="483"/>
      <c r="F55" s="395"/>
      <c r="G55" s="372"/>
    </row>
    <row r="56" spans="2:7" ht="13.5">
      <c r="B56" s="366"/>
      <c r="C56" s="363"/>
      <c r="D56" s="465">
        <v>43346555</v>
      </c>
      <c r="E56" s="372"/>
      <c r="F56" s="395"/>
      <c r="G56" s="372"/>
    </row>
    <row r="57" spans="2:7" s="286" customFormat="1" ht="13.5">
      <c r="B57" s="358"/>
      <c r="C57" s="359" t="s">
        <v>353</v>
      </c>
      <c r="D57" s="465">
        <f>SUM(D58:D61)</f>
        <v>43346555</v>
      </c>
      <c r="E57" s="372"/>
      <c r="F57" s="395"/>
      <c r="G57" s="372"/>
    </row>
    <row r="58" spans="2:7" s="286" customFormat="1" ht="13.5">
      <c r="B58" s="358"/>
      <c r="C58" s="287" t="s">
        <v>354</v>
      </c>
      <c r="D58" s="464">
        <f>+E58</f>
        <v>7000000</v>
      </c>
      <c r="E58" s="372">
        <v>7000000</v>
      </c>
      <c r="F58" s="395"/>
      <c r="G58" s="372"/>
    </row>
    <row r="59" spans="2:7" s="286" customFormat="1" ht="13.5">
      <c r="B59" s="358"/>
      <c r="C59" s="287" t="s">
        <v>355</v>
      </c>
      <c r="D59" s="464">
        <f>+E59</f>
        <v>7000000</v>
      </c>
      <c r="E59" s="372">
        <v>7000000</v>
      </c>
      <c r="F59" s="395"/>
      <c r="G59" s="372"/>
    </row>
    <row r="60" spans="2:7" s="286" customFormat="1" ht="13.5">
      <c r="B60" s="362"/>
      <c r="C60" s="375" t="s">
        <v>356</v>
      </c>
      <c r="D60" s="464">
        <f>+E60</f>
        <v>24346555</v>
      </c>
      <c r="E60" s="484">
        <v>24346555</v>
      </c>
      <c r="F60" s="395"/>
      <c r="G60" s="372"/>
    </row>
    <row r="61" spans="2:7" ht="13.5">
      <c r="B61" s="366"/>
      <c r="C61" s="375" t="s">
        <v>352</v>
      </c>
      <c r="D61" s="464">
        <f>+E61</f>
        <v>5000000</v>
      </c>
      <c r="E61" s="372">
        <v>5000000</v>
      </c>
      <c r="F61" s="395"/>
      <c r="G61" s="372"/>
    </row>
    <row r="62" spans="2:7" ht="13.5">
      <c r="B62" s="366"/>
      <c r="C62" s="375"/>
      <c r="D62" s="464">
        <f>D63-D64</f>
        <v>0</v>
      </c>
      <c r="E62" s="372"/>
      <c r="F62" s="395"/>
      <c r="G62" s="372"/>
    </row>
    <row r="63" spans="2:7" ht="13.5">
      <c r="B63" s="376"/>
      <c r="C63" s="287"/>
      <c r="D63" s="468">
        <v>32509917</v>
      </c>
      <c r="E63" s="372"/>
      <c r="F63" s="395"/>
      <c r="G63" s="372"/>
    </row>
    <row r="64" spans="2:7" s="286" customFormat="1" ht="13.5">
      <c r="B64" s="358"/>
      <c r="C64" s="359" t="s">
        <v>359</v>
      </c>
      <c r="D64" s="469">
        <f>+D65+D66+D68</f>
        <v>32509917</v>
      </c>
      <c r="E64" s="372"/>
      <c r="F64" s="395"/>
      <c r="G64" s="372"/>
    </row>
    <row r="65" spans="2:7" s="286" customFormat="1" ht="13.5" customHeight="1">
      <c r="B65" s="362"/>
      <c r="C65" s="375" t="s">
        <v>338</v>
      </c>
      <c r="D65" s="464">
        <f>+E65</f>
        <v>0</v>
      </c>
      <c r="E65" s="372">
        <v>0</v>
      </c>
      <c r="F65" s="395"/>
      <c r="G65" s="372"/>
    </row>
    <row r="66" spans="2:7" s="286" customFormat="1" ht="13.5" customHeight="1">
      <c r="B66" s="362"/>
      <c r="C66" s="375" t="s">
        <v>357</v>
      </c>
      <c r="D66" s="464">
        <f>D67</f>
        <v>1000000</v>
      </c>
      <c r="E66" s="372">
        <f>E67</f>
        <v>1000000</v>
      </c>
      <c r="F66" s="395"/>
      <c r="G66" s="372"/>
    </row>
    <row r="67" spans="2:7" s="286" customFormat="1" ht="13.5" customHeight="1">
      <c r="B67" s="362"/>
      <c r="C67" s="375" t="s">
        <v>365</v>
      </c>
      <c r="D67" s="464">
        <f>+E67</f>
        <v>1000000</v>
      </c>
      <c r="E67" s="372">
        <v>1000000</v>
      </c>
      <c r="F67" s="395"/>
      <c r="G67" s="372"/>
    </row>
    <row r="68" spans="2:7" s="286" customFormat="1" ht="13.5" customHeight="1">
      <c r="B68" s="362"/>
      <c r="C68" s="375" t="s">
        <v>358</v>
      </c>
      <c r="D68" s="464">
        <f>SUM(D69:D73)</f>
        <v>31509917</v>
      </c>
      <c r="E68" s="372"/>
      <c r="F68" s="395"/>
      <c r="G68" s="372"/>
    </row>
    <row r="69" spans="2:7" s="286" customFormat="1" ht="13.5">
      <c r="B69" s="362"/>
      <c r="C69" s="375" t="s">
        <v>360</v>
      </c>
      <c r="D69" s="464">
        <f>+E69</f>
        <v>6387787</v>
      </c>
      <c r="E69" s="372">
        <v>6387787</v>
      </c>
      <c r="F69" s="395"/>
      <c r="G69" s="372"/>
    </row>
    <row r="70" spans="2:7" s="286" customFormat="1" ht="13.5">
      <c r="B70" s="362"/>
      <c r="C70" s="375" t="s">
        <v>361</v>
      </c>
      <c r="D70" s="464">
        <f>+E70</f>
        <v>20122130</v>
      </c>
      <c r="E70" s="372">
        <v>20122130</v>
      </c>
      <c r="F70" s="395"/>
      <c r="G70" s="372"/>
    </row>
    <row r="71" spans="2:7" s="286" customFormat="1" ht="13.5">
      <c r="B71" s="362"/>
      <c r="C71" s="287" t="s">
        <v>362</v>
      </c>
      <c r="D71" s="464">
        <f>+E71</f>
        <v>3000000</v>
      </c>
      <c r="E71" s="372">
        <v>3000000</v>
      </c>
      <c r="F71" s="395"/>
      <c r="G71" s="372"/>
    </row>
    <row r="72" spans="2:7" s="286" customFormat="1" ht="13.5">
      <c r="B72" s="362"/>
      <c r="C72" s="287" t="s">
        <v>364</v>
      </c>
      <c r="D72" s="464">
        <f>+E72</f>
        <v>2000000</v>
      </c>
      <c r="E72" s="372">
        <v>2000000</v>
      </c>
      <c r="F72" s="395"/>
      <c r="G72" s="372"/>
    </row>
    <row r="73" spans="2:7" ht="13.5">
      <c r="B73" s="376"/>
      <c r="C73" s="287" t="s">
        <v>363</v>
      </c>
      <c r="D73" s="464">
        <f>+E73</f>
        <v>0</v>
      </c>
      <c r="E73" s="372"/>
      <c r="F73" s="395"/>
      <c r="G73" s="372"/>
    </row>
    <row r="74" spans="2:7" ht="13.5">
      <c r="B74" s="376"/>
      <c r="C74" s="287"/>
      <c r="D74" s="464">
        <f>D76-D75</f>
        <v>-0.1462491750717163</v>
      </c>
      <c r="E74" s="372"/>
      <c r="F74" s="395"/>
      <c r="G74" s="372"/>
    </row>
    <row r="75" spans="2:7" ht="13.5">
      <c r="B75" s="376"/>
      <c r="C75" s="287"/>
      <c r="D75" s="470">
        <v>648806696</v>
      </c>
      <c r="E75" s="372"/>
      <c r="F75" s="395"/>
      <c r="G75" s="372"/>
    </row>
    <row r="76" spans="2:7" s="286" customFormat="1" ht="15.75">
      <c r="B76" s="358"/>
      <c r="C76" s="460" t="s">
        <v>259</v>
      </c>
      <c r="D76" s="465">
        <f>+D77+D81+D90+D97+D102+D107+D113+D118+D130+D138+D126+D134</f>
        <v>648806695.8537508</v>
      </c>
      <c r="E76" s="372"/>
      <c r="F76" s="395"/>
      <c r="G76" s="372"/>
    </row>
    <row r="77" spans="2:7" s="286" customFormat="1" ht="16.5">
      <c r="B77" s="362"/>
      <c r="C77" s="490" t="s">
        <v>313</v>
      </c>
      <c r="D77" s="471">
        <f>SUM(D78:D80)</f>
        <v>48000000</v>
      </c>
      <c r="E77" s="483">
        <v>0</v>
      </c>
      <c r="F77" s="395"/>
      <c r="G77" s="372"/>
    </row>
    <row r="78" spans="2:7" s="286" customFormat="1" ht="17.25">
      <c r="B78" s="362"/>
      <c r="C78" s="489" t="s">
        <v>391</v>
      </c>
      <c r="D78" s="464">
        <f>+E78</f>
        <v>26000000</v>
      </c>
      <c r="E78" s="483">
        <v>26000000</v>
      </c>
      <c r="F78" s="395"/>
      <c r="G78" s="372"/>
    </row>
    <row r="79" spans="2:7" s="286" customFormat="1" ht="17.25">
      <c r="B79" s="362"/>
      <c r="C79" s="489" t="s">
        <v>392</v>
      </c>
      <c r="D79" s="464">
        <f>+E79</f>
        <v>12000000</v>
      </c>
      <c r="E79" s="483">
        <v>12000000</v>
      </c>
      <c r="F79" s="395"/>
      <c r="G79" s="372"/>
    </row>
    <row r="80" spans="2:7" s="286" customFormat="1" ht="17.25">
      <c r="B80" s="362"/>
      <c r="C80" s="489" t="s">
        <v>393</v>
      </c>
      <c r="D80" s="464">
        <f>+E80</f>
        <v>10000000</v>
      </c>
      <c r="E80" s="483">
        <v>10000000</v>
      </c>
      <c r="F80" s="395"/>
      <c r="G80" s="372"/>
    </row>
    <row r="81" spans="2:7" s="286" customFormat="1" ht="16.5">
      <c r="B81" s="362"/>
      <c r="C81" s="490" t="s">
        <v>339</v>
      </c>
      <c r="D81" s="471">
        <f>+D82+D84+D86+D88</f>
        <v>55000000</v>
      </c>
      <c r="E81" s="483"/>
      <c r="F81" s="395"/>
      <c r="G81" s="372"/>
    </row>
    <row r="82" spans="2:7" s="286" customFormat="1" ht="13.5">
      <c r="B82" s="362"/>
      <c r="C82" s="375" t="s">
        <v>341</v>
      </c>
      <c r="D82" s="464">
        <f>D83</f>
        <v>15000000</v>
      </c>
      <c r="E82" s="484">
        <f>E83</f>
        <v>15000000</v>
      </c>
      <c r="F82" s="395"/>
      <c r="G82" s="372"/>
    </row>
    <row r="83" spans="2:7" s="286" customFormat="1" ht="13.5">
      <c r="B83" s="362"/>
      <c r="C83" s="375" t="s">
        <v>403</v>
      </c>
      <c r="D83" s="464">
        <f>+E83</f>
        <v>15000000</v>
      </c>
      <c r="E83" s="484">
        <v>15000000</v>
      </c>
      <c r="F83" s="395"/>
      <c r="G83" s="372"/>
    </row>
    <row r="84" spans="2:7" s="286" customFormat="1" ht="13.5">
      <c r="B84" s="362"/>
      <c r="C84" s="375" t="s">
        <v>340</v>
      </c>
      <c r="D84" s="464">
        <f>D85</f>
        <v>20000000</v>
      </c>
      <c r="E84" s="484">
        <f>E85</f>
        <v>20000000</v>
      </c>
      <c r="F84" s="395"/>
      <c r="G84" s="372"/>
    </row>
    <row r="85" spans="2:7" s="286" customFormat="1" ht="13.5">
      <c r="B85" s="362"/>
      <c r="C85" s="375" t="s">
        <v>404</v>
      </c>
      <c r="D85" s="464">
        <f>+E85</f>
        <v>20000000</v>
      </c>
      <c r="E85" s="484">
        <v>20000000</v>
      </c>
      <c r="F85" s="395"/>
      <c r="G85" s="372"/>
    </row>
    <row r="86" spans="2:7" s="286" customFormat="1" ht="13.5">
      <c r="B86" s="362"/>
      <c r="C86" s="375" t="s">
        <v>342</v>
      </c>
      <c r="D86" s="464">
        <f>D87</f>
        <v>10000000</v>
      </c>
      <c r="E86" s="484">
        <f>E87</f>
        <v>10000000</v>
      </c>
      <c r="F86" s="395"/>
      <c r="G86" s="372"/>
    </row>
    <row r="87" spans="2:7" s="286" customFormat="1" ht="13.5">
      <c r="B87" s="362"/>
      <c r="C87" s="375" t="s">
        <v>405</v>
      </c>
      <c r="D87" s="464">
        <f>+E87</f>
        <v>10000000</v>
      </c>
      <c r="E87" s="484">
        <v>10000000</v>
      </c>
      <c r="F87" s="395"/>
      <c r="G87" s="372"/>
    </row>
    <row r="88" spans="2:7" s="286" customFormat="1" ht="13.5">
      <c r="B88" s="362"/>
      <c r="C88" s="363" t="s">
        <v>378</v>
      </c>
      <c r="D88" s="464">
        <f>+E88</f>
        <v>10000000</v>
      </c>
      <c r="E88" s="484">
        <v>10000000</v>
      </c>
      <c r="F88" s="395"/>
      <c r="G88" s="372"/>
    </row>
    <row r="89" spans="2:7" s="286" customFormat="1" ht="17.25">
      <c r="B89" s="362"/>
      <c r="C89" s="489"/>
      <c r="D89" s="464"/>
      <c r="E89" s="483"/>
      <c r="F89" s="395"/>
      <c r="G89" s="372"/>
    </row>
    <row r="90" spans="2:7" ht="16.5">
      <c r="B90" s="366"/>
      <c r="C90" s="463" t="s">
        <v>317</v>
      </c>
      <c r="D90" s="471">
        <f>+D91+D93+D95</f>
        <v>98900000</v>
      </c>
      <c r="E90" s="483">
        <v>0</v>
      </c>
      <c r="F90" s="395"/>
      <c r="G90" s="372"/>
    </row>
    <row r="91" spans="2:7" ht="13.5">
      <c r="B91" s="366"/>
      <c r="C91" s="363" t="s">
        <v>371</v>
      </c>
      <c r="D91" s="464">
        <f>D92</f>
        <v>81900000</v>
      </c>
      <c r="E91" s="484">
        <f>E92</f>
        <v>81900000</v>
      </c>
      <c r="F91" s="395"/>
      <c r="G91" s="372"/>
    </row>
    <row r="92" spans="2:7" ht="13.5">
      <c r="B92" s="366"/>
      <c r="C92" s="363" t="s">
        <v>372</v>
      </c>
      <c r="D92" s="464">
        <f>+E92</f>
        <v>81900000</v>
      </c>
      <c r="E92" s="484">
        <v>81900000</v>
      </c>
      <c r="F92" s="395"/>
      <c r="G92" s="372"/>
    </row>
    <row r="93" spans="2:7" ht="13.5">
      <c r="B93" s="366"/>
      <c r="C93" s="363" t="s">
        <v>373</v>
      </c>
      <c r="D93" s="464">
        <f>D94</f>
        <v>10000000</v>
      </c>
      <c r="E93" s="484">
        <f>E94</f>
        <v>10000000</v>
      </c>
      <c r="F93" s="395"/>
      <c r="G93" s="372"/>
    </row>
    <row r="94" spans="2:7" ht="13.5">
      <c r="B94" s="366"/>
      <c r="C94" s="363" t="s">
        <v>374</v>
      </c>
      <c r="D94" s="464">
        <f>+E94</f>
        <v>10000000</v>
      </c>
      <c r="E94" s="484">
        <v>10000000</v>
      </c>
      <c r="F94" s="395"/>
      <c r="G94" s="372"/>
    </row>
    <row r="95" spans="2:7" ht="13.5">
      <c r="B95" s="366"/>
      <c r="C95" s="363" t="s">
        <v>378</v>
      </c>
      <c r="D95" s="464">
        <f>D96</f>
        <v>7000000</v>
      </c>
      <c r="E95" s="484">
        <f>E96</f>
        <v>7000000</v>
      </c>
      <c r="F95" s="395"/>
      <c r="G95" s="372"/>
    </row>
    <row r="96" spans="2:7" ht="13.5">
      <c r="B96" s="366"/>
      <c r="C96" s="363" t="s">
        <v>375</v>
      </c>
      <c r="D96" s="464">
        <f>+E96</f>
        <v>7000000</v>
      </c>
      <c r="E96" s="484">
        <v>7000000</v>
      </c>
      <c r="F96" s="395"/>
      <c r="G96" s="372"/>
    </row>
    <row r="97" spans="2:7" ht="16.5">
      <c r="B97" s="366"/>
      <c r="C97" s="463" t="s">
        <v>318</v>
      </c>
      <c r="D97" s="471">
        <f>+D98+D100</f>
        <v>109884380</v>
      </c>
      <c r="E97" s="483">
        <v>0</v>
      </c>
      <c r="F97" s="395"/>
      <c r="G97" s="372"/>
    </row>
    <row r="98" spans="2:7" ht="13.5">
      <c r="B98" s="366"/>
      <c r="C98" s="363" t="s">
        <v>376</v>
      </c>
      <c r="D98" s="464">
        <f>D99</f>
        <v>59884380</v>
      </c>
      <c r="E98" s="464">
        <f>E99</f>
        <v>59884380</v>
      </c>
      <c r="F98" s="395"/>
      <c r="G98" s="372"/>
    </row>
    <row r="99" spans="2:7" ht="13.5">
      <c r="B99" s="366"/>
      <c r="C99" s="363" t="s">
        <v>377</v>
      </c>
      <c r="D99" s="464">
        <f>+E99</f>
        <v>59884380</v>
      </c>
      <c r="E99" s="484">
        <v>59884380</v>
      </c>
      <c r="F99" s="395"/>
      <c r="G99" s="372"/>
    </row>
    <row r="100" spans="2:7" ht="13.5">
      <c r="B100" s="366"/>
      <c r="C100" s="363" t="s">
        <v>378</v>
      </c>
      <c r="D100" s="464">
        <f>D101</f>
        <v>50000000</v>
      </c>
      <c r="E100" s="464">
        <f>E101</f>
        <v>50000000</v>
      </c>
      <c r="F100" s="395"/>
      <c r="G100" s="372"/>
    </row>
    <row r="101" spans="2:7" ht="13.5">
      <c r="B101" s="366"/>
      <c r="C101" s="363" t="s">
        <v>375</v>
      </c>
      <c r="D101" s="464">
        <f>+E101</f>
        <v>50000000</v>
      </c>
      <c r="E101" s="484">
        <v>50000000</v>
      </c>
      <c r="F101" s="395"/>
      <c r="G101" s="372"/>
    </row>
    <row r="102" spans="2:7" ht="15.75">
      <c r="B102" s="366"/>
      <c r="C102" s="463" t="s">
        <v>319</v>
      </c>
      <c r="D102" s="471">
        <f>SUM(D103:D106)</f>
        <v>44000000</v>
      </c>
      <c r="E102" s="372">
        <v>0</v>
      </c>
      <c r="F102" s="395"/>
      <c r="G102" s="372"/>
    </row>
    <row r="103" spans="2:7" ht="13.5">
      <c r="B103" s="366"/>
      <c r="C103" s="363" t="s">
        <v>406</v>
      </c>
      <c r="D103" s="464">
        <f>+E103</f>
        <v>12000000</v>
      </c>
      <c r="E103" s="372">
        <v>12000000</v>
      </c>
      <c r="F103" s="395"/>
      <c r="G103" s="372"/>
    </row>
    <row r="104" spans="2:7" ht="13.5">
      <c r="B104" s="366"/>
      <c r="C104" s="363" t="s">
        <v>407</v>
      </c>
      <c r="D104" s="464">
        <f>+E104</f>
        <v>10000000</v>
      </c>
      <c r="E104" s="372">
        <v>10000000</v>
      </c>
      <c r="F104" s="395"/>
      <c r="G104" s="372"/>
    </row>
    <row r="105" spans="2:7" ht="13.5">
      <c r="B105" s="366"/>
      <c r="C105" s="363" t="s">
        <v>408</v>
      </c>
      <c r="D105" s="464">
        <f>+E105</f>
        <v>12000000</v>
      </c>
      <c r="E105" s="372">
        <v>12000000</v>
      </c>
      <c r="F105" s="395"/>
      <c r="G105" s="372"/>
    </row>
    <row r="106" spans="2:7" ht="13.5">
      <c r="B106" s="366"/>
      <c r="C106" s="363" t="s">
        <v>379</v>
      </c>
      <c r="D106" s="464">
        <f>+E106</f>
        <v>10000000</v>
      </c>
      <c r="E106" s="372">
        <v>10000000</v>
      </c>
      <c r="F106" s="395"/>
      <c r="G106" s="372"/>
    </row>
    <row r="107" spans="2:7" ht="15.75">
      <c r="B107" s="366"/>
      <c r="C107" s="462" t="s">
        <v>314</v>
      </c>
      <c r="D107" s="471">
        <f>SUM(D108:D112)</f>
        <v>47000000</v>
      </c>
      <c r="E107" s="485">
        <v>0</v>
      </c>
      <c r="F107" s="395"/>
      <c r="G107" s="372"/>
    </row>
    <row r="108" spans="2:7" ht="17.25">
      <c r="B108" s="366"/>
      <c r="C108" s="459" t="s">
        <v>366</v>
      </c>
      <c r="D108" s="464">
        <f>+E108</f>
        <v>7000000</v>
      </c>
      <c r="E108" s="372">
        <v>7000000</v>
      </c>
      <c r="F108" s="395"/>
      <c r="G108" s="372"/>
    </row>
    <row r="109" spans="2:7" ht="17.25">
      <c r="B109" s="366"/>
      <c r="C109" s="459" t="s">
        <v>367</v>
      </c>
      <c r="D109" s="464">
        <f>+E109</f>
        <v>7000000</v>
      </c>
      <c r="E109" s="372">
        <v>7000000</v>
      </c>
      <c r="F109" s="395"/>
      <c r="G109" s="372"/>
    </row>
    <row r="110" spans="2:7" ht="17.25">
      <c r="B110" s="366"/>
      <c r="C110" s="459" t="s">
        <v>368</v>
      </c>
      <c r="D110" s="464">
        <f>+E110</f>
        <v>12000000</v>
      </c>
      <c r="E110" s="372">
        <v>12000000</v>
      </c>
      <c r="F110" s="395"/>
      <c r="G110" s="372"/>
    </row>
    <row r="111" spans="2:7" ht="17.25">
      <c r="B111" s="366"/>
      <c r="C111" s="459" t="s">
        <v>369</v>
      </c>
      <c r="D111" s="464">
        <f>+E111</f>
        <v>9000000</v>
      </c>
      <c r="E111" s="372">
        <v>9000000</v>
      </c>
      <c r="F111" s="395"/>
      <c r="G111" s="372"/>
    </row>
    <row r="112" spans="2:7" ht="17.25">
      <c r="B112" s="366"/>
      <c r="C112" s="459" t="s">
        <v>370</v>
      </c>
      <c r="D112" s="464">
        <f>+E112</f>
        <v>12000000</v>
      </c>
      <c r="E112" s="372">
        <v>12000000</v>
      </c>
      <c r="F112" s="395"/>
      <c r="G112" s="372"/>
    </row>
    <row r="113" spans="2:7" ht="15.75">
      <c r="B113" s="366"/>
      <c r="C113" s="462" t="s">
        <v>315</v>
      </c>
      <c r="D113" s="471">
        <f>D114</f>
        <v>10000000</v>
      </c>
      <c r="E113" s="486">
        <v>0</v>
      </c>
      <c r="F113" s="395"/>
      <c r="G113" s="372"/>
    </row>
    <row r="114" spans="2:7" ht="13.5">
      <c r="B114" s="366"/>
      <c r="C114" s="287" t="s">
        <v>383</v>
      </c>
      <c r="D114" s="464">
        <f>D115</f>
        <v>10000000</v>
      </c>
      <c r="E114" s="484">
        <f>E115</f>
        <v>10000000</v>
      </c>
      <c r="F114" s="395"/>
      <c r="G114" s="372"/>
    </row>
    <row r="115" spans="2:7" ht="13.5">
      <c r="B115" s="366"/>
      <c r="C115" s="287" t="s">
        <v>384</v>
      </c>
      <c r="D115" s="464">
        <f>+E115</f>
        <v>10000000</v>
      </c>
      <c r="E115" s="484">
        <v>10000000</v>
      </c>
      <c r="F115" s="395"/>
      <c r="G115" s="372"/>
    </row>
    <row r="116" spans="2:7" ht="16.5">
      <c r="B116" s="366"/>
      <c r="C116" s="287"/>
      <c r="D116" s="464">
        <f>D117-D118</f>
        <v>0</v>
      </c>
      <c r="E116" s="483"/>
      <c r="F116" s="395"/>
      <c r="G116" s="372"/>
    </row>
    <row r="117" spans="2:7" ht="16.5">
      <c r="B117" s="366"/>
      <c r="C117" s="287"/>
      <c r="D117" s="464">
        <v>55425543</v>
      </c>
      <c r="E117" s="483"/>
      <c r="F117" s="395"/>
      <c r="G117" s="372"/>
    </row>
    <row r="118" spans="2:7" ht="16.5">
      <c r="B118" s="366"/>
      <c r="C118" s="462" t="s">
        <v>253</v>
      </c>
      <c r="D118" s="471">
        <f>SUM(D119:D125)</f>
        <v>55425543</v>
      </c>
      <c r="E118" s="483">
        <v>0</v>
      </c>
      <c r="F118" s="395"/>
      <c r="G118" s="372"/>
    </row>
    <row r="119" spans="2:7" ht="16.5">
      <c r="B119" s="366"/>
      <c r="C119" s="287" t="s">
        <v>382</v>
      </c>
      <c r="D119" s="464">
        <f>+E119</f>
        <v>7000000</v>
      </c>
      <c r="E119" s="483">
        <v>7000000</v>
      </c>
      <c r="F119" s="395"/>
      <c r="G119" s="372"/>
    </row>
    <row r="120" spans="2:7" ht="16.5">
      <c r="B120" s="366"/>
      <c r="C120" s="287" t="s">
        <v>381</v>
      </c>
      <c r="D120" s="464">
        <f aca="true" t="shared" si="2" ref="D120:D125">+E120</f>
        <v>5000000</v>
      </c>
      <c r="E120" s="483">
        <v>5000000</v>
      </c>
      <c r="F120" s="395"/>
      <c r="G120" s="372"/>
    </row>
    <row r="121" spans="2:7" ht="16.5">
      <c r="B121" s="366"/>
      <c r="C121" s="287" t="s">
        <v>380</v>
      </c>
      <c r="D121" s="464">
        <f>+E121</f>
        <v>5000000</v>
      </c>
      <c r="E121" s="483">
        <v>5000000</v>
      </c>
      <c r="F121" s="395"/>
      <c r="G121" s="372"/>
    </row>
    <row r="122" spans="2:7" ht="16.5">
      <c r="B122" s="366"/>
      <c r="C122" s="287" t="s">
        <v>385</v>
      </c>
      <c r="D122" s="464">
        <f t="shared" si="2"/>
        <v>18925543</v>
      </c>
      <c r="E122" s="483">
        <v>18925543</v>
      </c>
      <c r="F122" s="395"/>
      <c r="G122" s="372"/>
    </row>
    <row r="123" spans="2:7" ht="16.5">
      <c r="B123" s="366"/>
      <c r="C123" s="287" t="s">
        <v>386</v>
      </c>
      <c r="D123" s="464">
        <f t="shared" si="2"/>
        <v>14000000</v>
      </c>
      <c r="E123" s="483">
        <v>14000000</v>
      </c>
      <c r="F123" s="395"/>
      <c r="G123" s="372"/>
    </row>
    <row r="124" spans="2:7" ht="16.5">
      <c r="B124" s="366"/>
      <c r="C124" s="287" t="s">
        <v>387</v>
      </c>
      <c r="D124" s="464">
        <f t="shared" si="2"/>
        <v>2500000</v>
      </c>
      <c r="E124" s="483">
        <v>2500000</v>
      </c>
      <c r="F124" s="395"/>
      <c r="G124" s="372"/>
    </row>
    <row r="125" spans="2:7" ht="16.5">
      <c r="B125" s="366"/>
      <c r="C125" s="287" t="s">
        <v>388</v>
      </c>
      <c r="D125" s="464">
        <f t="shared" si="2"/>
        <v>3000000</v>
      </c>
      <c r="E125" s="483">
        <v>3000000</v>
      </c>
      <c r="F125" s="395"/>
      <c r="G125" s="372"/>
    </row>
    <row r="126" spans="2:7" ht="16.5">
      <c r="B126" s="366"/>
      <c r="C126" s="462" t="s">
        <v>281</v>
      </c>
      <c r="D126" s="471">
        <f>SUM(D127:D129)</f>
        <v>31000000</v>
      </c>
      <c r="E126" s="487"/>
      <c r="F126" s="395"/>
      <c r="G126" s="372"/>
    </row>
    <row r="127" spans="2:7" ht="17.25">
      <c r="B127" s="366"/>
      <c r="C127" s="459" t="s">
        <v>394</v>
      </c>
      <c r="D127" s="464">
        <f>+E127</f>
        <v>12000000</v>
      </c>
      <c r="E127" s="483">
        <v>12000000</v>
      </c>
      <c r="F127" s="395"/>
      <c r="G127" s="372"/>
    </row>
    <row r="128" spans="2:7" ht="17.25">
      <c r="B128" s="366"/>
      <c r="C128" s="459" t="s">
        <v>395</v>
      </c>
      <c r="D128" s="464">
        <f>+E128</f>
        <v>7000000</v>
      </c>
      <c r="E128" s="483">
        <v>7000000</v>
      </c>
      <c r="F128" s="395"/>
      <c r="G128" s="372"/>
    </row>
    <row r="129" spans="2:7" ht="17.25">
      <c r="B129" s="366"/>
      <c r="C129" s="459" t="s">
        <v>396</v>
      </c>
      <c r="D129" s="464">
        <f>+E129</f>
        <v>12000000</v>
      </c>
      <c r="E129" s="483">
        <v>12000000</v>
      </c>
      <c r="F129" s="395"/>
      <c r="G129" s="372"/>
    </row>
    <row r="130" spans="2:7" ht="16.5">
      <c r="B130" s="366"/>
      <c r="C130" s="462" t="s">
        <v>294</v>
      </c>
      <c r="D130" s="471">
        <f>+D131+D132+D133</f>
        <v>25000000</v>
      </c>
      <c r="E130" s="487">
        <v>0</v>
      </c>
      <c r="F130" s="395"/>
      <c r="G130" s="372"/>
    </row>
    <row r="131" spans="2:7" ht="17.25">
      <c r="B131" s="366"/>
      <c r="C131" s="459" t="s">
        <v>389</v>
      </c>
      <c r="D131" s="464">
        <f>+E131</f>
        <v>10000000</v>
      </c>
      <c r="E131" s="483">
        <v>10000000</v>
      </c>
      <c r="F131" s="395"/>
      <c r="G131" s="372"/>
    </row>
    <row r="132" spans="2:7" ht="17.25">
      <c r="B132" s="366"/>
      <c r="C132" s="459" t="s">
        <v>390</v>
      </c>
      <c r="D132" s="464">
        <f>+E132</f>
        <v>10000000</v>
      </c>
      <c r="E132" s="483">
        <v>10000000</v>
      </c>
      <c r="F132" s="395"/>
      <c r="G132" s="372"/>
    </row>
    <row r="133" spans="2:7" ht="17.25">
      <c r="B133" s="366"/>
      <c r="C133" s="458" t="s">
        <v>375</v>
      </c>
      <c r="D133" s="464">
        <f>+E133</f>
        <v>5000000</v>
      </c>
      <c r="E133" s="483">
        <v>5000000</v>
      </c>
      <c r="F133" s="395"/>
      <c r="G133" s="372"/>
    </row>
    <row r="134" spans="2:7" ht="15.75">
      <c r="B134" s="366"/>
      <c r="C134" s="463" t="s">
        <v>412</v>
      </c>
      <c r="D134" s="471">
        <f>SUM(D135:D137)</f>
        <v>4557810</v>
      </c>
      <c r="E134" s="486"/>
      <c r="F134" s="395"/>
      <c r="G134" s="372"/>
    </row>
    <row r="135" spans="2:7" ht="16.5">
      <c r="B135" s="366"/>
      <c r="C135" s="363" t="s">
        <v>409</v>
      </c>
      <c r="D135" s="464">
        <f>+E135</f>
        <v>2000000</v>
      </c>
      <c r="E135" s="483">
        <v>2000000</v>
      </c>
      <c r="F135" s="395"/>
      <c r="G135" s="372"/>
    </row>
    <row r="136" spans="2:7" ht="16.5">
      <c r="B136" s="366"/>
      <c r="C136" s="363" t="s">
        <v>410</v>
      </c>
      <c r="D136" s="464">
        <f>+E136</f>
        <v>1000000</v>
      </c>
      <c r="E136" s="483">
        <v>1000000</v>
      </c>
      <c r="F136" s="395"/>
      <c r="G136" s="372"/>
    </row>
    <row r="137" spans="2:7" ht="16.5">
      <c r="B137" s="366"/>
      <c r="C137" s="287" t="s">
        <v>411</v>
      </c>
      <c r="D137" s="464">
        <f>+E137</f>
        <v>1557810</v>
      </c>
      <c r="E137" s="488">
        <v>1557810</v>
      </c>
      <c r="F137" s="395"/>
      <c r="G137" s="372"/>
    </row>
    <row r="138" spans="2:7" ht="16.5">
      <c r="B138" s="366"/>
      <c r="C138" s="462" t="s">
        <v>316</v>
      </c>
      <c r="D138" s="471">
        <f>SUM(D139:D140)</f>
        <v>120038962.8537508</v>
      </c>
      <c r="E138" s="488"/>
      <c r="F138" s="395"/>
      <c r="G138" s="372"/>
    </row>
    <row r="139" spans="2:7" ht="17.25">
      <c r="B139" s="366"/>
      <c r="C139" s="459" t="s">
        <v>397</v>
      </c>
      <c r="D139" s="464">
        <f>E139</f>
        <v>85038962.8537508</v>
      </c>
      <c r="E139" s="488">
        <f>+PROYENOMINA!AG60</f>
        <v>85038962.8537508</v>
      </c>
      <c r="F139" s="395"/>
      <c r="G139" s="372"/>
    </row>
    <row r="140" spans="2:7" ht="17.25">
      <c r="B140" s="366"/>
      <c r="C140" s="459" t="s">
        <v>456</v>
      </c>
      <c r="D140" s="464">
        <f>E140</f>
        <v>35000000</v>
      </c>
      <c r="E140" s="488">
        <v>35000000</v>
      </c>
      <c r="F140" s="395"/>
      <c r="G140" s="372"/>
    </row>
    <row r="141" spans="2:7" ht="14.25" thickBot="1">
      <c r="B141" s="377"/>
      <c r="C141" s="396"/>
      <c r="D141" s="472"/>
      <c r="E141" s="472"/>
      <c r="F141" s="475"/>
      <c r="G141" s="378"/>
    </row>
    <row r="142" spans="2:12" ht="13.5">
      <c r="B142" s="379"/>
      <c r="C142" s="290"/>
      <c r="D142" s="380"/>
      <c r="E142" s="380"/>
      <c r="F142" s="360"/>
      <c r="G142" s="360"/>
      <c r="H142" s="290"/>
      <c r="I142" s="290"/>
      <c r="J142" s="290"/>
      <c r="K142" s="290"/>
      <c r="L142" s="290"/>
    </row>
    <row r="143" spans="2:12" ht="13.5">
      <c r="B143" s="379"/>
      <c r="C143" s="290"/>
      <c r="D143" s="380"/>
      <c r="E143" s="380"/>
      <c r="F143" s="360"/>
      <c r="G143" s="360"/>
      <c r="H143" s="290"/>
      <c r="I143" s="290"/>
      <c r="J143" s="290"/>
      <c r="K143" s="290"/>
      <c r="L143" s="290"/>
    </row>
    <row r="144" spans="2:12" ht="13.5">
      <c r="B144" s="379" t="s">
        <v>275</v>
      </c>
      <c r="C144" s="290"/>
      <c r="D144" s="380"/>
      <c r="E144" s="380"/>
      <c r="F144" s="360"/>
      <c r="G144" s="360"/>
      <c r="H144" s="290"/>
      <c r="I144" s="290"/>
      <c r="J144" s="290"/>
      <c r="K144" s="290"/>
      <c r="L144" s="290"/>
    </row>
    <row r="145" spans="2:12" ht="13.5">
      <c r="B145" s="337"/>
      <c r="C145" s="381"/>
      <c r="D145" s="382" t="s">
        <v>232</v>
      </c>
      <c r="E145" s="360"/>
      <c r="F145" s="342"/>
      <c r="G145" s="342"/>
      <c r="H145" s="290"/>
      <c r="I145" s="290"/>
      <c r="J145" s="290"/>
      <c r="K145" s="290"/>
      <c r="L145" s="290"/>
    </row>
    <row r="146" spans="2:12" ht="13.5">
      <c r="B146" s="337"/>
      <c r="C146" s="383"/>
      <c r="D146" s="382" t="s">
        <v>233</v>
      </c>
      <c r="E146" s="360"/>
      <c r="F146" s="342"/>
      <c r="G146" s="342"/>
      <c r="H146" s="290"/>
      <c r="I146" s="290"/>
      <c r="J146" s="290"/>
      <c r="K146" s="290"/>
      <c r="L146" s="290"/>
    </row>
    <row r="147" spans="2:12" ht="13.5">
      <c r="B147" s="344"/>
      <c r="C147" s="291"/>
      <c r="D147" s="345"/>
      <c r="E147" s="346"/>
      <c r="F147" s="347"/>
      <c r="G147" s="347"/>
      <c r="H147" s="290"/>
      <c r="I147" s="290"/>
      <c r="J147" s="290"/>
      <c r="K147" s="290"/>
      <c r="L147" s="290"/>
    </row>
    <row r="148" spans="2:12" ht="14.25">
      <c r="B148" s="348" t="s">
        <v>234</v>
      </c>
      <c r="C148" s="349" t="s">
        <v>1</v>
      </c>
      <c r="D148" s="384" t="s">
        <v>235</v>
      </c>
      <c r="E148" s="385"/>
      <c r="F148" s="386" t="s">
        <v>236</v>
      </c>
      <c r="G148" s="387"/>
      <c r="H148" s="290"/>
      <c r="I148" s="290"/>
      <c r="J148" s="290"/>
      <c r="K148" s="290"/>
      <c r="L148" s="290"/>
    </row>
    <row r="149" spans="2:12" ht="14.25">
      <c r="B149" s="355"/>
      <c r="C149" s="356"/>
      <c r="D149" s="388" t="s">
        <v>237</v>
      </c>
      <c r="E149" s="389" t="s">
        <v>250</v>
      </c>
      <c r="F149" s="389" t="s">
        <v>238</v>
      </c>
      <c r="G149" s="389" t="s">
        <v>239</v>
      </c>
      <c r="H149" s="290"/>
      <c r="I149" s="290"/>
      <c r="J149" s="290"/>
      <c r="K149" s="290"/>
      <c r="L149" s="290"/>
    </row>
    <row r="150" spans="2:12" ht="14.25">
      <c r="B150" s="552"/>
      <c r="C150" s="543"/>
      <c r="D150" s="553">
        <f>D152-D151</f>
        <v>231769061</v>
      </c>
      <c r="E150" s="554"/>
      <c r="F150" s="554"/>
      <c r="G150" s="554"/>
      <c r="H150" s="290"/>
      <c r="I150" s="290"/>
      <c r="J150" s="290"/>
      <c r="K150" s="290"/>
      <c r="L150" s="290"/>
    </row>
    <row r="151" spans="2:12" ht="13.5">
      <c r="B151" s="379"/>
      <c r="C151" s="290"/>
      <c r="D151" s="380">
        <v>238769061</v>
      </c>
      <c r="E151" s="380"/>
      <c r="F151" s="360"/>
      <c r="G151" s="360"/>
      <c r="H151" s="290"/>
      <c r="I151" s="290"/>
      <c r="J151" s="290"/>
      <c r="K151" s="290"/>
      <c r="L151" s="290"/>
    </row>
    <row r="152" spans="2:11" s="286" customFormat="1" ht="13.5">
      <c r="B152" s="390"/>
      <c r="C152" s="391" t="s">
        <v>241</v>
      </c>
      <c r="D152" s="392">
        <f>SUM(D153:D177)</f>
        <v>470538122</v>
      </c>
      <c r="E152" s="393"/>
      <c r="F152" s="394"/>
      <c r="G152" s="394"/>
      <c r="H152" s="293"/>
      <c r="I152" s="293"/>
      <c r="J152" s="550">
        <v>1193845303</v>
      </c>
      <c r="K152" s="549">
        <v>1</v>
      </c>
    </row>
    <row r="153" spans="2:11" s="286" customFormat="1" ht="13.5">
      <c r="B153" s="358"/>
      <c r="C153" s="292" t="s">
        <v>415</v>
      </c>
      <c r="D153" s="364">
        <f aca="true" t="shared" si="3" ref="D153:D177">+E153+F153+G153</f>
        <v>5000000</v>
      </c>
      <c r="E153" s="360"/>
      <c r="F153" s="372">
        <v>5000000</v>
      </c>
      <c r="G153" s="546"/>
      <c r="J153" s="551">
        <v>955076242</v>
      </c>
      <c r="K153" s="549">
        <v>0.8</v>
      </c>
    </row>
    <row r="154" spans="2:11" s="286" customFormat="1" ht="13.5">
      <c r="B154" s="358"/>
      <c r="C154" s="287" t="s">
        <v>468</v>
      </c>
      <c r="D154" s="364"/>
      <c r="E154" s="360"/>
      <c r="F154" s="372">
        <v>2000000</v>
      </c>
      <c r="G154" s="372"/>
      <c r="J154" s="551"/>
      <c r="K154" s="549"/>
    </row>
    <row r="155" spans="2:11" s="286" customFormat="1" ht="13.5">
      <c r="B155" s="358"/>
      <c r="C155" s="287"/>
      <c r="D155" s="364"/>
      <c r="E155" s="360"/>
      <c r="F155" s="372"/>
      <c r="G155" s="372"/>
      <c r="J155" s="551"/>
      <c r="K155" s="549"/>
    </row>
    <row r="156" spans="2:11" s="286" customFormat="1" ht="13.5">
      <c r="B156" s="358"/>
      <c r="C156" s="287"/>
      <c r="D156" s="364"/>
      <c r="E156" s="360"/>
      <c r="F156" s="372"/>
      <c r="G156" s="372"/>
      <c r="J156" s="551"/>
      <c r="K156" s="549"/>
    </row>
    <row r="157" spans="2:11" s="286" customFormat="1" ht="13.5">
      <c r="B157" s="376"/>
      <c r="C157" s="287" t="s">
        <v>281</v>
      </c>
      <c r="D157" s="364">
        <f t="shared" si="3"/>
        <v>2000000</v>
      </c>
      <c r="E157" s="360"/>
      <c r="F157" s="372">
        <v>2000000</v>
      </c>
      <c r="G157" s="372"/>
      <c r="J157" s="551">
        <v>238769061</v>
      </c>
      <c r="K157" s="549">
        <v>0.2</v>
      </c>
    </row>
    <row r="158" spans="2:11" s="286" customFormat="1" ht="13.5">
      <c r="B158" s="376"/>
      <c r="C158" s="287"/>
      <c r="D158" s="364"/>
      <c r="E158" s="360"/>
      <c r="F158" s="372"/>
      <c r="G158" s="372"/>
      <c r="J158" s="551"/>
      <c r="K158" s="549"/>
    </row>
    <row r="159" spans="2:11" s="286" customFormat="1" ht="13.5">
      <c r="B159" s="376"/>
      <c r="C159" s="287"/>
      <c r="D159" s="364"/>
      <c r="E159" s="360"/>
      <c r="F159" s="372"/>
      <c r="G159" s="372"/>
      <c r="J159" s="551"/>
      <c r="K159" s="549"/>
    </row>
    <row r="160" spans="2:7" s="286" customFormat="1" ht="13.5">
      <c r="B160" s="376"/>
      <c r="C160" s="363" t="s">
        <v>294</v>
      </c>
      <c r="D160" s="364">
        <f t="shared" si="3"/>
        <v>2000000</v>
      </c>
      <c r="E160" s="360"/>
      <c r="F160" s="372">
        <v>2000000</v>
      </c>
      <c r="G160" s="547"/>
    </row>
    <row r="161" spans="2:7" s="286" customFormat="1" ht="13.5">
      <c r="B161" s="376"/>
      <c r="C161" s="363" t="s">
        <v>466</v>
      </c>
      <c r="D161" s="364">
        <f t="shared" si="3"/>
        <v>2000000</v>
      </c>
      <c r="E161" s="360"/>
      <c r="F161" s="372">
        <v>2000000</v>
      </c>
      <c r="G161" s="547"/>
    </row>
    <row r="162" spans="2:7" s="286" customFormat="1" ht="13.5">
      <c r="B162" s="376"/>
      <c r="C162" s="287" t="s">
        <v>413</v>
      </c>
      <c r="D162" s="364">
        <f t="shared" si="3"/>
        <v>2000000</v>
      </c>
      <c r="E162" s="360"/>
      <c r="F162" s="372">
        <v>2000000</v>
      </c>
      <c r="G162" s="372">
        <v>0</v>
      </c>
    </row>
    <row r="163" spans="2:7" s="286" customFormat="1" ht="13.5">
      <c r="B163" s="376"/>
      <c r="C163" s="287" t="s">
        <v>465</v>
      </c>
      <c r="D163" s="364">
        <f t="shared" si="3"/>
        <v>2000000</v>
      </c>
      <c r="E163" s="360"/>
      <c r="F163" s="372">
        <v>2000000</v>
      </c>
      <c r="G163" s="372"/>
    </row>
    <row r="164" spans="2:14" s="286" customFormat="1" ht="13.5">
      <c r="B164" s="376"/>
      <c r="C164" s="287" t="s">
        <v>318</v>
      </c>
      <c r="D164" s="364">
        <f t="shared" si="3"/>
        <v>85000000</v>
      </c>
      <c r="E164" s="360"/>
      <c r="F164" s="372">
        <v>85000000</v>
      </c>
      <c r="G164" s="372"/>
      <c r="J164" s="286" t="s">
        <v>420</v>
      </c>
      <c r="M164" s="286" t="s">
        <v>418</v>
      </c>
      <c r="N164" s="551">
        <v>8953840</v>
      </c>
    </row>
    <row r="165" spans="2:14" s="286" customFormat="1" ht="13.5">
      <c r="B165" s="376"/>
      <c r="C165" s="287" t="s">
        <v>464</v>
      </c>
      <c r="D165" s="364">
        <f t="shared" si="3"/>
        <v>85000000</v>
      </c>
      <c r="E165" s="360"/>
      <c r="F165" s="372">
        <v>85000000</v>
      </c>
      <c r="G165" s="372"/>
      <c r="N165" s="551"/>
    </row>
    <row r="166" spans="2:14" s="286" customFormat="1" ht="13.5">
      <c r="B166" s="376"/>
      <c r="C166" s="287" t="s">
        <v>416</v>
      </c>
      <c r="D166" s="364">
        <f>+E166+F166+G166</f>
        <v>11938453</v>
      </c>
      <c r="E166" s="360"/>
      <c r="F166" s="372">
        <v>0</v>
      </c>
      <c r="G166" s="372">
        <v>11938453</v>
      </c>
      <c r="J166" s="286" t="s">
        <v>417</v>
      </c>
      <c r="M166" s="286" t="s">
        <v>419</v>
      </c>
      <c r="N166" s="551">
        <v>2948613</v>
      </c>
    </row>
    <row r="167" spans="2:14" s="286" customFormat="1" ht="13.5">
      <c r="B167" s="376"/>
      <c r="C167" s="287" t="s">
        <v>463</v>
      </c>
      <c r="D167" s="364">
        <f t="shared" si="3"/>
        <v>11938453</v>
      </c>
      <c r="E167" s="360"/>
      <c r="F167" s="372"/>
      <c r="G167" s="372">
        <v>11938453</v>
      </c>
      <c r="N167" s="551"/>
    </row>
    <row r="168" spans="2:14" s="286" customFormat="1" ht="13.5">
      <c r="B168" s="376"/>
      <c r="C168" s="287" t="s">
        <v>274</v>
      </c>
      <c r="D168" s="364">
        <f>+E168+F168+G168</f>
        <v>23840906</v>
      </c>
      <c r="E168" s="360"/>
      <c r="F168" s="372"/>
      <c r="G168" s="372">
        <f>+G169+G170+G171</f>
        <v>23840906</v>
      </c>
      <c r="J168" s="286" t="s">
        <v>421</v>
      </c>
      <c r="M168" s="286">
        <v>1</v>
      </c>
      <c r="N168" s="551">
        <v>11938453</v>
      </c>
    </row>
    <row r="169" spans="2:14" s="286" customFormat="1" ht="13.5">
      <c r="B169" s="376"/>
      <c r="C169" s="287" t="s">
        <v>457</v>
      </c>
      <c r="D169" s="364">
        <f>+E169+F169+G169</f>
        <v>8953840</v>
      </c>
      <c r="E169" s="360"/>
      <c r="F169" s="372"/>
      <c r="G169" s="372">
        <v>8953840</v>
      </c>
      <c r="N169" s="551"/>
    </row>
    <row r="170" spans="2:14" s="286" customFormat="1" ht="13.5">
      <c r="B170" s="376"/>
      <c r="C170" s="287" t="s">
        <v>458</v>
      </c>
      <c r="D170" s="364">
        <f>+E170+F170+G170</f>
        <v>2948613</v>
      </c>
      <c r="E170" s="360"/>
      <c r="F170" s="372"/>
      <c r="G170" s="372">
        <v>2948613</v>
      </c>
      <c r="N170" s="551"/>
    </row>
    <row r="171" spans="2:14" s="286" customFormat="1" ht="13.5">
      <c r="B171" s="376"/>
      <c r="C171" s="287" t="s">
        <v>421</v>
      </c>
      <c r="D171" s="364">
        <f>+E171+F171+G171</f>
        <v>11938453</v>
      </c>
      <c r="E171" s="360"/>
      <c r="F171" s="372"/>
      <c r="G171" s="372">
        <v>11938453</v>
      </c>
      <c r="N171" s="551"/>
    </row>
    <row r="172" spans="2:14" ht="13.5">
      <c r="B172" s="376"/>
      <c r="C172" s="287" t="s">
        <v>461</v>
      </c>
      <c r="D172" s="364">
        <f>D173</f>
        <v>10000000</v>
      </c>
      <c r="E172" s="360"/>
      <c r="F172" s="372">
        <f>F173</f>
        <v>10000000</v>
      </c>
      <c r="G172" s="372"/>
      <c r="J172" s="288" t="s">
        <v>422</v>
      </c>
      <c r="M172" s="288">
        <v>4</v>
      </c>
      <c r="N172" s="555">
        <v>47753812</v>
      </c>
    </row>
    <row r="173" spans="2:14" ht="13.5">
      <c r="B173" s="376"/>
      <c r="C173" s="287" t="s">
        <v>462</v>
      </c>
      <c r="D173" s="364">
        <v>10000000</v>
      </c>
      <c r="E173" s="360"/>
      <c r="F173" s="372">
        <v>10000000</v>
      </c>
      <c r="G173" s="372"/>
      <c r="N173" s="555"/>
    </row>
    <row r="174" spans="2:14" ht="13.5">
      <c r="B174" s="376"/>
      <c r="C174" s="287" t="s">
        <v>295</v>
      </c>
      <c r="D174" s="364">
        <f t="shared" si="3"/>
        <v>49235890</v>
      </c>
      <c r="E174" s="360"/>
      <c r="F174" s="372">
        <v>0</v>
      </c>
      <c r="G174" s="372">
        <v>49235890</v>
      </c>
      <c r="N174" s="556">
        <f>SUM(N164:N172)</f>
        <v>71594718</v>
      </c>
    </row>
    <row r="175" spans="2:14" ht="13.5">
      <c r="B175" s="376"/>
      <c r="C175" s="287" t="s">
        <v>459</v>
      </c>
      <c r="D175" s="364">
        <f t="shared" si="3"/>
        <v>49235890</v>
      </c>
      <c r="E175" s="360"/>
      <c r="F175" s="372"/>
      <c r="G175" s="372">
        <v>49235890</v>
      </c>
      <c r="N175" s="556"/>
    </row>
    <row r="176" spans="2:14" ht="13.5">
      <c r="B176" s="376"/>
      <c r="C176" s="287" t="s">
        <v>460</v>
      </c>
      <c r="D176" s="364">
        <f>D177</f>
        <v>47753812</v>
      </c>
      <c r="E176" s="360"/>
      <c r="F176" s="372"/>
      <c r="G176" s="372">
        <f>G177</f>
        <v>47753812</v>
      </c>
      <c r="N176" s="556"/>
    </row>
    <row r="177" spans="2:7" ht="13.5">
      <c r="B177" s="376"/>
      <c r="C177" s="396" t="s">
        <v>422</v>
      </c>
      <c r="D177" s="364">
        <f t="shared" si="3"/>
        <v>47753812</v>
      </c>
      <c r="E177" s="360"/>
      <c r="F177" s="372"/>
      <c r="G177" s="548">
        <v>47753812</v>
      </c>
    </row>
    <row r="178" spans="2:14" s="401" customFormat="1" ht="15">
      <c r="B178" s="397"/>
      <c r="C178" s="398" t="s">
        <v>242</v>
      </c>
      <c r="D178" s="399">
        <f>SUM(D7+D12+D50+D57+D64+D76+D152)</f>
        <v>3066586509.8537507</v>
      </c>
      <c r="E178" s="400">
        <f>SUM(E8:E172)</f>
        <v>2929184439.8537507</v>
      </c>
      <c r="F178" s="400">
        <f>SUM(F8:F177)</f>
        <v>207000000</v>
      </c>
      <c r="G178" s="545">
        <f>SUM(G8:G177)</f>
        <v>265538122</v>
      </c>
      <c r="H178" s="286"/>
      <c r="I178" s="286"/>
      <c r="J178" s="286"/>
      <c r="K178" s="286"/>
      <c r="L178" s="286"/>
      <c r="M178" s="286"/>
      <c r="N178" s="286"/>
    </row>
    <row r="179" spans="2:7" s="404" customFormat="1" ht="13.5">
      <c r="B179" s="402" t="s">
        <v>243</v>
      </c>
      <c r="C179" s="403" t="s">
        <v>244</v>
      </c>
      <c r="D179" s="403"/>
      <c r="E179" s="360"/>
      <c r="F179" s="360"/>
      <c r="G179" s="360"/>
    </row>
    <row r="180" spans="2:7" s="404" customFormat="1" ht="13.5">
      <c r="B180" s="402" t="s">
        <v>245</v>
      </c>
      <c r="C180" s="403" t="s">
        <v>246</v>
      </c>
      <c r="D180" s="403"/>
      <c r="E180" s="360"/>
      <c r="F180" s="360"/>
      <c r="G180" s="360"/>
    </row>
    <row r="181" spans="2:7" s="404" customFormat="1" ht="13.5">
      <c r="B181" s="402" t="s">
        <v>247</v>
      </c>
      <c r="C181" s="403" t="s">
        <v>248</v>
      </c>
      <c r="D181" s="403"/>
      <c r="E181" s="360"/>
      <c r="F181" s="360"/>
      <c r="G181" s="360"/>
    </row>
    <row r="184" ht="14.25">
      <c r="C184" s="457" t="s">
        <v>308</v>
      </c>
    </row>
    <row r="185" ht="14.25">
      <c r="C185" s="457" t="s">
        <v>309</v>
      </c>
    </row>
  </sheetData>
  <sheetProtection/>
  <printOptions/>
  <pageMargins left="0.7874015748031497" right="0.7874015748031497" top="0.5118110236220472" bottom="0.3937007874015748" header="0" footer="0"/>
  <pageSetup horizontalDpi="120" verticalDpi="12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04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8515625" style="307" customWidth="1"/>
    <col min="2" max="2" width="8.00390625" style="307" customWidth="1"/>
    <col min="3" max="3" width="56.57421875" style="307" customWidth="1"/>
    <col min="4" max="4" width="14.140625" style="307" customWidth="1"/>
    <col min="5" max="5" width="17.140625" style="307" customWidth="1"/>
    <col min="6" max="6" width="16.28125" style="307" customWidth="1"/>
    <col min="7" max="7" width="11.421875" style="307" customWidth="1"/>
    <col min="8" max="8" width="52.28125" style="307" customWidth="1"/>
    <col min="9" max="9" width="22.7109375" style="307" customWidth="1"/>
    <col min="10" max="10" width="16.57421875" style="307" bestFit="1" customWidth="1"/>
    <col min="11" max="11" width="5.421875" style="307" customWidth="1"/>
    <col min="12" max="12" width="23.7109375" style="307" customWidth="1"/>
    <col min="13" max="13" width="3.8515625" style="307" customWidth="1"/>
    <col min="14" max="14" width="13.8515625" style="307" bestFit="1" customWidth="1"/>
    <col min="15" max="16384" width="11.421875" style="307" customWidth="1"/>
  </cols>
  <sheetData>
    <row r="1" spans="2:7" ht="13.5">
      <c r="B1" s="566"/>
      <c r="C1" s="567"/>
      <c r="D1" s="568" t="s">
        <v>232</v>
      </c>
      <c r="E1" s="569"/>
      <c r="F1" s="570"/>
      <c r="G1" s="571"/>
    </row>
    <row r="2" spans="2:7" ht="13.5">
      <c r="B2" s="566"/>
      <c r="C2" s="572"/>
      <c r="D2" s="568" t="s">
        <v>233</v>
      </c>
      <c r="E2" s="569"/>
      <c r="F2" s="570"/>
      <c r="G2" s="571"/>
    </row>
    <row r="3" spans="2:7" ht="18" customHeight="1">
      <c r="B3" s="566"/>
      <c r="C3" s="309"/>
      <c r="D3" s="684"/>
      <c r="E3" s="640"/>
      <c r="F3" s="571"/>
      <c r="G3" s="571"/>
    </row>
    <row r="4" spans="2:7" s="583" customFormat="1" ht="13.5">
      <c r="B4" s="646" t="s">
        <v>446</v>
      </c>
      <c r="C4" s="590" t="s">
        <v>1</v>
      </c>
      <c r="D4" s="591" t="s">
        <v>235</v>
      </c>
      <c r="E4" s="685" t="s">
        <v>235</v>
      </c>
      <c r="F4" s="763" t="s">
        <v>442</v>
      </c>
      <c r="G4" s="764"/>
    </row>
    <row r="5" spans="2:9" s="583" customFormat="1" ht="13.5">
      <c r="B5" s="646"/>
      <c r="C5" s="590"/>
      <c r="D5" s="591" t="s">
        <v>237</v>
      </c>
      <c r="E5" s="686" t="s">
        <v>441</v>
      </c>
      <c r="F5" s="580" t="s">
        <v>443</v>
      </c>
      <c r="G5" s="582" t="s">
        <v>444</v>
      </c>
      <c r="H5" s="687" t="s">
        <v>445</v>
      </c>
      <c r="I5" s="688" t="s">
        <v>450</v>
      </c>
    </row>
    <row r="6" spans="2:7" s="583" customFormat="1" ht="13.5">
      <c r="B6" s="594"/>
      <c r="C6" s="595" t="s">
        <v>469</v>
      </c>
      <c r="D6" s="596">
        <f>D7</f>
        <v>1257353066</v>
      </c>
      <c r="E6" s="597"/>
      <c r="F6" s="598"/>
      <c r="G6" s="599"/>
    </row>
    <row r="7" spans="2:7" s="583" customFormat="1" ht="13.5">
      <c r="B7" s="689">
        <v>532</v>
      </c>
      <c r="C7" s="595" t="s">
        <v>320</v>
      </c>
      <c r="D7" s="596">
        <f>+D8+D10</f>
        <v>1257353066</v>
      </c>
      <c r="E7" s="597"/>
      <c r="F7" s="598"/>
      <c r="G7" s="599"/>
    </row>
    <row r="8" spans="2:9" s="583" customFormat="1" ht="13.5">
      <c r="B8" s="600"/>
      <c r="C8" s="601" t="s">
        <v>251</v>
      </c>
      <c r="D8" s="602">
        <f>D9</f>
        <v>360507902</v>
      </c>
      <c r="E8" s="597">
        <f>'ANALISIS INGRESOS'!V59</f>
        <v>369507902</v>
      </c>
      <c r="F8" s="598">
        <f>E8</f>
        <v>369507902</v>
      </c>
      <c r="G8" s="599"/>
      <c r="H8" s="688" t="s">
        <v>447</v>
      </c>
      <c r="I8" s="688" t="s">
        <v>448</v>
      </c>
    </row>
    <row r="9" spans="2:9" s="583" customFormat="1" ht="13.5">
      <c r="B9" s="600"/>
      <c r="C9" s="601" t="s">
        <v>475</v>
      </c>
      <c r="D9" s="602">
        <v>360507902</v>
      </c>
      <c r="E9" s="597"/>
      <c r="F9" s="598"/>
      <c r="G9" s="599"/>
      <c r="H9" s="688"/>
      <c r="I9" s="688"/>
    </row>
    <row r="10" spans="2:9" s="583" customFormat="1" ht="13.5">
      <c r="B10" s="603"/>
      <c r="C10" s="601" t="s">
        <v>240</v>
      </c>
      <c r="D10" s="602">
        <f>D11</f>
        <v>896845164</v>
      </c>
      <c r="E10" s="604">
        <f>'ANALISIS INGRESOS'!V60</f>
        <v>896845164</v>
      </c>
      <c r="F10" s="598">
        <f>E10</f>
        <v>896845164</v>
      </c>
      <c r="G10" s="599"/>
      <c r="H10" s="688" t="s">
        <v>449</v>
      </c>
      <c r="I10" s="688" t="s">
        <v>448</v>
      </c>
    </row>
    <row r="11" spans="2:9" s="583" customFormat="1" ht="13.5">
      <c r="B11" s="603"/>
      <c r="C11" s="601" t="s">
        <v>474</v>
      </c>
      <c r="D11" s="602">
        <v>896845164</v>
      </c>
      <c r="E11" s="604"/>
      <c r="F11" s="598"/>
      <c r="G11" s="599"/>
      <c r="H11" s="688"/>
      <c r="I11" s="688"/>
    </row>
    <row r="12" spans="2:7" s="583" customFormat="1" ht="13.5">
      <c r="B12" s="603"/>
      <c r="C12" s="601"/>
      <c r="D12" s="602">
        <f>D13-D14</f>
        <v>0</v>
      </c>
      <c r="E12" s="604"/>
      <c r="F12" s="598"/>
      <c r="G12" s="599"/>
    </row>
    <row r="13" spans="2:7" s="583" customFormat="1" ht="13.5">
      <c r="B13" s="603"/>
      <c r="C13" s="601"/>
      <c r="D13" s="596">
        <f>'ANALISIS INGRESOS'!V57</f>
        <v>301792223</v>
      </c>
      <c r="E13" s="597"/>
      <c r="F13" s="598"/>
      <c r="G13" s="599"/>
    </row>
    <row r="14" spans="2:7" s="583" customFormat="1" ht="13.5">
      <c r="B14" s="690">
        <v>536</v>
      </c>
      <c r="C14" s="606" t="s">
        <v>321</v>
      </c>
      <c r="D14" s="607">
        <f>+D15+D22+D29+D33+D37+D41+D24</f>
        <v>301792223</v>
      </c>
      <c r="E14" s="608"/>
      <c r="F14" s="609"/>
      <c r="G14" s="610"/>
    </row>
    <row r="15" spans="2:7" s="583" customFormat="1" ht="13.5">
      <c r="B15" s="605"/>
      <c r="C15" s="606" t="s">
        <v>324</v>
      </c>
      <c r="D15" s="607">
        <f>SUM(D16:D21)</f>
        <v>137792223</v>
      </c>
      <c r="E15" s="608"/>
      <c r="F15" s="609"/>
      <c r="G15" s="610"/>
    </row>
    <row r="16" spans="2:7" s="583" customFormat="1" ht="13.5">
      <c r="B16" s="605"/>
      <c r="C16" s="611" t="s">
        <v>331</v>
      </c>
      <c r="D16" s="612">
        <f aca="true" t="shared" si="0" ref="D16:D21">+E16</f>
        <v>5000000</v>
      </c>
      <c r="E16" s="613">
        <v>5000000</v>
      </c>
      <c r="F16" s="609"/>
      <c r="G16" s="610"/>
    </row>
    <row r="17" spans="2:7" s="583" customFormat="1" ht="13.5">
      <c r="B17" s="605"/>
      <c r="C17" s="611" t="s">
        <v>332</v>
      </c>
      <c r="D17" s="612">
        <f t="shared" si="0"/>
        <v>5000000</v>
      </c>
      <c r="E17" s="613">
        <v>5000000</v>
      </c>
      <c r="F17" s="609"/>
      <c r="G17" s="610"/>
    </row>
    <row r="18" spans="2:7" s="583" customFormat="1" ht="13.5">
      <c r="B18" s="605"/>
      <c r="C18" s="611" t="s">
        <v>333</v>
      </c>
      <c r="D18" s="612">
        <f t="shared" si="0"/>
        <v>7000000</v>
      </c>
      <c r="E18" s="613">
        <v>7000000</v>
      </c>
      <c r="F18" s="609"/>
      <c r="G18" s="610"/>
    </row>
    <row r="19" spans="2:7" s="583" customFormat="1" ht="13.5">
      <c r="B19" s="605"/>
      <c r="C19" s="611" t="s">
        <v>334</v>
      </c>
      <c r="D19" s="612">
        <f t="shared" si="0"/>
        <v>15000000</v>
      </c>
      <c r="E19" s="613">
        <v>15000000</v>
      </c>
      <c r="F19" s="609"/>
      <c r="G19" s="610"/>
    </row>
    <row r="20" spans="2:7" s="583" customFormat="1" ht="13.5">
      <c r="B20" s="605"/>
      <c r="C20" s="611" t="s">
        <v>335</v>
      </c>
      <c r="D20" s="612">
        <f t="shared" si="0"/>
        <v>15000000</v>
      </c>
      <c r="E20" s="613">
        <v>15000000</v>
      </c>
      <c r="F20" s="609"/>
      <c r="G20" s="610"/>
    </row>
    <row r="21" spans="2:7" s="583" customFormat="1" ht="13.5">
      <c r="B21" s="605"/>
      <c r="C21" s="611" t="s">
        <v>336</v>
      </c>
      <c r="D21" s="612">
        <f t="shared" si="0"/>
        <v>90792223</v>
      </c>
      <c r="E21" s="612">
        <v>90792223</v>
      </c>
      <c r="F21" s="609"/>
      <c r="G21" s="610"/>
    </row>
    <row r="22" spans="2:7" s="583" customFormat="1" ht="13.5">
      <c r="B22" s="605"/>
      <c r="C22" s="606" t="s">
        <v>325</v>
      </c>
      <c r="D22" s="607">
        <f>D23</f>
        <v>20000000</v>
      </c>
      <c r="E22" s="613"/>
      <c r="F22" s="609"/>
      <c r="G22" s="610"/>
    </row>
    <row r="23" spans="2:7" s="583" customFormat="1" ht="13.5">
      <c r="B23" s="605"/>
      <c r="C23" s="611" t="s">
        <v>337</v>
      </c>
      <c r="D23" s="612">
        <f>+E23</f>
        <v>20000000</v>
      </c>
      <c r="E23" s="613">
        <v>20000000</v>
      </c>
      <c r="F23" s="609">
        <f>E23</f>
        <v>20000000</v>
      </c>
      <c r="G23" s="608">
        <v>0</v>
      </c>
    </row>
    <row r="24" spans="2:7" s="583" customFormat="1" ht="13.5">
      <c r="B24" s="605"/>
      <c r="C24" s="606" t="s">
        <v>326</v>
      </c>
      <c r="D24" s="607">
        <f>SUM(D25:D28)</f>
        <v>0</v>
      </c>
      <c r="E24" s="608"/>
      <c r="F24" s="609"/>
      <c r="G24" s="610"/>
    </row>
    <row r="25" spans="2:7" s="583" customFormat="1" ht="13.5">
      <c r="B25" s="605"/>
      <c r="C25" s="691" t="s">
        <v>423</v>
      </c>
      <c r="D25" s="612">
        <v>0</v>
      </c>
      <c r="E25" s="692">
        <v>2000000</v>
      </c>
      <c r="F25" s="609">
        <f>E25</f>
        <v>2000000</v>
      </c>
      <c r="G25" s="610"/>
    </row>
    <row r="26" spans="2:7" s="583" customFormat="1" ht="13.5">
      <c r="B26" s="605"/>
      <c r="C26" s="289" t="s">
        <v>424</v>
      </c>
      <c r="D26" s="612">
        <v>0</v>
      </c>
      <c r="E26" s="692">
        <v>3000000</v>
      </c>
      <c r="F26" s="609">
        <f>E26</f>
        <v>3000000</v>
      </c>
      <c r="G26" s="610"/>
    </row>
    <row r="27" spans="2:7" s="583" customFormat="1" ht="13.5">
      <c r="B27" s="605"/>
      <c r="C27" s="289" t="s">
        <v>425</v>
      </c>
      <c r="D27" s="612">
        <v>0</v>
      </c>
      <c r="E27" s="692">
        <v>2000000</v>
      </c>
      <c r="F27" s="609">
        <f>E27</f>
        <v>2000000</v>
      </c>
      <c r="G27" s="610"/>
    </row>
    <row r="28" spans="2:7" s="583" customFormat="1" ht="13.5">
      <c r="B28" s="605"/>
      <c r="C28" s="289" t="s">
        <v>426</v>
      </c>
      <c r="D28" s="612">
        <v>0</v>
      </c>
      <c r="E28" s="692">
        <v>3000000</v>
      </c>
      <c r="F28" s="609">
        <f>E28</f>
        <v>3000000</v>
      </c>
      <c r="G28" s="610"/>
    </row>
    <row r="29" spans="2:7" s="583" customFormat="1" ht="13.5">
      <c r="B29" s="605"/>
      <c r="C29" s="606" t="s">
        <v>327</v>
      </c>
      <c r="D29" s="607">
        <f>SUM(D30:D32)</f>
        <v>42000000</v>
      </c>
      <c r="E29" s="608"/>
      <c r="F29" s="609"/>
      <c r="G29" s="610"/>
    </row>
    <row r="30" spans="2:7" s="583" customFormat="1" ht="27">
      <c r="B30" s="605"/>
      <c r="C30" s="691" t="s">
        <v>427</v>
      </c>
      <c r="D30" s="612">
        <f>+E30</f>
        <v>20000000</v>
      </c>
      <c r="E30" s="613">
        <v>20000000</v>
      </c>
      <c r="F30" s="609">
        <f>E30</f>
        <v>20000000</v>
      </c>
      <c r="G30" s="610"/>
    </row>
    <row r="31" spans="2:7" s="583" customFormat="1" ht="13.5">
      <c r="B31" s="605"/>
      <c r="C31" s="289" t="s">
        <v>428</v>
      </c>
      <c r="D31" s="612">
        <f>+E31</f>
        <v>10000000</v>
      </c>
      <c r="E31" s="613">
        <v>10000000</v>
      </c>
      <c r="F31" s="609">
        <f>E31</f>
        <v>10000000</v>
      </c>
      <c r="G31" s="610"/>
    </row>
    <row r="32" spans="2:7" s="583" customFormat="1" ht="13.5">
      <c r="B32" s="605"/>
      <c r="C32" s="289" t="s">
        <v>429</v>
      </c>
      <c r="D32" s="612">
        <f>+E32</f>
        <v>12000000</v>
      </c>
      <c r="E32" s="613">
        <v>12000000</v>
      </c>
      <c r="F32" s="609">
        <f>E32</f>
        <v>12000000</v>
      </c>
      <c r="G32" s="610"/>
    </row>
    <row r="33" spans="2:7" s="583" customFormat="1" ht="13.5">
      <c r="B33" s="605"/>
      <c r="C33" s="606" t="s">
        <v>328</v>
      </c>
      <c r="D33" s="607">
        <f>SUM(D34:D36)</f>
        <v>30000000</v>
      </c>
      <c r="E33" s="613"/>
      <c r="F33" s="609"/>
      <c r="G33" s="610"/>
    </row>
    <row r="34" spans="2:7" s="583" customFormat="1" ht="27">
      <c r="B34" s="605"/>
      <c r="C34" s="693" t="s">
        <v>430</v>
      </c>
      <c r="D34" s="612">
        <f>+E34</f>
        <v>10000000</v>
      </c>
      <c r="E34" s="613">
        <v>10000000</v>
      </c>
      <c r="F34" s="609">
        <f>E34</f>
        <v>10000000</v>
      </c>
      <c r="G34" s="610"/>
    </row>
    <row r="35" spans="2:7" s="583" customFormat="1" ht="27">
      <c r="B35" s="605"/>
      <c r="C35" s="693" t="s">
        <v>431</v>
      </c>
      <c r="D35" s="612">
        <f>+E35</f>
        <v>5000000</v>
      </c>
      <c r="E35" s="613">
        <v>5000000</v>
      </c>
      <c r="F35" s="609">
        <f>E35</f>
        <v>5000000</v>
      </c>
      <c r="G35" s="610"/>
    </row>
    <row r="36" spans="2:7" s="583" customFormat="1" ht="27">
      <c r="B36" s="605"/>
      <c r="C36" s="691" t="s">
        <v>432</v>
      </c>
      <c r="D36" s="612">
        <f>+E36</f>
        <v>15000000</v>
      </c>
      <c r="E36" s="613">
        <v>15000000</v>
      </c>
      <c r="F36" s="609">
        <f>E36</f>
        <v>15000000</v>
      </c>
      <c r="G36" s="610"/>
    </row>
    <row r="37" spans="2:7" s="583" customFormat="1" ht="13.5">
      <c r="B37" s="605"/>
      <c r="C37" s="606" t="s">
        <v>329</v>
      </c>
      <c r="D37" s="607">
        <f>SUM(D38:D40)</f>
        <v>19000000</v>
      </c>
      <c r="E37" s="613"/>
      <c r="F37" s="609"/>
      <c r="G37" s="610"/>
    </row>
    <row r="38" spans="2:7" s="583" customFormat="1" ht="27">
      <c r="B38" s="605"/>
      <c r="C38" s="694" t="s">
        <v>343</v>
      </c>
      <c r="D38" s="612">
        <f>E38</f>
        <v>7000000</v>
      </c>
      <c r="E38" s="613">
        <v>7000000</v>
      </c>
      <c r="F38" s="609">
        <f aca="true" t="shared" si="1" ref="F38:F47">E38</f>
        <v>7000000</v>
      </c>
      <c r="G38" s="610"/>
    </row>
    <row r="39" spans="2:7" s="583" customFormat="1" ht="13.5">
      <c r="B39" s="605"/>
      <c r="C39" s="601" t="s">
        <v>344</v>
      </c>
      <c r="D39" s="612">
        <f>E39</f>
        <v>5000000</v>
      </c>
      <c r="E39" s="613">
        <v>5000000</v>
      </c>
      <c r="F39" s="609">
        <f t="shared" si="1"/>
        <v>5000000</v>
      </c>
      <c r="G39" s="610"/>
    </row>
    <row r="40" spans="2:7" s="583" customFormat="1" ht="13.5">
      <c r="B40" s="605"/>
      <c r="C40" s="695" t="s">
        <v>345</v>
      </c>
      <c r="D40" s="612">
        <f>E40</f>
        <v>7000000</v>
      </c>
      <c r="E40" s="613">
        <v>7000000</v>
      </c>
      <c r="F40" s="609">
        <f t="shared" si="1"/>
        <v>7000000</v>
      </c>
      <c r="G40" s="610"/>
    </row>
    <row r="41" spans="2:7" s="583" customFormat="1" ht="13.5">
      <c r="B41" s="605"/>
      <c r="C41" s="606" t="s">
        <v>330</v>
      </c>
      <c r="D41" s="607">
        <f>SUM(D42:D47)</f>
        <v>53000000</v>
      </c>
      <c r="E41" s="613"/>
      <c r="F41" s="609">
        <f t="shared" si="1"/>
        <v>0</v>
      </c>
      <c r="G41" s="610"/>
    </row>
    <row r="42" spans="2:7" s="583" customFormat="1" ht="27">
      <c r="B42" s="605"/>
      <c r="C42" s="696" t="s">
        <v>346</v>
      </c>
      <c r="D42" s="612">
        <f aca="true" t="shared" si="2" ref="D42:D47">E42</f>
        <v>3000000</v>
      </c>
      <c r="E42" s="613">
        <v>3000000</v>
      </c>
      <c r="F42" s="609">
        <f t="shared" si="1"/>
        <v>3000000</v>
      </c>
      <c r="G42" s="610"/>
    </row>
    <row r="43" spans="2:7" s="583" customFormat="1" ht="27">
      <c r="B43" s="605"/>
      <c r="C43" s="697" t="s">
        <v>347</v>
      </c>
      <c r="D43" s="612">
        <f t="shared" si="2"/>
        <v>5000000</v>
      </c>
      <c r="E43" s="613">
        <v>5000000</v>
      </c>
      <c r="F43" s="609">
        <f t="shared" si="1"/>
        <v>5000000</v>
      </c>
      <c r="G43" s="610"/>
    </row>
    <row r="44" spans="2:7" s="297" customFormat="1" ht="27">
      <c r="B44" s="600"/>
      <c r="C44" s="696" t="s">
        <v>348</v>
      </c>
      <c r="D44" s="612">
        <f t="shared" si="2"/>
        <v>3000000</v>
      </c>
      <c r="E44" s="698">
        <v>3000000</v>
      </c>
      <c r="F44" s="617">
        <f t="shared" si="1"/>
        <v>3000000</v>
      </c>
      <c r="G44" s="597"/>
    </row>
    <row r="45" spans="2:7" ht="13.5">
      <c r="B45" s="603"/>
      <c r="C45" s="699" t="s">
        <v>349</v>
      </c>
      <c r="D45" s="612">
        <f t="shared" si="2"/>
        <v>7000000</v>
      </c>
      <c r="E45" s="700">
        <v>7000000</v>
      </c>
      <c r="F45" s="617">
        <f t="shared" si="1"/>
        <v>7000000</v>
      </c>
      <c r="G45" s="597"/>
    </row>
    <row r="46" spans="2:7" ht="13.5">
      <c r="B46" s="603"/>
      <c r="C46" s="699" t="s">
        <v>350</v>
      </c>
      <c r="D46" s="612">
        <f t="shared" si="2"/>
        <v>20000000</v>
      </c>
      <c r="E46" s="618">
        <v>20000000</v>
      </c>
      <c r="F46" s="617">
        <f t="shared" si="1"/>
        <v>20000000</v>
      </c>
      <c r="G46" s="597"/>
    </row>
    <row r="47" spans="2:7" ht="13.5">
      <c r="B47" s="603"/>
      <c r="C47" s="699" t="s">
        <v>351</v>
      </c>
      <c r="D47" s="612">
        <f t="shared" si="2"/>
        <v>15000000</v>
      </c>
      <c r="E47" s="618">
        <v>15000000</v>
      </c>
      <c r="F47" s="617">
        <f t="shared" si="1"/>
        <v>15000000</v>
      </c>
      <c r="G47" s="597"/>
    </row>
    <row r="48" spans="2:7" ht="13.5">
      <c r="B48" s="614">
        <v>537</v>
      </c>
      <c r="C48" s="615" t="s">
        <v>322</v>
      </c>
      <c r="D48" s="596">
        <f>D49</f>
        <v>58351672</v>
      </c>
      <c r="E48" s="616"/>
      <c r="F48" s="617"/>
      <c r="G48" s="597"/>
    </row>
    <row r="49" spans="2:7" ht="13.5">
      <c r="B49" s="603"/>
      <c r="C49" s="601" t="s">
        <v>307</v>
      </c>
      <c r="D49" s="602">
        <f>E49</f>
        <v>58351672</v>
      </c>
      <c r="E49" s="618">
        <f>'ANALISIS INGRESOS'!V62</f>
        <v>58351672</v>
      </c>
      <c r="F49" s="617">
        <f>E49</f>
        <v>58351672</v>
      </c>
      <c r="G49" s="597"/>
    </row>
    <row r="50" spans="2:7" ht="13.5">
      <c r="B50" s="603"/>
      <c r="C50" s="601"/>
      <c r="D50" s="602">
        <f>D52-D51</f>
        <v>0</v>
      </c>
      <c r="E50" s="618"/>
      <c r="F50" s="617"/>
      <c r="G50" s="597"/>
    </row>
    <row r="51" spans="2:7" ht="13.5">
      <c r="B51" s="603"/>
      <c r="C51" s="595" t="s">
        <v>257</v>
      </c>
      <c r="D51" s="596">
        <f>'ANALISIS INGRESOS'!V63</f>
        <v>303239931</v>
      </c>
      <c r="E51" s="597" t="s">
        <v>257</v>
      </c>
      <c r="F51" s="617"/>
      <c r="G51" s="597"/>
    </row>
    <row r="52" spans="2:7" s="297" customFormat="1" ht="13.5">
      <c r="B52" s="689">
        <v>541</v>
      </c>
      <c r="C52" s="595" t="s">
        <v>323</v>
      </c>
      <c r="D52" s="596">
        <f>+D53+D55+D57+D59</f>
        <v>303239931</v>
      </c>
      <c r="E52" s="597"/>
      <c r="F52" s="617"/>
      <c r="G52" s="597"/>
    </row>
    <row r="53" spans="2:7" ht="13.5">
      <c r="B53" s="603"/>
      <c r="C53" s="601" t="s">
        <v>252</v>
      </c>
      <c r="D53" s="602">
        <f>D54</f>
        <v>137893805</v>
      </c>
      <c r="E53" s="597">
        <v>137893805</v>
      </c>
      <c r="F53" s="617">
        <f>E53</f>
        <v>137893805</v>
      </c>
      <c r="G53" s="597"/>
    </row>
    <row r="54" spans="2:7" ht="13.5">
      <c r="B54" s="603"/>
      <c r="C54" s="601" t="s">
        <v>470</v>
      </c>
      <c r="D54" s="602">
        <v>137893805</v>
      </c>
      <c r="E54" s="597"/>
      <c r="F54" s="617"/>
      <c r="G54" s="597"/>
    </row>
    <row r="55" spans="2:7" ht="13.5">
      <c r="B55" s="603"/>
      <c r="C55" s="601" t="s">
        <v>272</v>
      </c>
      <c r="D55" s="602">
        <f>D56</f>
        <v>25704136</v>
      </c>
      <c r="E55" s="619">
        <v>25704136</v>
      </c>
      <c r="F55" s="617">
        <f>E55</f>
        <v>25704136</v>
      </c>
      <c r="G55" s="597"/>
    </row>
    <row r="56" spans="2:7" ht="13.5">
      <c r="B56" s="603"/>
      <c r="C56" s="601" t="s">
        <v>471</v>
      </c>
      <c r="D56" s="602">
        <v>25704136</v>
      </c>
      <c r="E56" s="619"/>
      <c r="F56" s="617"/>
      <c r="G56" s="597"/>
    </row>
    <row r="57" spans="2:7" ht="13.5">
      <c r="B57" s="701"/>
      <c r="C57" s="601" t="s">
        <v>258</v>
      </c>
      <c r="D57" s="602">
        <f>D58</f>
        <v>107616249</v>
      </c>
      <c r="E57" s="619">
        <v>107616249</v>
      </c>
      <c r="F57" s="617">
        <f>E57</f>
        <v>107616249</v>
      </c>
      <c r="G57" s="597"/>
    </row>
    <row r="58" spans="2:7" ht="13.5">
      <c r="B58" s="603"/>
      <c r="C58" s="601" t="s">
        <v>472</v>
      </c>
      <c r="D58" s="602">
        <v>107616249</v>
      </c>
      <c r="E58" s="619"/>
      <c r="F58" s="617"/>
      <c r="G58" s="597"/>
    </row>
    <row r="59" spans="2:7" ht="13.5">
      <c r="B59" s="603"/>
      <c r="C59" s="601" t="s">
        <v>273</v>
      </c>
      <c r="D59" s="602">
        <f>D60</f>
        <v>32025741</v>
      </c>
      <c r="E59" s="619">
        <v>32025741</v>
      </c>
      <c r="F59" s="617">
        <f>E59</f>
        <v>32025741</v>
      </c>
      <c r="G59" s="597"/>
    </row>
    <row r="60" spans="2:7" ht="13.5">
      <c r="B60" s="603"/>
      <c r="C60" s="601" t="s">
        <v>473</v>
      </c>
      <c r="D60" s="602">
        <v>32025741</v>
      </c>
      <c r="E60" s="619"/>
      <c r="F60" s="617"/>
      <c r="G60" s="597"/>
    </row>
    <row r="61" spans="2:7" ht="13.5">
      <c r="B61" s="603"/>
      <c r="C61" s="601"/>
      <c r="D61" s="602">
        <f>D62-D63</f>
        <v>0</v>
      </c>
      <c r="E61" s="619"/>
      <c r="F61" s="617"/>
      <c r="G61" s="597"/>
    </row>
    <row r="62" spans="2:7" ht="13.5">
      <c r="B62" s="603"/>
      <c r="C62" s="601"/>
      <c r="D62" s="596">
        <v>43346555</v>
      </c>
      <c r="E62" s="597"/>
      <c r="F62" s="617"/>
      <c r="G62" s="597"/>
    </row>
    <row r="63" spans="2:7" s="297" customFormat="1" ht="13.5">
      <c r="B63" s="689">
        <v>546</v>
      </c>
      <c r="C63" s="595" t="s">
        <v>353</v>
      </c>
      <c r="D63" s="596">
        <f>+D64+D66+D68+D70</f>
        <v>43346555</v>
      </c>
      <c r="E63" s="597"/>
      <c r="F63" s="617"/>
      <c r="G63" s="597"/>
    </row>
    <row r="64" spans="2:7" s="297" customFormat="1" ht="13.5">
      <c r="B64" s="594"/>
      <c r="C64" s="289" t="s">
        <v>354</v>
      </c>
      <c r="D64" s="602">
        <f>D65</f>
        <v>7000000</v>
      </c>
      <c r="E64" s="597">
        <v>7000000</v>
      </c>
      <c r="F64" s="617"/>
      <c r="G64" s="597"/>
    </row>
    <row r="65" spans="2:7" s="297" customFormat="1" ht="13.5">
      <c r="B65" s="594"/>
      <c r="C65" s="289" t="s">
        <v>476</v>
      </c>
      <c r="D65" s="602">
        <v>7000000</v>
      </c>
      <c r="E65" s="597"/>
      <c r="F65" s="617"/>
      <c r="G65" s="597"/>
    </row>
    <row r="66" spans="2:7" s="297" customFormat="1" ht="13.5">
      <c r="B66" s="594"/>
      <c r="C66" s="289" t="s">
        <v>355</v>
      </c>
      <c r="D66" s="602">
        <f>D67</f>
        <v>7000000</v>
      </c>
      <c r="E66" s="597">
        <v>7000000</v>
      </c>
      <c r="F66" s="617"/>
      <c r="G66" s="597"/>
    </row>
    <row r="67" spans="2:7" s="297" customFormat="1" ht="13.5">
      <c r="B67" s="594"/>
      <c r="C67" s="289" t="s">
        <v>477</v>
      </c>
      <c r="D67" s="602">
        <v>7000000</v>
      </c>
      <c r="E67" s="597"/>
      <c r="F67" s="617"/>
      <c r="G67" s="597"/>
    </row>
    <row r="68" spans="2:7" s="297" customFormat="1" ht="13.5">
      <c r="B68" s="600"/>
      <c r="C68" s="611" t="s">
        <v>356</v>
      </c>
      <c r="D68" s="602">
        <f>D69</f>
        <v>24346555</v>
      </c>
      <c r="E68" s="619">
        <v>24346555</v>
      </c>
      <c r="F68" s="617"/>
      <c r="G68" s="597"/>
    </row>
    <row r="69" spans="2:7" s="297" customFormat="1" ht="13.5">
      <c r="B69" s="600"/>
      <c r="C69" s="611" t="s">
        <v>478</v>
      </c>
      <c r="D69" s="602">
        <v>24346555</v>
      </c>
      <c r="E69" s="619"/>
      <c r="F69" s="617"/>
      <c r="G69" s="597"/>
    </row>
    <row r="70" spans="2:7" ht="13.5">
      <c r="B70" s="603"/>
      <c r="C70" s="611" t="s">
        <v>352</v>
      </c>
      <c r="D70" s="602">
        <f>D71</f>
        <v>5000000</v>
      </c>
      <c r="E70" s="597">
        <v>5000000</v>
      </c>
      <c r="F70" s="617"/>
      <c r="G70" s="597"/>
    </row>
    <row r="71" spans="2:7" ht="13.5">
      <c r="B71" s="603"/>
      <c r="C71" s="611" t="s">
        <v>479</v>
      </c>
      <c r="D71" s="602">
        <v>5000000</v>
      </c>
      <c r="E71" s="597"/>
      <c r="F71" s="617"/>
      <c r="G71" s="597"/>
    </row>
    <row r="72" spans="2:7" ht="13.5">
      <c r="B72" s="620"/>
      <c r="C72" s="289"/>
      <c r="D72" s="621">
        <v>0</v>
      </c>
      <c r="E72" s="597"/>
      <c r="F72" s="617"/>
      <c r="G72" s="597"/>
    </row>
    <row r="73" spans="2:7" s="297" customFormat="1" ht="13.5">
      <c r="B73" s="689">
        <v>545</v>
      </c>
      <c r="C73" s="595" t="s">
        <v>359</v>
      </c>
      <c r="D73" s="622">
        <f>+D74+D75+D77</f>
        <v>32509917</v>
      </c>
      <c r="E73" s="597"/>
      <c r="F73" s="617"/>
      <c r="G73" s="597"/>
    </row>
    <row r="74" spans="2:7" s="297" customFormat="1" ht="13.5" customHeight="1">
      <c r="B74" s="600"/>
      <c r="C74" s="611" t="s">
        <v>338</v>
      </c>
      <c r="D74" s="602">
        <f>+E74</f>
        <v>0</v>
      </c>
      <c r="E74" s="597">
        <v>0</v>
      </c>
      <c r="F74" s="617"/>
      <c r="G74" s="597"/>
    </row>
    <row r="75" spans="2:7" s="297" customFormat="1" ht="13.5" customHeight="1">
      <c r="B75" s="600"/>
      <c r="C75" s="611" t="s">
        <v>357</v>
      </c>
      <c r="D75" s="602">
        <f>D76</f>
        <v>1000000</v>
      </c>
      <c r="E75" s="597">
        <f>E76</f>
        <v>1000000</v>
      </c>
      <c r="F75" s="617"/>
      <c r="G75" s="597"/>
    </row>
    <row r="76" spans="2:7" s="297" customFormat="1" ht="13.5" customHeight="1">
      <c r="B76" s="600"/>
      <c r="C76" s="611" t="s">
        <v>365</v>
      </c>
      <c r="D76" s="602">
        <f>+E76</f>
        <v>1000000</v>
      </c>
      <c r="E76" s="597">
        <v>1000000</v>
      </c>
      <c r="F76" s="617"/>
      <c r="G76" s="597"/>
    </row>
    <row r="77" spans="2:7" s="297" customFormat="1" ht="13.5" customHeight="1">
      <c r="B77" s="600"/>
      <c r="C77" s="611" t="s">
        <v>358</v>
      </c>
      <c r="D77" s="602">
        <f>SUM(D78:D82)</f>
        <v>31509917</v>
      </c>
      <c r="E77" s="597"/>
      <c r="F77" s="617"/>
      <c r="G77" s="597"/>
    </row>
    <row r="78" spans="2:7" s="297" customFormat="1" ht="13.5">
      <c r="B78" s="600"/>
      <c r="C78" s="611" t="s">
        <v>360</v>
      </c>
      <c r="D78" s="602">
        <f>+E78</f>
        <v>6387787</v>
      </c>
      <c r="E78" s="597">
        <v>6387787</v>
      </c>
      <c r="F78" s="617"/>
      <c r="G78" s="597"/>
    </row>
    <row r="79" spans="2:7" s="297" customFormat="1" ht="13.5">
      <c r="B79" s="600"/>
      <c r="C79" s="611" t="s">
        <v>361</v>
      </c>
      <c r="D79" s="602">
        <f>+E79</f>
        <v>20122130</v>
      </c>
      <c r="E79" s="597">
        <v>20122130</v>
      </c>
      <c r="F79" s="617"/>
      <c r="G79" s="597"/>
    </row>
    <row r="80" spans="2:7" s="297" customFormat="1" ht="13.5">
      <c r="B80" s="600"/>
      <c r="C80" s="289" t="s">
        <v>362</v>
      </c>
      <c r="D80" s="602">
        <f>+E80</f>
        <v>3000000</v>
      </c>
      <c r="E80" s="597">
        <v>3000000</v>
      </c>
      <c r="F80" s="617"/>
      <c r="G80" s="597"/>
    </row>
    <row r="81" spans="2:7" s="297" customFormat="1" ht="13.5">
      <c r="B81" s="600"/>
      <c r="C81" s="289" t="s">
        <v>364</v>
      </c>
      <c r="D81" s="602">
        <f>+E81</f>
        <v>2000000</v>
      </c>
      <c r="E81" s="597">
        <v>2000000</v>
      </c>
      <c r="F81" s="617"/>
      <c r="G81" s="597"/>
    </row>
    <row r="82" spans="2:7" ht="13.5">
      <c r="B82" s="620"/>
      <c r="C82" s="289" t="s">
        <v>363</v>
      </c>
      <c r="D82" s="602">
        <f>+E82</f>
        <v>0</v>
      </c>
      <c r="E82" s="597"/>
      <c r="F82" s="617"/>
      <c r="G82" s="597"/>
    </row>
    <row r="83" spans="2:7" ht="13.5">
      <c r="B83" s="620"/>
      <c r="C83" s="289"/>
      <c r="D83" s="602">
        <f>D85-D84</f>
        <v>0</v>
      </c>
      <c r="E83" s="597"/>
      <c r="F83" s="617"/>
      <c r="G83" s="597"/>
    </row>
    <row r="84" spans="2:7" ht="13.5">
      <c r="B84" s="620"/>
      <c r="C84" s="289"/>
      <c r="D84" s="623">
        <v>648806696</v>
      </c>
      <c r="E84" s="597"/>
      <c r="F84" s="617"/>
      <c r="G84" s="597"/>
    </row>
    <row r="85" spans="2:7" s="297" customFormat="1" ht="13.5">
      <c r="B85" s="702">
        <v>547</v>
      </c>
      <c r="C85" s="595" t="s">
        <v>259</v>
      </c>
      <c r="D85" s="596">
        <f>+D87+D91+D101+D108+D113+D118+D124+D129+D148+D159+D144+D152</f>
        <v>648806696</v>
      </c>
      <c r="E85" s="597"/>
      <c r="F85" s="617"/>
      <c r="G85" s="597"/>
    </row>
    <row r="86" spans="2:7" s="297" customFormat="1" ht="13.5">
      <c r="B86" s="702">
        <v>54709</v>
      </c>
      <c r="C86" s="595" t="s">
        <v>510</v>
      </c>
      <c r="D86" s="596">
        <f>+D88+D92+D102+D109+D114+D119+D125+D130+D149+D160+D145+D153</f>
        <v>327823343</v>
      </c>
      <c r="E86" s="597"/>
      <c r="F86" s="617"/>
      <c r="G86" s="597"/>
    </row>
    <row r="87" spans="2:7" s="297" customFormat="1" ht="13.5">
      <c r="B87" s="703">
        <v>5470901</v>
      </c>
      <c r="C87" s="624" t="s">
        <v>313</v>
      </c>
      <c r="D87" s="625">
        <f>SUM(D88:D90)</f>
        <v>48000000</v>
      </c>
      <c r="E87" s="619">
        <v>0</v>
      </c>
      <c r="F87" s="617"/>
      <c r="G87" s="597"/>
    </row>
    <row r="88" spans="2:7" s="297" customFormat="1" ht="13.5">
      <c r="B88" s="600"/>
      <c r="C88" s="611" t="s">
        <v>391</v>
      </c>
      <c r="D88" s="602">
        <f>+E88</f>
        <v>26000000</v>
      </c>
      <c r="E88" s="619">
        <v>26000000</v>
      </c>
      <c r="F88" s="617"/>
      <c r="G88" s="597"/>
    </row>
    <row r="89" spans="2:7" s="297" customFormat="1" ht="13.5">
      <c r="B89" s="600"/>
      <c r="C89" s="611" t="s">
        <v>392</v>
      </c>
      <c r="D89" s="602">
        <f>+E89</f>
        <v>12000000</v>
      </c>
      <c r="E89" s="619">
        <v>12000000</v>
      </c>
      <c r="F89" s="617"/>
      <c r="G89" s="597"/>
    </row>
    <row r="90" spans="2:7" s="297" customFormat="1" ht="13.5">
      <c r="B90" s="600"/>
      <c r="C90" s="611" t="s">
        <v>393</v>
      </c>
      <c r="D90" s="602">
        <f>+E90</f>
        <v>10000000</v>
      </c>
      <c r="E90" s="619">
        <v>10000000</v>
      </c>
      <c r="F90" s="617"/>
      <c r="G90" s="597"/>
    </row>
    <row r="91" spans="2:7" s="297" customFormat="1" ht="13.5">
      <c r="B91" s="703">
        <v>5470902</v>
      </c>
      <c r="C91" s="624" t="s">
        <v>339</v>
      </c>
      <c r="D91" s="625">
        <f>+D92+D94+D96+D98</f>
        <v>55000000</v>
      </c>
      <c r="E91" s="619"/>
      <c r="F91" s="617"/>
      <c r="G91" s="597"/>
    </row>
    <row r="92" spans="2:7" s="297" customFormat="1" ht="13.5">
      <c r="B92" s="600"/>
      <c r="C92" s="611" t="s">
        <v>341</v>
      </c>
      <c r="D92" s="602">
        <f>D93</f>
        <v>15000000</v>
      </c>
      <c r="E92" s="619">
        <f>E93</f>
        <v>15000000</v>
      </c>
      <c r="F92" s="617"/>
      <c r="G92" s="597"/>
    </row>
    <row r="93" spans="2:7" s="297" customFormat="1" ht="13.5">
      <c r="B93" s="600"/>
      <c r="C93" s="611" t="s">
        <v>403</v>
      </c>
      <c r="D93" s="602">
        <f>+E93</f>
        <v>15000000</v>
      </c>
      <c r="E93" s="619">
        <v>15000000</v>
      </c>
      <c r="F93" s="617"/>
      <c r="G93" s="597"/>
    </row>
    <row r="94" spans="2:7" s="297" customFormat="1" ht="13.5">
      <c r="B94" s="600"/>
      <c r="C94" s="611" t="s">
        <v>340</v>
      </c>
      <c r="D94" s="602">
        <f>D95</f>
        <v>20000000</v>
      </c>
      <c r="E94" s="619">
        <f>E95</f>
        <v>20000000</v>
      </c>
      <c r="F94" s="617"/>
      <c r="G94" s="597"/>
    </row>
    <row r="95" spans="2:7" s="297" customFormat="1" ht="13.5">
      <c r="B95" s="600"/>
      <c r="C95" s="611" t="s">
        <v>511</v>
      </c>
      <c r="D95" s="602">
        <f>+E95</f>
        <v>20000000</v>
      </c>
      <c r="E95" s="619">
        <v>20000000</v>
      </c>
      <c r="F95" s="617"/>
      <c r="G95" s="597"/>
    </row>
    <row r="96" spans="2:7" s="297" customFormat="1" ht="13.5">
      <c r="B96" s="600"/>
      <c r="C96" s="611" t="s">
        <v>342</v>
      </c>
      <c r="D96" s="602">
        <f>D97</f>
        <v>10000000</v>
      </c>
      <c r="E96" s="619">
        <f>E97</f>
        <v>10000000</v>
      </c>
      <c r="F96" s="617"/>
      <c r="G96" s="597"/>
    </row>
    <row r="97" spans="2:7" s="297" customFormat="1" ht="13.5">
      <c r="B97" s="600"/>
      <c r="C97" s="611" t="s">
        <v>405</v>
      </c>
      <c r="D97" s="602">
        <f>+E97</f>
        <v>10000000</v>
      </c>
      <c r="E97" s="619">
        <v>10000000</v>
      </c>
      <c r="F97" s="617"/>
      <c r="G97" s="597"/>
    </row>
    <row r="98" spans="2:7" s="297" customFormat="1" ht="13.5">
      <c r="B98" s="600"/>
      <c r="C98" s="601" t="s">
        <v>378</v>
      </c>
      <c r="D98" s="602">
        <f>D99</f>
        <v>10000000</v>
      </c>
      <c r="E98" s="619">
        <v>10000000</v>
      </c>
      <c r="F98" s="617"/>
      <c r="G98" s="597"/>
    </row>
    <row r="99" spans="2:7" s="297" customFormat="1" ht="13.5">
      <c r="B99" s="600"/>
      <c r="C99" s="601" t="s">
        <v>488</v>
      </c>
      <c r="D99" s="602">
        <v>10000000</v>
      </c>
      <c r="E99" s="619"/>
      <c r="F99" s="617"/>
      <c r="G99" s="597"/>
    </row>
    <row r="100" spans="2:7" s="297" customFormat="1" ht="13.5">
      <c r="B100" s="600"/>
      <c r="C100" s="611"/>
      <c r="D100" s="602"/>
      <c r="E100" s="619"/>
      <c r="F100" s="617"/>
      <c r="G100" s="597"/>
    </row>
    <row r="101" spans="2:7" ht="13.5">
      <c r="B101" s="703">
        <v>5470903</v>
      </c>
      <c r="C101" s="626" t="s">
        <v>317</v>
      </c>
      <c r="D101" s="625">
        <f>+D102+D104+D106</f>
        <v>98900000</v>
      </c>
      <c r="E101" s="619">
        <v>0</v>
      </c>
      <c r="F101" s="617"/>
      <c r="G101" s="597"/>
    </row>
    <row r="102" spans="2:7" ht="13.5">
      <c r="B102" s="603"/>
      <c r="C102" s="601" t="s">
        <v>371</v>
      </c>
      <c r="D102" s="602">
        <f>D103</f>
        <v>81900000</v>
      </c>
      <c r="E102" s="619">
        <f>E103</f>
        <v>81900000</v>
      </c>
      <c r="F102" s="617"/>
      <c r="G102" s="597"/>
    </row>
    <row r="103" spans="2:7" ht="13.5">
      <c r="B103" s="603"/>
      <c r="C103" s="601" t="s">
        <v>372</v>
      </c>
      <c r="D103" s="602">
        <f>+E103</f>
        <v>81900000</v>
      </c>
      <c r="E103" s="619">
        <v>81900000</v>
      </c>
      <c r="F103" s="617"/>
      <c r="G103" s="597"/>
    </row>
    <row r="104" spans="2:7" ht="13.5">
      <c r="B104" s="603"/>
      <c r="C104" s="601" t="s">
        <v>373</v>
      </c>
      <c r="D104" s="602">
        <f>D105</f>
        <v>10000000</v>
      </c>
      <c r="E104" s="619">
        <f>E105</f>
        <v>10000000</v>
      </c>
      <c r="F104" s="617"/>
      <c r="G104" s="597"/>
    </row>
    <row r="105" spans="2:7" ht="13.5">
      <c r="B105" s="603"/>
      <c r="C105" s="601" t="s">
        <v>374</v>
      </c>
      <c r="D105" s="602">
        <f>+E105</f>
        <v>10000000</v>
      </c>
      <c r="E105" s="619">
        <v>10000000</v>
      </c>
      <c r="F105" s="617"/>
      <c r="G105" s="597"/>
    </row>
    <row r="106" spans="2:7" ht="13.5">
      <c r="B106" s="603"/>
      <c r="C106" s="601" t="s">
        <v>378</v>
      </c>
      <c r="D106" s="602">
        <f>D107</f>
        <v>7000000</v>
      </c>
      <c r="E106" s="619">
        <f>E107</f>
        <v>7000000</v>
      </c>
      <c r="F106" s="617"/>
      <c r="G106" s="597"/>
    </row>
    <row r="107" spans="2:7" ht="13.5">
      <c r="B107" s="603"/>
      <c r="C107" s="601" t="s">
        <v>375</v>
      </c>
      <c r="D107" s="602">
        <f>+E107</f>
        <v>7000000</v>
      </c>
      <c r="E107" s="619">
        <v>7000000</v>
      </c>
      <c r="F107" s="617"/>
      <c r="G107" s="597"/>
    </row>
    <row r="108" spans="2:7" ht="13.5">
      <c r="B108" s="703">
        <v>5470904</v>
      </c>
      <c r="C108" s="626" t="s">
        <v>318</v>
      </c>
      <c r="D108" s="625">
        <f>+D109+D111</f>
        <v>109884380</v>
      </c>
      <c r="E108" s="619">
        <v>0</v>
      </c>
      <c r="F108" s="617"/>
      <c r="G108" s="597"/>
    </row>
    <row r="109" spans="2:7" ht="13.5">
      <c r="B109" s="603"/>
      <c r="C109" s="601" t="s">
        <v>376</v>
      </c>
      <c r="D109" s="602">
        <f>D110</f>
        <v>59884380</v>
      </c>
      <c r="E109" s="602">
        <f>E110</f>
        <v>59884380</v>
      </c>
      <c r="F109" s="617"/>
      <c r="G109" s="597"/>
    </row>
    <row r="110" spans="2:7" ht="13.5">
      <c r="B110" s="603"/>
      <c r="C110" s="601" t="s">
        <v>377</v>
      </c>
      <c r="D110" s="602">
        <f>+E110</f>
        <v>59884380</v>
      </c>
      <c r="E110" s="619">
        <v>59884380</v>
      </c>
      <c r="F110" s="617"/>
      <c r="G110" s="597"/>
    </row>
    <row r="111" spans="2:7" ht="13.5">
      <c r="B111" s="603"/>
      <c r="C111" s="601" t="s">
        <v>378</v>
      </c>
      <c r="D111" s="602">
        <f>D112</f>
        <v>50000000</v>
      </c>
      <c r="E111" s="602">
        <f>E112</f>
        <v>50000000</v>
      </c>
      <c r="F111" s="617"/>
      <c r="G111" s="597"/>
    </row>
    <row r="112" spans="2:7" ht="13.5">
      <c r="B112" s="603"/>
      <c r="C112" s="601" t="s">
        <v>375</v>
      </c>
      <c r="D112" s="602">
        <f>+E112</f>
        <v>50000000</v>
      </c>
      <c r="E112" s="619">
        <v>50000000</v>
      </c>
      <c r="F112" s="617"/>
      <c r="G112" s="597"/>
    </row>
    <row r="113" spans="2:7" ht="13.5">
      <c r="B113" s="703">
        <v>5470905</v>
      </c>
      <c r="C113" s="626" t="s">
        <v>319</v>
      </c>
      <c r="D113" s="625">
        <f>SUM(D114:D117)</f>
        <v>44000000</v>
      </c>
      <c r="E113" s="597">
        <v>0</v>
      </c>
      <c r="F113" s="617"/>
      <c r="G113" s="597"/>
    </row>
    <row r="114" spans="2:7" ht="13.5">
      <c r="B114" s="603"/>
      <c r="C114" s="601" t="s">
        <v>406</v>
      </c>
      <c r="D114" s="602">
        <f>+E114</f>
        <v>12000000</v>
      </c>
      <c r="E114" s="597">
        <v>12000000</v>
      </c>
      <c r="F114" s="617"/>
      <c r="G114" s="597"/>
    </row>
    <row r="115" spans="2:7" ht="13.5">
      <c r="B115" s="603"/>
      <c r="C115" s="601" t="s">
        <v>407</v>
      </c>
      <c r="D115" s="602">
        <f>+E115</f>
        <v>10000000</v>
      </c>
      <c r="E115" s="597">
        <v>10000000</v>
      </c>
      <c r="F115" s="617"/>
      <c r="G115" s="597"/>
    </row>
    <row r="116" spans="2:7" ht="13.5">
      <c r="B116" s="603"/>
      <c r="C116" s="601" t="s">
        <v>408</v>
      </c>
      <c r="D116" s="602">
        <f>+E116</f>
        <v>12000000</v>
      </c>
      <c r="E116" s="597">
        <v>12000000</v>
      </c>
      <c r="F116" s="617"/>
      <c r="G116" s="597"/>
    </row>
    <row r="117" spans="2:7" ht="13.5">
      <c r="B117" s="603"/>
      <c r="C117" s="601" t="s">
        <v>379</v>
      </c>
      <c r="D117" s="602">
        <f>+E117</f>
        <v>10000000</v>
      </c>
      <c r="E117" s="597">
        <v>10000000</v>
      </c>
      <c r="F117" s="617"/>
      <c r="G117" s="597"/>
    </row>
    <row r="118" spans="2:7" ht="13.5">
      <c r="B118" s="703">
        <v>5470906</v>
      </c>
      <c r="C118" s="627" t="s">
        <v>314</v>
      </c>
      <c r="D118" s="625">
        <f>SUM(D119:D123)</f>
        <v>47000000</v>
      </c>
      <c r="E118" s="628">
        <v>0</v>
      </c>
      <c r="F118" s="617"/>
      <c r="G118" s="597"/>
    </row>
    <row r="119" spans="2:7" ht="13.5">
      <c r="B119" s="603"/>
      <c r="C119" s="289" t="s">
        <v>366</v>
      </c>
      <c r="D119" s="602">
        <f>+E119</f>
        <v>7000000</v>
      </c>
      <c r="E119" s="597">
        <v>7000000</v>
      </c>
      <c r="F119" s="617"/>
      <c r="G119" s="597"/>
    </row>
    <row r="120" spans="2:7" ht="13.5">
      <c r="B120" s="603"/>
      <c r="C120" s="289" t="s">
        <v>480</v>
      </c>
      <c r="D120" s="602">
        <f>+E120</f>
        <v>7000000</v>
      </c>
      <c r="E120" s="597">
        <v>7000000</v>
      </c>
      <c r="F120" s="617"/>
      <c r="G120" s="597"/>
    </row>
    <row r="121" spans="2:7" ht="13.5">
      <c r="B121" s="603"/>
      <c r="C121" s="289" t="s">
        <v>368</v>
      </c>
      <c r="D121" s="602">
        <f>+E121</f>
        <v>12000000</v>
      </c>
      <c r="E121" s="597">
        <v>12000000</v>
      </c>
      <c r="F121" s="617"/>
      <c r="G121" s="597"/>
    </row>
    <row r="122" spans="2:7" ht="13.5">
      <c r="B122" s="603"/>
      <c r="C122" s="289" t="s">
        <v>369</v>
      </c>
      <c r="D122" s="602">
        <f>+E122</f>
        <v>9000000</v>
      </c>
      <c r="E122" s="597">
        <v>9000000</v>
      </c>
      <c r="F122" s="617"/>
      <c r="G122" s="597"/>
    </row>
    <row r="123" spans="2:7" ht="13.5">
      <c r="B123" s="603"/>
      <c r="C123" s="289" t="s">
        <v>370</v>
      </c>
      <c r="D123" s="602">
        <f>+E123</f>
        <v>12000000</v>
      </c>
      <c r="E123" s="597">
        <v>12000000</v>
      </c>
      <c r="F123" s="617"/>
      <c r="G123" s="597"/>
    </row>
    <row r="124" spans="2:7" ht="13.5">
      <c r="B124" s="703">
        <v>5470907</v>
      </c>
      <c r="C124" s="627" t="s">
        <v>315</v>
      </c>
      <c r="D124" s="625">
        <f>D125</f>
        <v>10000000</v>
      </c>
      <c r="E124" s="629">
        <v>0</v>
      </c>
      <c r="F124" s="617"/>
      <c r="G124" s="597"/>
    </row>
    <row r="125" spans="2:7" ht="13.5">
      <c r="B125" s="603"/>
      <c r="C125" s="289" t="s">
        <v>383</v>
      </c>
      <c r="D125" s="602">
        <f>D126</f>
        <v>10000000</v>
      </c>
      <c r="E125" s="619">
        <f>E126</f>
        <v>10000000</v>
      </c>
      <c r="F125" s="617"/>
      <c r="G125" s="597"/>
    </row>
    <row r="126" spans="2:7" ht="13.5">
      <c r="B126" s="603"/>
      <c r="C126" s="289" t="s">
        <v>384</v>
      </c>
      <c r="D126" s="602">
        <f>+E126</f>
        <v>10000000</v>
      </c>
      <c r="E126" s="619">
        <v>10000000</v>
      </c>
      <c r="F126" s="617"/>
      <c r="G126" s="597"/>
    </row>
    <row r="127" spans="2:7" ht="13.5">
      <c r="B127" s="603"/>
      <c r="C127" s="289"/>
      <c r="D127" s="602">
        <f>D128-D129</f>
        <v>0</v>
      </c>
      <c r="E127" s="619"/>
      <c r="F127" s="617"/>
      <c r="G127" s="597"/>
    </row>
    <row r="128" spans="2:7" ht="13.5">
      <c r="B128" s="603"/>
      <c r="C128" s="289"/>
      <c r="D128" s="602">
        <v>55425543</v>
      </c>
      <c r="E128" s="619"/>
      <c r="F128" s="617"/>
      <c r="G128" s="597"/>
    </row>
    <row r="129" spans="2:7" ht="13.5">
      <c r="B129" s="703">
        <v>5470908</v>
      </c>
      <c r="C129" s="627" t="s">
        <v>253</v>
      </c>
      <c r="D129" s="625">
        <f>+D130+D132+D134+D136+D138+D140+D142</f>
        <v>55425543</v>
      </c>
      <c r="E129" s="619">
        <v>0</v>
      </c>
      <c r="F129" s="617"/>
      <c r="G129" s="597"/>
    </row>
    <row r="130" spans="2:7" ht="13.5">
      <c r="B130" s="603"/>
      <c r="C130" s="289" t="s">
        <v>382</v>
      </c>
      <c r="D130" s="602">
        <f>D131</f>
        <v>7000000</v>
      </c>
      <c r="E130" s="619">
        <v>7000000</v>
      </c>
      <c r="F130" s="617"/>
      <c r="G130" s="597"/>
    </row>
    <row r="131" spans="2:7" ht="13.5">
      <c r="B131" s="603"/>
      <c r="C131" s="289" t="s">
        <v>502</v>
      </c>
      <c r="D131" s="602">
        <v>7000000</v>
      </c>
      <c r="E131" s="619"/>
      <c r="F131" s="617"/>
      <c r="G131" s="597"/>
    </row>
    <row r="132" spans="2:7" ht="13.5">
      <c r="B132" s="603"/>
      <c r="C132" s="289" t="s">
        <v>381</v>
      </c>
      <c r="D132" s="602">
        <f>D133</f>
        <v>5000000</v>
      </c>
      <c r="E132" s="619">
        <v>5000000</v>
      </c>
      <c r="F132" s="617"/>
      <c r="G132" s="597"/>
    </row>
    <row r="133" spans="2:7" ht="13.5">
      <c r="B133" s="603"/>
      <c r="C133" s="289" t="s">
        <v>503</v>
      </c>
      <c r="D133" s="602">
        <v>5000000</v>
      </c>
      <c r="E133" s="619"/>
      <c r="F133" s="617"/>
      <c r="G133" s="597"/>
    </row>
    <row r="134" spans="2:7" ht="13.5">
      <c r="B134" s="603"/>
      <c r="C134" s="289" t="s">
        <v>380</v>
      </c>
      <c r="D134" s="602">
        <f>D135</f>
        <v>5000000</v>
      </c>
      <c r="E134" s="619">
        <v>5000000</v>
      </c>
      <c r="F134" s="617"/>
      <c r="G134" s="597"/>
    </row>
    <row r="135" spans="2:7" ht="13.5">
      <c r="B135" s="603"/>
      <c r="C135" s="289" t="s">
        <v>504</v>
      </c>
      <c r="D135" s="602">
        <v>5000000</v>
      </c>
      <c r="E135" s="619"/>
      <c r="F135" s="617"/>
      <c r="G135" s="597"/>
    </row>
    <row r="136" spans="2:7" ht="13.5">
      <c r="B136" s="603"/>
      <c r="C136" s="289" t="s">
        <v>506</v>
      </c>
      <c r="D136" s="602">
        <f>D137</f>
        <v>18925543</v>
      </c>
      <c r="E136" s="619">
        <v>18925543</v>
      </c>
      <c r="F136" s="617"/>
      <c r="G136" s="597"/>
    </row>
    <row r="137" spans="2:7" ht="13.5">
      <c r="B137" s="603"/>
      <c r="C137" s="289" t="s">
        <v>505</v>
      </c>
      <c r="D137" s="602">
        <v>18925543</v>
      </c>
      <c r="E137" s="619"/>
      <c r="F137" s="617"/>
      <c r="G137" s="597"/>
    </row>
    <row r="138" spans="2:7" ht="13.5">
      <c r="B138" s="603"/>
      <c r="C138" s="289" t="s">
        <v>386</v>
      </c>
      <c r="D138" s="602">
        <f>D139</f>
        <v>14000000</v>
      </c>
      <c r="E138" s="619">
        <v>14000000</v>
      </c>
      <c r="F138" s="617"/>
      <c r="G138" s="597"/>
    </row>
    <row r="139" spans="2:7" ht="13.5">
      <c r="B139" s="603"/>
      <c r="C139" s="289" t="s">
        <v>507</v>
      </c>
      <c r="D139" s="602">
        <v>14000000</v>
      </c>
      <c r="E139" s="619"/>
      <c r="F139" s="617"/>
      <c r="G139" s="597"/>
    </row>
    <row r="140" spans="2:7" ht="13.5">
      <c r="B140" s="603"/>
      <c r="C140" s="289" t="s">
        <v>387</v>
      </c>
      <c r="D140" s="602">
        <f>D141</f>
        <v>2500000</v>
      </c>
      <c r="E140" s="619">
        <v>2500000</v>
      </c>
      <c r="F140" s="617"/>
      <c r="G140" s="597"/>
    </row>
    <row r="141" spans="2:7" ht="13.5">
      <c r="B141" s="603"/>
      <c r="C141" s="289" t="s">
        <v>508</v>
      </c>
      <c r="D141" s="602">
        <v>2500000</v>
      </c>
      <c r="E141" s="619"/>
      <c r="F141" s="617"/>
      <c r="G141" s="597"/>
    </row>
    <row r="142" spans="2:7" ht="13.5">
      <c r="B142" s="603"/>
      <c r="C142" s="289" t="s">
        <v>388</v>
      </c>
      <c r="D142" s="602">
        <f>D143</f>
        <v>3000000</v>
      </c>
      <c r="E142" s="619">
        <v>3000000</v>
      </c>
      <c r="F142" s="617"/>
      <c r="G142" s="597"/>
    </row>
    <row r="143" spans="2:7" ht="13.5">
      <c r="B143" s="603"/>
      <c r="C143" s="289" t="s">
        <v>509</v>
      </c>
      <c r="D143" s="602">
        <v>3000000</v>
      </c>
      <c r="E143" s="619"/>
      <c r="F143" s="617"/>
      <c r="G143" s="597"/>
    </row>
    <row r="144" spans="2:7" ht="13.5">
      <c r="B144" s="703">
        <v>5470909</v>
      </c>
      <c r="C144" s="627" t="s">
        <v>281</v>
      </c>
      <c r="D144" s="625">
        <f>SUM(D145:D147)</f>
        <v>31000000</v>
      </c>
      <c r="E144" s="630"/>
      <c r="F144" s="617"/>
      <c r="G144" s="597"/>
    </row>
    <row r="145" spans="2:7" ht="13.5">
      <c r="B145" s="603"/>
      <c r="C145" s="289" t="s">
        <v>394</v>
      </c>
      <c r="D145" s="602">
        <f>+E145</f>
        <v>12000000</v>
      </c>
      <c r="E145" s="619">
        <v>12000000</v>
      </c>
      <c r="F145" s="617"/>
      <c r="G145" s="597"/>
    </row>
    <row r="146" spans="2:7" ht="13.5">
      <c r="B146" s="603"/>
      <c r="C146" s="289" t="s">
        <v>395</v>
      </c>
      <c r="D146" s="602">
        <f>+E146</f>
        <v>7000000</v>
      </c>
      <c r="E146" s="619">
        <v>7000000</v>
      </c>
      <c r="F146" s="617"/>
      <c r="G146" s="597"/>
    </row>
    <row r="147" spans="2:7" ht="13.5">
      <c r="B147" s="603"/>
      <c r="C147" s="289" t="s">
        <v>481</v>
      </c>
      <c r="D147" s="602">
        <f>+E147</f>
        <v>12000000</v>
      </c>
      <c r="E147" s="619">
        <v>12000000</v>
      </c>
      <c r="F147" s="617"/>
      <c r="G147" s="597"/>
    </row>
    <row r="148" spans="2:7" ht="13.5">
      <c r="B148" s="703">
        <v>5470910</v>
      </c>
      <c r="C148" s="627" t="s">
        <v>294</v>
      </c>
      <c r="D148" s="625">
        <f>+D149+D150+D151</f>
        <v>25000000</v>
      </c>
      <c r="E148" s="630">
        <v>0</v>
      </c>
      <c r="F148" s="617"/>
      <c r="G148" s="597"/>
    </row>
    <row r="149" spans="2:8" ht="13.5">
      <c r="B149" s="603"/>
      <c r="C149" s="289" t="s">
        <v>487</v>
      </c>
      <c r="D149" s="602">
        <f>+E149</f>
        <v>10000000</v>
      </c>
      <c r="E149" s="619">
        <v>10000000</v>
      </c>
      <c r="F149" s="617">
        <f>E149</f>
        <v>10000000</v>
      </c>
      <c r="G149" s="597"/>
      <c r="H149" s="307" t="s">
        <v>455</v>
      </c>
    </row>
    <row r="150" spans="2:7" ht="13.5">
      <c r="B150" s="603"/>
      <c r="C150" s="289" t="s">
        <v>390</v>
      </c>
      <c r="D150" s="602">
        <f>+E150</f>
        <v>10000000</v>
      </c>
      <c r="E150" s="619">
        <v>10000000</v>
      </c>
      <c r="F150" s="617">
        <f>E150</f>
        <v>10000000</v>
      </c>
      <c r="G150" s="597"/>
    </row>
    <row r="151" spans="2:7" ht="13.5">
      <c r="B151" s="603"/>
      <c r="C151" s="601" t="s">
        <v>375</v>
      </c>
      <c r="D151" s="602">
        <f>+E151</f>
        <v>5000000</v>
      </c>
      <c r="E151" s="619">
        <v>5000000</v>
      </c>
      <c r="F151" s="617">
        <f>E151</f>
        <v>5000000</v>
      </c>
      <c r="G151" s="597"/>
    </row>
    <row r="152" spans="2:7" ht="13.5">
      <c r="B152" s="703">
        <v>5470911</v>
      </c>
      <c r="C152" s="626" t="s">
        <v>412</v>
      </c>
      <c r="D152" s="625">
        <f>+D153+D155+D157</f>
        <v>4557810</v>
      </c>
      <c r="E152" s="629"/>
      <c r="F152" s="617"/>
      <c r="G152" s="597"/>
    </row>
    <row r="153" spans="2:9" ht="13.5">
      <c r="B153" s="603"/>
      <c r="C153" s="601" t="s">
        <v>409</v>
      </c>
      <c r="D153" s="602">
        <f>D154</f>
        <v>2000000</v>
      </c>
      <c r="E153" s="619">
        <v>2000000</v>
      </c>
      <c r="F153" s="617">
        <f>E153</f>
        <v>2000000</v>
      </c>
      <c r="G153" s="597"/>
      <c r="H153" s="307" t="s">
        <v>454</v>
      </c>
      <c r="I153" s="307" t="s">
        <v>448</v>
      </c>
    </row>
    <row r="154" spans="2:7" ht="13.5">
      <c r="B154" s="603"/>
      <c r="C154" s="601" t="s">
        <v>484</v>
      </c>
      <c r="D154" s="602">
        <v>2000000</v>
      </c>
      <c r="E154" s="619"/>
      <c r="F154" s="617"/>
      <c r="G154" s="597"/>
    </row>
    <row r="155" spans="2:9" ht="13.5">
      <c r="B155" s="603"/>
      <c r="C155" s="601" t="s">
        <v>410</v>
      </c>
      <c r="D155" s="602">
        <f>D156</f>
        <v>1000000</v>
      </c>
      <c r="E155" s="619">
        <v>1000000</v>
      </c>
      <c r="F155" s="617">
        <f>E155</f>
        <v>1000000</v>
      </c>
      <c r="G155" s="597"/>
      <c r="H155" s="307" t="s">
        <v>453</v>
      </c>
      <c r="I155" s="307" t="s">
        <v>448</v>
      </c>
    </row>
    <row r="156" spans="2:7" ht="13.5">
      <c r="B156" s="603"/>
      <c r="C156" s="601" t="s">
        <v>485</v>
      </c>
      <c r="D156" s="602">
        <v>1000000</v>
      </c>
      <c r="E156" s="619"/>
      <c r="F156" s="617"/>
      <c r="G156" s="597"/>
    </row>
    <row r="157" spans="2:9" ht="13.5">
      <c r="B157" s="603"/>
      <c r="C157" s="289" t="s">
        <v>411</v>
      </c>
      <c r="D157" s="602">
        <f>D158</f>
        <v>1557810</v>
      </c>
      <c r="E157" s="631">
        <v>1557810</v>
      </c>
      <c r="F157" s="617">
        <f>E157</f>
        <v>1557810</v>
      </c>
      <c r="G157" s="597"/>
      <c r="H157" s="307" t="s">
        <v>454</v>
      </c>
      <c r="I157" s="307" t="s">
        <v>448</v>
      </c>
    </row>
    <row r="158" spans="2:7" ht="13.5">
      <c r="B158" s="603"/>
      <c r="C158" s="289" t="s">
        <v>486</v>
      </c>
      <c r="D158" s="602">
        <v>1557810</v>
      </c>
      <c r="E158" s="631"/>
      <c r="F158" s="617"/>
      <c r="G158" s="597"/>
    </row>
    <row r="159" spans="2:7" ht="13.5">
      <c r="B159" s="703">
        <v>5470912</v>
      </c>
      <c r="C159" s="627" t="s">
        <v>316</v>
      </c>
      <c r="D159" s="625">
        <f>D160+D162</f>
        <v>120038963</v>
      </c>
      <c r="E159" s="631"/>
      <c r="F159" s="617"/>
      <c r="G159" s="597"/>
    </row>
    <row r="160" spans="2:9" ht="13.5">
      <c r="B160" s="603"/>
      <c r="C160" s="289" t="s">
        <v>500</v>
      </c>
      <c r="D160" s="602">
        <f>D161</f>
        <v>85038963</v>
      </c>
      <c r="E160" s="631">
        <f>+PROYENOMINA!AG60</f>
        <v>85038962.8537508</v>
      </c>
      <c r="F160" s="617">
        <f>E160</f>
        <v>85038962.8537508</v>
      </c>
      <c r="G160" s="597"/>
      <c r="H160" s="307" t="s">
        <v>451</v>
      </c>
      <c r="I160" s="307" t="s">
        <v>452</v>
      </c>
    </row>
    <row r="161" spans="2:7" ht="13.5">
      <c r="B161" s="603"/>
      <c r="C161" s="289" t="s">
        <v>482</v>
      </c>
      <c r="D161" s="602">
        <v>85038963</v>
      </c>
      <c r="E161" s="631"/>
      <c r="F161" s="617"/>
      <c r="G161" s="597"/>
    </row>
    <row r="162" spans="2:9" ht="13.5">
      <c r="B162" s="603"/>
      <c r="C162" s="289" t="s">
        <v>501</v>
      </c>
      <c r="D162" s="602">
        <f>D163</f>
        <v>35000000</v>
      </c>
      <c r="E162" s="631">
        <v>35000000</v>
      </c>
      <c r="F162" s="617">
        <f>E162</f>
        <v>35000000</v>
      </c>
      <c r="G162" s="597"/>
      <c r="H162" s="307" t="s">
        <v>451</v>
      </c>
      <c r="I162" s="307" t="s">
        <v>452</v>
      </c>
    </row>
    <row r="163" spans="2:7" ht="14.25" thickBot="1">
      <c r="B163" s="632"/>
      <c r="C163" s="633" t="s">
        <v>483</v>
      </c>
      <c r="D163" s="634">
        <v>35000000</v>
      </c>
      <c r="E163" s="634"/>
      <c r="F163" s="635"/>
      <c r="G163" s="636"/>
    </row>
    <row r="164" spans="2:12" ht="13.5">
      <c r="B164" s="637"/>
      <c r="C164" s="309"/>
      <c r="D164" s="639"/>
      <c r="E164" s="639"/>
      <c r="F164" s="640"/>
      <c r="G164" s="640"/>
      <c r="H164" s="309"/>
      <c r="I164" s="309"/>
      <c r="J164" s="309"/>
      <c r="K164" s="309"/>
      <c r="L164" s="309"/>
    </row>
    <row r="165" spans="2:12" ht="13.5">
      <c r="B165" s="637"/>
      <c r="C165" s="309"/>
      <c r="D165" s="639"/>
      <c r="E165" s="639"/>
      <c r="F165" s="640"/>
      <c r="G165" s="640"/>
      <c r="H165" s="309"/>
      <c r="I165" s="309"/>
      <c r="J165" s="309"/>
      <c r="K165" s="309"/>
      <c r="L165" s="309"/>
    </row>
    <row r="166" spans="2:12" ht="13.5">
      <c r="B166" s="637" t="s">
        <v>275</v>
      </c>
      <c r="C166" s="309"/>
      <c r="D166" s="639"/>
      <c r="E166" s="639"/>
      <c r="F166" s="640"/>
      <c r="G166" s="640"/>
      <c r="H166" s="309"/>
      <c r="I166" s="309"/>
      <c r="J166" s="309"/>
      <c r="K166" s="309"/>
      <c r="L166" s="309"/>
    </row>
    <row r="167" spans="2:12" ht="13.5">
      <c r="B167" s="566"/>
      <c r="C167" s="641"/>
      <c r="D167" s="642" t="s">
        <v>232</v>
      </c>
      <c r="E167" s="640"/>
      <c r="F167" s="571"/>
      <c r="G167" s="571"/>
      <c r="H167" s="309"/>
      <c r="I167" s="309"/>
      <c r="J167" s="309"/>
      <c r="K167" s="309"/>
      <c r="L167" s="309"/>
    </row>
    <row r="168" spans="2:12" ht="13.5">
      <c r="B168" s="566"/>
      <c r="C168" s="643"/>
      <c r="D168" s="642" t="s">
        <v>233</v>
      </c>
      <c r="E168" s="640"/>
      <c r="F168" s="571"/>
      <c r="G168" s="571"/>
      <c r="H168" s="309"/>
      <c r="I168" s="309"/>
      <c r="J168" s="309"/>
      <c r="K168" s="309"/>
      <c r="L168" s="309"/>
    </row>
    <row r="169" spans="2:12" ht="13.5">
      <c r="B169" s="573"/>
      <c r="C169" s="312"/>
      <c r="D169" s="574"/>
      <c r="E169" s="575"/>
      <c r="F169" s="576"/>
      <c r="G169" s="576"/>
      <c r="H169" s="309"/>
      <c r="I169" s="309"/>
      <c r="J169" s="309"/>
      <c r="K169" s="309"/>
      <c r="L169" s="309"/>
    </row>
    <row r="170" spans="2:12" ht="13.5">
      <c r="B170" s="577" t="s">
        <v>234</v>
      </c>
      <c r="C170" s="578" t="s">
        <v>1</v>
      </c>
      <c r="D170" s="579" t="s">
        <v>235</v>
      </c>
      <c r="E170" s="580"/>
      <c r="F170" s="581" t="s">
        <v>236</v>
      </c>
      <c r="G170" s="582"/>
      <c r="H170" s="309"/>
      <c r="I170" s="309"/>
      <c r="J170" s="309"/>
      <c r="K170" s="309"/>
      <c r="L170" s="309"/>
    </row>
    <row r="171" spans="2:12" ht="13.5">
      <c r="B171" s="584"/>
      <c r="C171" s="644"/>
      <c r="D171" s="645" t="s">
        <v>237</v>
      </c>
      <c r="E171" s="588" t="s">
        <v>250</v>
      </c>
      <c r="F171" s="588" t="s">
        <v>238</v>
      </c>
      <c r="G171" s="588" t="s">
        <v>239</v>
      </c>
      <c r="H171" s="309"/>
      <c r="I171" s="309"/>
      <c r="J171" s="309"/>
      <c r="K171" s="309"/>
      <c r="L171" s="309"/>
    </row>
    <row r="172" spans="2:12" ht="13.5">
      <c r="B172" s="646"/>
      <c r="C172" s="590"/>
      <c r="D172" s="591">
        <f>D174-D173</f>
        <v>0</v>
      </c>
      <c r="E172" s="592"/>
      <c r="F172" s="592"/>
      <c r="G172" s="592"/>
      <c r="H172" s="309"/>
      <c r="I172" s="309"/>
      <c r="J172" s="309"/>
      <c r="K172" s="309"/>
      <c r="L172" s="309"/>
    </row>
    <row r="173" spans="2:12" ht="13.5">
      <c r="B173" s="637"/>
      <c r="C173" s="309"/>
      <c r="D173" s="639">
        <v>238769061</v>
      </c>
      <c r="E173" s="639"/>
      <c r="F173" s="640"/>
      <c r="G173" s="640"/>
      <c r="H173" s="309"/>
      <c r="I173" s="309"/>
      <c r="J173" s="309"/>
      <c r="K173" s="309"/>
      <c r="L173" s="309"/>
    </row>
    <row r="174" spans="2:11" s="297" customFormat="1" ht="13.5">
      <c r="B174" s="704">
        <v>54790</v>
      </c>
      <c r="C174" s="648" t="s">
        <v>241</v>
      </c>
      <c r="D174" s="649">
        <f>+D175+D177+D179+D181+D183+D185+D187+D191+D193+D195</f>
        <v>238769061</v>
      </c>
      <c r="E174" s="650"/>
      <c r="F174" s="651"/>
      <c r="G174" s="651"/>
      <c r="H174" s="327"/>
      <c r="I174" s="327"/>
      <c r="J174" s="652">
        <v>1193845303</v>
      </c>
      <c r="K174" s="653">
        <v>1</v>
      </c>
    </row>
    <row r="175" spans="2:11" s="297" customFormat="1" ht="13.5">
      <c r="B175" s="594"/>
      <c r="C175" s="320" t="s">
        <v>415</v>
      </c>
      <c r="D175" s="705">
        <f>D176</f>
        <v>5000000</v>
      </c>
      <c r="E175" s="640"/>
      <c r="F175" s="597">
        <v>5000000</v>
      </c>
      <c r="G175" s="655"/>
      <c r="J175" s="656">
        <v>955076242</v>
      </c>
      <c r="K175" s="653">
        <v>0.8</v>
      </c>
    </row>
    <row r="176" spans="2:11" s="297" customFormat="1" ht="13.5">
      <c r="B176" s="594"/>
      <c r="C176" s="289" t="s">
        <v>495</v>
      </c>
      <c r="D176" s="654">
        <v>5000000</v>
      </c>
      <c r="E176" s="640"/>
      <c r="F176" s="597"/>
      <c r="G176" s="597"/>
      <c r="J176" s="656"/>
      <c r="K176" s="653"/>
    </row>
    <row r="177" spans="2:11" s="297" customFormat="1" ht="13.5">
      <c r="B177" s="620"/>
      <c r="C177" s="289" t="s">
        <v>281</v>
      </c>
      <c r="D177" s="705">
        <f>D178</f>
        <v>2000000</v>
      </c>
      <c r="E177" s="640"/>
      <c r="F177" s="597">
        <v>2000000</v>
      </c>
      <c r="G177" s="597"/>
      <c r="J177" s="656">
        <v>238769061</v>
      </c>
      <c r="K177" s="653">
        <v>0.2</v>
      </c>
    </row>
    <row r="178" spans="2:11" s="297" customFormat="1" ht="13.5">
      <c r="B178" s="620"/>
      <c r="C178" s="289" t="s">
        <v>499</v>
      </c>
      <c r="D178" s="654">
        <v>2000000</v>
      </c>
      <c r="E178" s="640"/>
      <c r="F178" s="597"/>
      <c r="G178" s="597"/>
      <c r="J178" s="656"/>
      <c r="K178" s="653"/>
    </row>
    <row r="179" spans="2:7" s="297" customFormat="1" ht="13.5">
      <c r="B179" s="620"/>
      <c r="C179" s="601" t="s">
        <v>294</v>
      </c>
      <c r="D179" s="705">
        <f>D180</f>
        <v>2000000</v>
      </c>
      <c r="E179" s="640"/>
      <c r="F179" s="597">
        <v>2000000</v>
      </c>
      <c r="G179" s="306"/>
    </row>
    <row r="180" spans="2:7" s="297" customFormat="1" ht="13.5">
      <c r="B180" s="620"/>
      <c r="C180" s="601" t="s">
        <v>496</v>
      </c>
      <c r="D180" s="654">
        <v>2000000</v>
      </c>
      <c r="E180" s="640"/>
      <c r="F180" s="597"/>
      <c r="G180" s="306"/>
    </row>
    <row r="181" spans="2:7" s="297" customFormat="1" ht="13.5">
      <c r="B181" s="620"/>
      <c r="C181" s="289" t="s">
        <v>413</v>
      </c>
      <c r="D181" s="705">
        <f>D182</f>
        <v>2000000</v>
      </c>
      <c r="E181" s="640"/>
      <c r="F181" s="597">
        <v>2000000</v>
      </c>
      <c r="G181" s="597">
        <v>0</v>
      </c>
    </row>
    <row r="182" spans="2:7" s="297" customFormat="1" ht="13.5">
      <c r="B182" s="620"/>
      <c r="C182" s="289" t="s">
        <v>498</v>
      </c>
      <c r="D182" s="654">
        <v>2000000</v>
      </c>
      <c r="E182" s="640"/>
      <c r="F182" s="597"/>
      <c r="G182" s="597"/>
    </row>
    <row r="183" spans="2:14" s="297" customFormat="1" ht="13.5">
      <c r="B183" s="620"/>
      <c r="C183" s="289" t="s">
        <v>318</v>
      </c>
      <c r="D183" s="705">
        <f>D184</f>
        <v>85000000</v>
      </c>
      <c r="E183" s="640"/>
      <c r="F183" s="597">
        <v>85000000</v>
      </c>
      <c r="G183" s="597"/>
      <c r="H183" s="297" t="s">
        <v>414</v>
      </c>
      <c r="J183" s="297" t="s">
        <v>420</v>
      </c>
      <c r="M183" s="297" t="s">
        <v>418</v>
      </c>
      <c r="N183" s="656">
        <v>8953840</v>
      </c>
    </row>
    <row r="184" spans="2:14" s="297" customFormat="1" ht="13.5">
      <c r="B184" s="620"/>
      <c r="C184" s="289" t="s">
        <v>497</v>
      </c>
      <c r="D184" s="654">
        <v>85000000</v>
      </c>
      <c r="E184" s="640"/>
      <c r="F184" s="597"/>
      <c r="G184" s="597"/>
      <c r="N184" s="656"/>
    </row>
    <row r="185" spans="2:14" s="297" customFormat="1" ht="13.5">
      <c r="B185" s="620"/>
      <c r="C185" s="289" t="s">
        <v>416</v>
      </c>
      <c r="D185" s="705">
        <f>D186</f>
        <v>11938453</v>
      </c>
      <c r="E185" s="640"/>
      <c r="F185" s="597">
        <v>0</v>
      </c>
      <c r="G185" s="597">
        <v>11938453</v>
      </c>
      <c r="J185" s="297" t="s">
        <v>417</v>
      </c>
      <c r="M185" s="297" t="s">
        <v>419</v>
      </c>
      <c r="N185" s="656">
        <v>2948613</v>
      </c>
    </row>
    <row r="186" spans="2:14" s="297" customFormat="1" ht="13.5">
      <c r="B186" s="620"/>
      <c r="C186" s="289" t="s">
        <v>489</v>
      </c>
      <c r="D186" s="654">
        <v>11938453</v>
      </c>
      <c r="E186" s="640"/>
      <c r="F186" s="597"/>
      <c r="G186" s="597"/>
      <c r="N186" s="656"/>
    </row>
    <row r="187" spans="2:14" s="297" customFormat="1" ht="13.5">
      <c r="B187" s="620"/>
      <c r="C187" s="289" t="s">
        <v>274</v>
      </c>
      <c r="D187" s="705">
        <f>D188+D189+D190</f>
        <v>23840906</v>
      </c>
      <c r="E187" s="640"/>
      <c r="F187" s="597"/>
      <c r="G187" s="597">
        <v>23840906</v>
      </c>
      <c r="J187" s="297" t="s">
        <v>421</v>
      </c>
      <c r="M187" s="297">
        <v>1</v>
      </c>
      <c r="N187" s="656">
        <v>11938453</v>
      </c>
    </row>
    <row r="188" spans="2:14" s="297" customFormat="1" ht="13.5">
      <c r="B188" s="620"/>
      <c r="C188" s="289" t="s">
        <v>490</v>
      </c>
      <c r="D188" s="706">
        <v>8953840</v>
      </c>
      <c r="E188" s="640"/>
      <c r="F188" s="597"/>
      <c r="G188" s="597"/>
      <c r="N188" s="656"/>
    </row>
    <row r="189" spans="2:14" s="297" customFormat="1" ht="13.5">
      <c r="B189" s="620"/>
      <c r="C189" s="289" t="s">
        <v>491</v>
      </c>
      <c r="D189" s="706">
        <v>2948613</v>
      </c>
      <c r="E189" s="640"/>
      <c r="F189" s="597"/>
      <c r="G189" s="597"/>
      <c r="N189" s="656"/>
    </row>
    <row r="190" spans="2:14" s="297" customFormat="1" ht="13.5">
      <c r="B190" s="620"/>
      <c r="C190" s="289" t="s">
        <v>492</v>
      </c>
      <c r="D190" s="706">
        <v>11938453</v>
      </c>
      <c r="E190" s="640"/>
      <c r="F190" s="597"/>
      <c r="G190" s="597"/>
      <c r="N190" s="656"/>
    </row>
    <row r="191" spans="2:14" ht="13.5">
      <c r="B191" s="620"/>
      <c r="C191" s="289" t="s">
        <v>260</v>
      </c>
      <c r="D191" s="705">
        <f>D192</f>
        <v>10000000</v>
      </c>
      <c r="E191" s="640"/>
      <c r="F191" s="597">
        <v>10000000</v>
      </c>
      <c r="G191" s="597"/>
      <c r="J191" s="307" t="s">
        <v>422</v>
      </c>
      <c r="M191" s="307">
        <v>4</v>
      </c>
      <c r="N191" s="657">
        <v>47753812</v>
      </c>
    </row>
    <row r="192" spans="2:14" ht="13.5">
      <c r="B192" s="620"/>
      <c r="C192" s="289" t="s">
        <v>493</v>
      </c>
      <c r="D192" s="654">
        <v>10000000</v>
      </c>
      <c r="E192" s="640"/>
      <c r="F192" s="597"/>
      <c r="G192" s="597"/>
      <c r="N192" s="657"/>
    </row>
    <row r="193" spans="2:14" ht="13.5">
      <c r="B193" s="620"/>
      <c r="C193" s="289" t="s">
        <v>295</v>
      </c>
      <c r="D193" s="705">
        <f>D194</f>
        <v>49235890</v>
      </c>
      <c r="E193" s="640"/>
      <c r="F193" s="597">
        <v>0</v>
      </c>
      <c r="G193" s="597">
        <v>49235890</v>
      </c>
      <c r="N193" s="658">
        <f>SUM(N183:N191)</f>
        <v>71594718</v>
      </c>
    </row>
    <row r="194" spans="2:14" ht="13.5">
      <c r="B194" s="620"/>
      <c r="C194" s="289" t="s">
        <v>494</v>
      </c>
      <c r="D194" s="654">
        <v>49235890</v>
      </c>
      <c r="E194" s="640"/>
      <c r="F194" s="597"/>
      <c r="G194" s="597"/>
      <c r="N194" s="658"/>
    </row>
    <row r="195" spans="2:7" ht="13.5">
      <c r="B195" s="620"/>
      <c r="C195" s="309" t="s">
        <v>282</v>
      </c>
      <c r="D195" s="705">
        <f>D196</f>
        <v>47753812</v>
      </c>
      <c r="E195" s="640"/>
      <c r="F195" s="597"/>
      <c r="G195" s="659">
        <v>47753812</v>
      </c>
    </row>
    <row r="196" spans="2:7" ht="13.5">
      <c r="B196" s="620"/>
      <c r="C196" s="633" t="s">
        <v>512</v>
      </c>
      <c r="D196" s="654">
        <v>47753812</v>
      </c>
      <c r="E196" s="640"/>
      <c r="F196" s="597"/>
      <c r="G196" s="659"/>
    </row>
    <row r="197" spans="2:7" s="297" customFormat="1" ht="12.75">
      <c r="B197" s="660"/>
      <c r="C197" s="661" t="s">
        <v>242</v>
      </c>
      <c r="D197" s="662">
        <f>SUM(D6+D14+D52+D63+D73+D85+D174)</f>
        <v>2825817449</v>
      </c>
      <c r="E197" s="663">
        <f>SUM(E8:E191)</f>
        <v>2929184439.8537507</v>
      </c>
      <c r="F197" s="663">
        <f>SUM(F8:F195)</f>
        <v>2057541441.8537507</v>
      </c>
      <c r="G197" s="664">
        <f>SUM(G8:G195)</f>
        <v>132769061</v>
      </c>
    </row>
    <row r="198" spans="2:7" s="667" customFormat="1" ht="13.5">
      <c r="B198" s="665" t="s">
        <v>243</v>
      </c>
      <c r="C198" s="666" t="s">
        <v>244</v>
      </c>
      <c r="D198" s="666"/>
      <c r="E198" s="640"/>
      <c r="F198" s="640"/>
      <c r="G198" s="640"/>
    </row>
    <row r="199" spans="2:7" s="667" customFormat="1" ht="13.5">
      <c r="B199" s="665" t="s">
        <v>245</v>
      </c>
      <c r="C199" s="666" t="s">
        <v>246</v>
      </c>
      <c r="D199" s="666"/>
      <c r="E199" s="640"/>
      <c r="F199" s="640"/>
      <c r="G199" s="640"/>
    </row>
    <row r="200" spans="2:7" s="667" customFormat="1" ht="13.5">
      <c r="B200" s="665" t="s">
        <v>247</v>
      </c>
      <c r="C200" s="666" t="s">
        <v>248</v>
      </c>
      <c r="D200" s="666"/>
      <c r="E200" s="640"/>
      <c r="F200" s="640"/>
      <c r="G200" s="640"/>
    </row>
    <row r="203" ht="13.5">
      <c r="C203" s="457" t="s">
        <v>308</v>
      </c>
    </row>
    <row r="204" ht="13.5">
      <c r="C204" s="457" t="s">
        <v>309</v>
      </c>
    </row>
  </sheetData>
  <sheetProtection/>
  <mergeCells count="1">
    <mergeCell ref="F4:G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V70"/>
  <sheetViews>
    <sheetView tabSelected="1" zoomScalePageLayoutView="0" workbookViewId="0" topLeftCell="A38">
      <selection activeCell="C79" sqref="C79"/>
    </sheetView>
  </sheetViews>
  <sheetFormatPr defaultColWidth="11.421875" defaultRowHeight="12.75"/>
  <cols>
    <col min="1" max="1" width="11.421875" style="285" customWidth="1"/>
    <col min="2" max="2" width="6.28125" style="285" customWidth="1"/>
    <col min="3" max="3" width="24.7109375" style="285" customWidth="1"/>
    <col min="4" max="4" width="8.8515625" style="285" customWidth="1"/>
    <col min="5" max="7" width="11.421875" style="285" customWidth="1"/>
    <col min="8" max="8" width="12.57421875" style="285" customWidth="1"/>
    <col min="9" max="12" width="11.421875" style="285" customWidth="1"/>
    <col min="13" max="13" width="12.57421875" style="285" bestFit="1" customWidth="1"/>
    <col min="14" max="14" width="11.421875" style="285" customWidth="1"/>
    <col min="15" max="16" width="12.8515625" style="285" customWidth="1"/>
    <col min="17" max="18" width="12.28125" style="285" customWidth="1"/>
    <col min="19" max="19" width="17.140625" style="285" customWidth="1"/>
    <col min="20" max="20" width="10.8515625" style="285" customWidth="1"/>
    <col min="21" max="21" width="10.140625" style="285" customWidth="1"/>
    <col min="22" max="22" width="14.00390625" style="285" customWidth="1"/>
    <col min="23" max="32" width="11.421875" style="285" customWidth="1"/>
    <col min="33" max="33" width="13.57421875" style="285" bestFit="1" customWidth="1"/>
    <col min="34" max="16384" width="11.421875" style="285" customWidth="1"/>
  </cols>
  <sheetData>
    <row r="1" spans="2:74" s="201" customFormat="1" ht="9">
      <c r="B1" s="197"/>
      <c r="C1" s="198"/>
      <c r="D1" s="198"/>
      <c r="E1" s="199"/>
      <c r="F1" s="200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</row>
    <row r="2" spans="2:74" s="201" customFormat="1" ht="9">
      <c r="B2" s="197"/>
      <c r="C2" s="198"/>
      <c r="D2" s="198"/>
      <c r="E2" s="199"/>
      <c r="F2" s="200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</row>
    <row r="3" spans="2:74" s="201" customFormat="1" ht="9">
      <c r="B3" s="197"/>
      <c r="C3" s="198"/>
      <c r="D3" s="198"/>
      <c r="E3" s="199"/>
      <c r="F3" s="200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</row>
    <row r="4" spans="2:74" s="208" customFormat="1" ht="9">
      <c r="B4" s="202"/>
      <c r="C4" s="202"/>
      <c r="D4" s="203"/>
      <c r="E4" s="204"/>
      <c r="F4" s="205"/>
      <c r="G4" s="202"/>
      <c r="H4" s="202"/>
      <c r="I4" s="202"/>
      <c r="J4" s="206">
        <v>993591</v>
      </c>
      <c r="K4" s="206">
        <v>867400</v>
      </c>
      <c r="L4" s="207">
        <v>995949</v>
      </c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198"/>
      <c r="AE4" s="198"/>
      <c r="AF4" s="198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</row>
    <row r="5" spans="2:74" s="215" customFormat="1" ht="9">
      <c r="B5" s="209" t="s">
        <v>93</v>
      </c>
      <c r="C5" s="210" t="s">
        <v>94</v>
      </c>
      <c r="D5" s="209" t="s">
        <v>95</v>
      </c>
      <c r="E5" s="211" t="s">
        <v>96</v>
      </c>
      <c r="F5" s="212" t="s">
        <v>97</v>
      </c>
      <c r="G5" s="211" t="s">
        <v>98</v>
      </c>
      <c r="H5" s="209" t="s">
        <v>99</v>
      </c>
      <c r="I5" s="210" t="s">
        <v>100</v>
      </c>
      <c r="J5" s="209" t="s">
        <v>101</v>
      </c>
      <c r="K5" s="210" t="s">
        <v>102</v>
      </c>
      <c r="L5" s="209" t="s">
        <v>103</v>
      </c>
      <c r="M5" s="210" t="s">
        <v>104</v>
      </c>
      <c r="N5" s="213" t="s">
        <v>105</v>
      </c>
      <c r="O5" s="209" t="s">
        <v>106</v>
      </c>
      <c r="P5" s="210"/>
      <c r="Q5" s="210"/>
      <c r="R5" s="210"/>
      <c r="S5" s="210" t="s">
        <v>94</v>
      </c>
      <c r="T5" s="209" t="s">
        <v>107</v>
      </c>
      <c r="U5" s="210" t="s">
        <v>108</v>
      </c>
      <c r="V5" s="209" t="s">
        <v>109</v>
      </c>
      <c r="W5" s="210" t="s">
        <v>110</v>
      </c>
      <c r="X5" s="214">
        <v>0.12</v>
      </c>
      <c r="Y5" s="209" t="s">
        <v>111</v>
      </c>
      <c r="Z5" s="210" t="s">
        <v>112</v>
      </c>
      <c r="AA5" s="209" t="s">
        <v>113</v>
      </c>
      <c r="AB5" s="210" t="s">
        <v>114</v>
      </c>
      <c r="AC5" s="209" t="s">
        <v>115</v>
      </c>
      <c r="AD5" s="210" t="s">
        <v>116</v>
      </c>
      <c r="AE5" s="209" t="s">
        <v>117</v>
      </c>
      <c r="AF5" s="210" t="s">
        <v>118</v>
      </c>
      <c r="AG5" s="209" t="s">
        <v>109</v>
      </c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</row>
    <row r="6" spans="2:74" s="215" customFormat="1" ht="9.75" thickBot="1">
      <c r="B6" s="216" t="s">
        <v>119</v>
      </c>
      <c r="C6" s="217"/>
      <c r="D6" s="216" t="s">
        <v>120</v>
      </c>
      <c r="E6" s="218" t="s">
        <v>299</v>
      </c>
      <c r="F6" s="219"/>
      <c r="G6" s="218">
        <v>2009</v>
      </c>
      <c r="H6" s="216" t="s">
        <v>122</v>
      </c>
      <c r="I6" s="217" t="s">
        <v>123</v>
      </c>
      <c r="J6" s="220">
        <v>37110</v>
      </c>
      <c r="K6" s="221">
        <v>53086</v>
      </c>
      <c r="L6" s="216" t="s">
        <v>124</v>
      </c>
      <c r="M6" s="222" t="s">
        <v>125</v>
      </c>
      <c r="N6" s="223" t="s">
        <v>126</v>
      </c>
      <c r="O6" s="224" t="s">
        <v>127</v>
      </c>
      <c r="P6" s="225"/>
      <c r="Q6" s="225"/>
      <c r="R6" s="225"/>
      <c r="S6" s="217"/>
      <c r="T6" s="216" t="s">
        <v>128</v>
      </c>
      <c r="U6" s="222" t="s">
        <v>126</v>
      </c>
      <c r="V6" s="216" t="s">
        <v>129</v>
      </c>
      <c r="W6" s="222" t="s">
        <v>130</v>
      </c>
      <c r="X6" s="216" t="s">
        <v>276</v>
      </c>
      <c r="Y6" s="216" t="s">
        <v>131</v>
      </c>
      <c r="Z6" s="222" t="s">
        <v>132</v>
      </c>
      <c r="AA6" s="216" t="s">
        <v>133</v>
      </c>
      <c r="AB6" s="222" t="s">
        <v>134</v>
      </c>
      <c r="AC6" s="216" t="s">
        <v>135</v>
      </c>
      <c r="AD6" s="222"/>
      <c r="AE6" s="216"/>
      <c r="AF6" s="222" t="s">
        <v>136</v>
      </c>
      <c r="AG6" s="216" t="s">
        <v>137</v>
      </c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</row>
    <row r="7" spans="2:74" s="201" customFormat="1" ht="9">
      <c r="B7" s="226">
        <v>1</v>
      </c>
      <c r="C7" s="227" t="s">
        <v>138</v>
      </c>
      <c r="D7" s="226">
        <v>1</v>
      </c>
      <c r="E7" s="228">
        <v>2404425</v>
      </c>
      <c r="F7" s="229">
        <v>0.058</v>
      </c>
      <c r="G7" s="230">
        <f>+E7*(1+F7)</f>
        <v>2543881.65</v>
      </c>
      <c r="H7" s="231">
        <f aca="true" t="shared" si="0" ref="H7:H26">B7*G7*12</f>
        <v>30526579.799999997</v>
      </c>
      <c r="I7" s="232">
        <v>20000000</v>
      </c>
      <c r="J7" s="231">
        <f aca="true" t="shared" si="1" ref="J7:J14">(IF(+G7&lt;=+$J$4,+$J$6,0))*12*B7</f>
        <v>0</v>
      </c>
      <c r="K7" s="230">
        <f aca="true" t="shared" si="2" ref="K7:K19">(IF(+G7&lt;=+$K$4,+$K$6,0))*12</f>
        <v>0</v>
      </c>
      <c r="L7" s="231">
        <f aca="true" t="shared" si="3" ref="L7:L14">(IF(+G7&lt;=+$L$4,(G7*0.5),(G7*0.35)))*B7</f>
        <v>890358.5774999999</v>
      </c>
      <c r="M7" s="230">
        <f>(SUM(H7:L7)-I7)/24</f>
        <v>1309039.0990624998</v>
      </c>
      <c r="N7" s="233">
        <f aca="true" t="shared" si="4" ref="N7:N26">(SUM(H7:M7)-I7)/24</f>
        <v>1363582.3948567708</v>
      </c>
      <c r="O7" s="231">
        <f aca="true" t="shared" si="5" ref="O7:O26">(SUM(H7:N7)-I7)/12</f>
        <v>2840796.655951606</v>
      </c>
      <c r="P7" s="230"/>
      <c r="Q7" s="230"/>
      <c r="R7" s="230"/>
      <c r="S7" s="227" t="s">
        <v>138</v>
      </c>
      <c r="T7" s="231">
        <f aca="true" t="shared" si="6" ref="T7:T26">H7/180</f>
        <v>169592.11</v>
      </c>
      <c r="U7" s="230">
        <f aca="true" t="shared" si="7" ref="U7:U26">((J7+K7+L7+M7)/12)*23/30</f>
        <v>140517.07378038194</v>
      </c>
      <c r="V7" s="231">
        <f aca="true" t="shared" si="8" ref="V7:V26">SUM(H7:U7)</f>
        <v>57240465.71115126</v>
      </c>
      <c r="W7" s="230">
        <f aca="true" t="shared" si="9" ref="W7:W26">(+V7-T7-I7)*8.33/100</f>
        <v>3088003.7709759</v>
      </c>
      <c r="X7" s="231">
        <f>W7*12%</f>
        <v>370560.45251710794</v>
      </c>
      <c r="Y7" s="231">
        <f>(+V7-O7-T7-K7-I7)*4/100</f>
        <v>1369203.0778079862</v>
      </c>
      <c r="Z7" s="230">
        <f aca="true" t="shared" si="10" ref="Z7:Z26">(+V7-O7-T7-K7-I7)*3/100</f>
        <v>1026902.3083559896</v>
      </c>
      <c r="AA7" s="231">
        <f aca="true" t="shared" si="11" ref="AA7:AA26">(+V7-O7-T7-K7-I7)*0.5/100</f>
        <v>171150.38472599827</v>
      </c>
      <c r="AB7" s="230">
        <f aca="true" t="shared" si="12" ref="AB7:AB26">+AA7</f>
        <v>171150.38472599827</v>
      </c>
      <c r="AC7" s="231">
        <f aca="true" t="shared" si="13" ref="AC7:AC26">+AB7*2</f>
        <v>342300.76945199654</v>
      </c>
      <c r="AD7" s="230">
        <f>(+H7+L7)*10.875/100</f>
        <v>3416592.0485531245</v>
      </c>
      <c r="AE7" s="231">
        <f>(+H7+L7)*8/100</f>
        <v>2513355.0702</v>
      </c>
      <c r="AF7" s="230">
        <f aca="true" t="shared" si="14" ref="AF7:AF26">(+H7+L7)*0.522/100</f>
        <v>163996.41833055</v>
      </c>
      <c r="AG7" s="231">
        <f aca="true" t="shared" si="15" ref="AG7:AG26">SUM(V7:AF7)</f>
        <v>69873680.3967959</v>
      </c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</row>
    <row r="8" spans="2:74" s="201" customFormat="1" ht="9">
      <c r="B8" s="226">
        <v>4</v>
      </c>
      <c r="C8" s="227" t="s">
        <v>139</v>
      </c>
      <c r="D8" s="226">
        <v>2</v>
      </c>
      <c r="E8" s="228">
        <v>1877288</v>
      </c>
      <c r="F8" s="229">
        <v>0.058</v>
      </c>
      <c r="G8" s="230">
        <f aca="true" t="shared" si="16" ref="G8:G26">+E8*(1+F8)</f>
        <v>1986170.7040000001</v>
      </c>
      <c r="H8" s="231">
        <f t="shared" si="0"/>
        <v>95336193.79200001</v>
      </c>
      <c r="I8" s="234"/>
      <c r="J8" s="231">
        <f t="shared" si="1"/>
        <v>0</v>
      </c>
      <c r="K8" s="230">
        <f t="shared" si="2"/>
        <v>0</v>
      </c>
      <c r="L8" s="231">
        <f t="shared" si="3"/>
        <v>2780638.9856000002</v>
      </c>
      <c r="M8" s="230">
        <f aca="true" t="shared" si="17" ref="M8:M13">(H8+J8+K8+L8)/24</f>
        <v>4088201.3657333334</v>
      </c>
      <c r="N8" s="233">
        <f t="shared" si="4"/>
        <v>4258543.089305556</v>
      </c>
      <c r="O8" s="231">
        <f t="shared" si="5"/>
        <v>8871964.769386575</v>
      </c>
      <c r="P8" s="230"/>
      <c r="Q8" s="230"/>
      <c r="R8" s="230"/>
      <c r="S8" s="227" t="s">
        <v>139</v>
      </c>
      <c r="T8" s="231">
        <f t="shared" si="6"/>
        <v>529645.5210666667</v>
      </c>
      <c r="U8" s="230">
        <f t="shared" si="7"/>
        <v>438842.5780018519</v>
      </c>
      <c r="V8" s="231">
        <f t="shared" si="8"/>
        <v>116304030.101094</v>
      </c>
      <c r="W8" s="230">
        <f t="shared" si="9"/>
        <v>9644006.235516276</v>
      </c>
      <c r="X8" s="231">
        <f aca="true" t="shared" si="18" ref="X8:X24">W8*12%</f>
        <v>1157280.748261953</v>
      </c>
      <c r="Y8" s="231">
        <f aca="true" t="shared" si="19" ref="Y8:Y24">(+V8-O8-T8-K8-I8)*4/100</f>
        <v>4276096.79242563</v>
      </c>
      <c r="Z8" s="230">
        <f t="shared" si="10"/>
        <v>3207072.5943192225</v>
      </c>
      <c r="AA8" s="231">
        <f t="shared" si="11"/>
        <v>534512.0990532037</v>
      </c>
      <c r="AB8" s="230">
        <f t="shared" si="12"/>
        <v>534512.0990532037</v>
      </c>
      <c r="AC8" s="231">
        <f t="shared" si="13"/>
        <v>1069024.1981064074</v>
      </c>
      <c r="AD8" s="230">
        <f aca="true" t="shared" si="20" ref="AD8:AD26">(+H8+L8)*10.875/100</f>
        <v>10670205.564564</v>
      </c>
      <c r="AE8" s="231">
        <f aca="true" t="shared" si="21" ref="AE8:AE26">(+H8+L8)*8/100</f>
        <v>7849346.622208</v>
      </c>
      <c r="AF8" s="230">
        <f t="shared" si="14"/>
        <v>512169.867099072</v>
      </c>
      <c r="AG8" s="231">
        <f t="shared" si="15"/>
        <v>155758256.92170095</v>
      </c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</row>
    <row r="9" spans="2:74" s="201" customFormat="1" ht="9" hidden="1">
      <c r="B9" s="226"/>
      <c r="C9" s="227"/>
      <c r="D9" s="226">
        <v>3</v>
      </c>
      <c r="E9" s="228"/>
      <c r="F9" s="229">
        <v>0.05</v>
      </c>
      <c r="G9" s="230">
        <f>+E9*(1+F9)</f>
        <v>0</v>
      </c>
      <c r="H9" s="231">
        <f t="shared" si="0"/>
        <v>0</v>
      </c>
      <c r="I9" s="234"/>
      <c r="J9" s="231">
        <f t="shared" si="1"/>
        <v>0</v>
      </c>
      <c r="K9" s="230">
        <f t="shared" si="2"/>
        <v>637032</v>
      </c>
      <c r="L9" s="231">
        <f t="shared" si="3"/>
        <v>0</v>
      </c>
      <c r="M9" s="230">
        <f t="shared" si="17"/>
        <v>26543</v>
      </c>
      <c r="N9" s="233">
        <f>(SUM(H9:M9)-I9)/24</f>
        <v>27648.958333333332</v>
      </c>
      <c r="O9" s="231">
        <f>(SUM(H9:N9)-I9)/12</f>
        <v>57601.99652777778</v>
      </c>
      <c r="P9" s="230"/>
      <c r="Q9" s="230"/>
      <c r="R9" s="230"/>
      <c r="S9" s="227" t="s">
        <v>139</v>
      </c>
      <c r="T9" s="231">
        <f>H9/180</f>
        <v>0</v>
      </c>
      <c r="U9" s="230">
        <f>((J9+K9+L9+M9)/12)*23/30</f>
        <v>42395.069444444445</v>
      </c>
      <c r="V9" s="231">
        <f>SUM(H9:U9)</f>
        <v>791221.0243055556</v>
      </c>
      <c r="W9" s="230">
        <f>(+V9-T9-I9)*8.33/100</f>
        <v>65908.71132465279</v>
      </c>
      <c r="X9" s="231">
        <f t="shared" si="18"/>
        <v>7909.045358958334</v>
      </c>
      <c r="Y9" s="231">
        <f>(+V9-O9-T9-K9-I9)*4/100</f>
        <v>3863.481111111115</v>
      </c>
      <c r="Z9" s="230">
        <f t="shared" si="10"/>
        <v>2897.610833333336</v>
      </c>
      <c r="AA9" s="231">
        <f>(+V9-O9-T9-K9-I9)*0.5/100</f>
        <v>482.93513888888936</v>
      </c>
      <c r="AB9" s="230">
        <f t="shared" si="12"/>
        <v>482.93513888888936</v>
      </c>
      <c r="AC9" s="231">
        <f t="shared" si="13"/>
        <v>965.8702777777787</v>
      </c>
      <c r="AD9" s="230">
        <f>(+H9+L9)*10.875/100</f>
        <v>0</v>
      </c>
      <c r="AE9" s="231">
        <f>(+H9+L9)*8/100</f>
        <v>0</v>
      </c>
      <c r="AF9" s="230">
        <f>(+H9+L9)*0.522/100</f>
        <v>0</v>
      </c>
      <c r="AG9" s="231">
        <f>SUM(V9:AF9)</f>
        <v>873731.6134891667</v>
      </c>
      <c r="AH9" s="235"/>
      <c r="AI9" s="235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</row>
    <row r="10" spans="2:74" s="201" customFormat="1" ht="9" hidden="1">
      <c r="B10" s="226"/>
      <c r="C10" s="227"/>
      <c r="D10" s="226">
        <v>4</v>
      </c>
      <c r="E10" s="228"/>
      <c r="F10" s="229">
        <v>0.05</v>
      </c>
      <c r="G10" s="230">
        <f>+E10*(1+F10)</f>
        <v>0</v>
      </c>
      <c r="H10" s="231">
        <f t="shared" si="0"/>
        <v>0</v>
      </c>
      <c r="I10" s="234"/>
      <c r="J10" s="231">
        <f t="shared" si="1"/>
        <v>0</v>
      </c>
      <c r="K10" s="230">
        <f t="shared" si="2"/>
        <v>637032</v>
      </c>
      <c r="L10" s="231">
        <f t="shared" si="3"/>
        <v>0</v>
      </c>
      <c r="M10" s="230">
        <f t="shared" si="17"/>
        <v>26543</v>
      </c>
      <c r="N10" s="233">
        <f>(SUM(H10:M10)-I10)/24</f>
        <v>27648.958333333332</v>
      </c>
      <c r="O10" s="231">
        <f>(SUM(H10:N10)-I10)/12</f>
        <v>57601.99652777778</v>
      </c>
      <c r="P10" s="230"/>
      <c r="Q10" s="230"/>
      <c r="R10" s="230"/>
      <c r="S10" s="227" t="s">
        <v>139</v>
      </c>
      <c r="T10" s="231">
        <f>H10/180</f>
        <v>0</v>
      </c>
      <c r="U10" s="230">
        <f>((J10+K10+L10+M10)/12)*23/30</f>
        <v>42395.069444444445</v>
      </c>
      <c r="V10" s="231">
        <f>SUM(H10:U10)</f>
        <v>791221.0243055556</v>
      </c>
      <c r="W10" s="230">
        <f>(+V10-T10-I10)*8.33/100</f>
        <v>65908.71132465279</v>
      </c>
      <c r="X10" s="231">
        <f t="shared" si="18"/>
        <v>7909.045358958334</v>
      </c>
      <c r="Y10" s="231">
        <f>(+V10-O10-T10-K10-I10)*4/100</f>
        <v>3863.481111111115</v>
      </c>
      <c r="Z10" s="230">
        <f t="shared" si="10"/>
        <v>2897.610833333336</v>
      </c>
      <c r="AA10" s="231">
        <f>(+V10-O10-T10-K10-I10)*0.5/100</f>
        <v>482.93513888888936</v>
      </c>
      <c r="AB10" s="230">
        <f t="shared" si="12"/>
        <v>482.93513888888936</v>
      </c>
      <c r="AC10" s="231">
        <f t="shared" si="13"/>
        <v>965.8702777777787</v>
      </c>
      <c r="AD10" s="230">
        <f>(+H10+L10)*10.875/100</f>
        <v>0</v>
      </c>
      <c r="AE10" s="231">
        <f>(+H10+L10)*8/100</f>
        <v>0</v>
      </c>
      <c r="AF10" s="230">
        <f>(+H10+L10)*0.522/100</f>
        <v>0</v>
      </c>
      <c r="AG10" s="231">
        <f>SUM(V10:AF10)</f>
        <v>873731.6134891667</v>
      </c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</row>
    <row r="11" spans="2:74" s="201" customFormat="1" ht="9" hidden="1">
      <c r="B11" s="226"/>
      <c r="C11" s="227"/>
      <c r="D11" s="226">
        <v>5</v>
      </c>
      <c r="E11" s="228"/>
      <c r="F11" s="229">
        <v>0.05</v>
      </c>
      <c r="G11" s="230">
        <f>+E11*(1+F11)</f>
        <v>0</v>
      </c>
      <c r="H11" s="231">
        <f t="shared" si="0"/>
        <v>0</v>
      </c>
      <c r="I11" s="234"/>
      <c r="J11" s="231">
        <f t="shared" si="1"/>
        <v>0</v>
      </c>
      <c r="K11" s="230">
        <f t="shared" si="2"/>
        <v>637032</v>
      </c>
      <c r="L11" s="231">
        <f t="shared" si="3"/>
        <v>0</v>
      </c>
      <c r="M11" s="230">
        <f t="shared" si="17"/>
        <v>26543</v>
      </c>
      <c r="N11" s="233">
        <f>(SUM(H11:M11)-I11)/24</f>
        <v>27648.958333333332</v>
      </c>
      <c r="O11" s="231">
        <f>(SUM(H11:N11)-I11)/12</f>
        <v>57601.99652777778</v>
      </c>
      <c r="P11" s="230"/>
      <c r="Q11" s="230"/>
      <c r="R11" s="230"/>
      <c r="S11" s="227" t="s">
        <v>139</v>
      </c>
      <c r="T11" s="231">
        <f>H11/180</f>
        <v>0</v>
      </c>
      <c r="U11" s="230">
        <f>((J11+K11+L11+M11)/12)*23/30</f>
        <v>42395.069444444445</v>
      </c>
      <c r="V11" s="231">
        <f>SUM(H11:U11)</f>
        <v>791221.0243055556</v>
      </c>
      <c r="W11" s="230">
        <f>(+V11-T11-I11)*8.33/100</f>
        <v>65908.71132465279</v>
      </c>
      <c r="X11" s="231">
        <f t="shared" si="18"/>
        <v>7909.045358958334</v>
      </c>
      <c r="Y11" s="231">
        <f>(+V11-O11-T11-K11-I11)*4/100</f>
        <v>3863.481111111115</v>
      </c>
      <c r="Z11" s="230">
        <f t="shared" si="10"/>
        <v>2897.610833333336</v>
      </c>
      <c r="AA11" s="231">
        <f>(+V11-O11-T11-K11-I11)*0.5/100</f>
        <v>482.93513888888936</v>
      </c>
      <c r="AB11" s="230">
        <f t="shared" si="12"/>
        <v>482.93513888888936</v>
      </c>
      <c r="AC11" s="231">
        <f t="shared" si="13"/>
        <v>965.8702777777787</v>
      </c>
      <c r="AD11" s="230">
        <f>(+H11+L11)*10.875/100</f>
        <v>0</v>
      </c>
      <c r="AE11" s="231">
        <f>(+H11+L11)*8/100</f>
        <v>0</v>
      </c>
      <c r="AF11" s="230">
        <f>(+H11+L11)*0.522/100</f>
        <v>0</v>
      </c>
      <c r="AG11" s="231">
        <f>SUM(V11:AF11)</f>
        <v>873731.6134891667</v>
      </c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</row>
    <row r="12" spans="2:74" s="201" customFormat="1" ht="9" hidden="1">
      <c r="B12" s="226"/>
      <c r="C12" s="227"/>
      <c r="D12" s="226">
        <v>6</v>
      </c>
      <c r="E12" s="228"/>
      <c r="F12" s="229">
        <v>0.05</v>
      </c>
      <c r="G12" s="230">
        <f>+E12*(1+F12)</f>
        <v>0</v>
      </c>
      <c r="H12" s="231">
        <f t="shared" si="0"/>
        <v>0</v>
      </c>
      <c r="I12" s="234"/>
      <c r="J12" s="231">
        <f t="shared" si="1"/>
        <v>0</v>
      </c>
      <c r="K12" s="230">
        <f t="shared" si="2"/>
        <v>637032</v>
      </c>
      <c r="L12" s="231">
        <f t="shared" si="3"/>
        <v>0</v>
      </c>
      <c r="M12" s="230">
        <f t="shared" si="17"/>
        <v>26543</v>
      </c>
      <c r="N12" s="233">
        <f>(SUM(H12:M12)-I12)/24</f>
        <v>27648.958333333332</v>
      </c>
      <c r="O12" s="231">
        <f>(SUM(H12:N12)-I12)/12</f>
        <v>57601.99652777778</v>
      </c>
      <c r="P12" s="230"/>
      <c r="Q12" s="230"/>
      <c r="R12" s="230"/>
      <c r="S12" s="227" t="s">
        <v>139</v>
      </c>
      <c r="T12" s="231">
        <f>H12/180</f>
        <v>0</v>
      </c>
      <c r="U12" s="230">
        <f>((J12+K12+L12+M12)/12)*23/30</f>
        <v>42395.069444444445</v>
      </c>
      <c r="V12" s="231">
        <f>SUM(H12:U12)</f>
        <v>791221.0243055556</v>
      </c>
      <c r="W12" s="230">
        <f>(+V12-T12-I12)*8.33/100</f>
        <v>65908.71132465279</v>
      </c>
      <c r="X12" s="231">
        <f t="shared" si="18"/>
        <v>7909.045358958334</v>
      </c>
      <c r="Y12" s="231">
        <f>(+V12-O12-T12-K12-I12)*4/100</f>
        <v>3863.481111111115</v>
      </c>
      <c r="Z12" s="230">
        <f t="shared" si="10"/>
        <v>2897.610833333336</v>
      </c>
      <c r="AA12" s="231">
        <f>(+V12-O12-T12-K12-I12)*0.5/100</f>
        <v>482.93513888888936</v>
      </c>
      <c r="AB12" s="230">
        <f t="shared" si="12"/>
        <v>482.93513888888936</v>
      </c>
      <c r="AC12" s="231">
        <f t="shared" si="13"/>
        <v>965.8702777777787</v>
      </c>
      <c r="AD12" s="230">
        <f>(+H12+L12)*10.875/100</f>
        <v>0</v>
      </c>
      <c r="AE12" s="231">
        <f>(+H12+L12)*8/100</f>
        <v>0</v>
      </c>
      <c r="AF12" s="230">
        <f>(+H12+L12)*0.522/100</f>
        <v>0</v>
      </c>
      <c r="AG12" s="231">
        <f>SUM(V12:AF12)</f>
        <v>873731.6134891667</v>
      </c>
      <c r="AH12" s="235"/>
      <c r="AI12" s="235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</row>
    <row r="13" spans="2:74" s="201" customFormat="1" ht="9" hidden="1">
      <c r="B13" s="226"/>
      <c r="C13" s="227"/>
      <c r="D13" s="226">
        <v>7</v>
      </c>
      <c r="E13" s="228"/>
      <c r="F13" s="229">
        <v>0.05</v>
      </c>
      <c r="G13" s="230">
        <f>+E13*(1+F13)</f>
        <v>0</v>
      </c>
      <c r="H13" s="231">
        <f t="shared" si="0"/>
        <v>0</v>
      </c>
      <c r="I13" s="234"/>
      <c r="J13" s="231">
        <f t="shared" si="1"/>
        <v>0</v>
      </c>
      <c r="K13" s="230">
        <f t="shared" si="2"/>
        <v>637032</v>
      </c>
      <c r="L13" s="231">
        <f t="shared" si="3"/>
        <v>0</v>
      </c>
      <c r="M13" s="230">
        <f t="shared" si="17"/>
        <v>26543</v>
      </c>
      <c r="N13" s="233">
        <f>(SUM(H13:M13)-I13)/24</f>
        <v>27648.958333333332</v>
      </c>
      <c r="O13" s="231">
        <f>(SUM(H13:N13)-I13)/12</f>
        <v>57601.99652777778</v>
      </c>
      <c r="P13" s="230"/>
      <c r="Q13" s="230"/>
      <c r="R13" s="230"/>
      <c r="S13" s="227" t="s">
        <v>139</v>
      </c>
      <c r="T13" s="231">
        <f>H13/180</f>
        <v>0</v>
      </c>
      <c r="U13" s="230">
        <f>((J13+K13+L13+M13)/12)*23/30</f>
        <v>42395.069444444445</v>
      </c>
      <c r="V13" s="231">
        <f>SUM(H13:U13)</f>
        <v>791221.0243055556</v>
      </c>
      <c r="W13" s="230">
        <f>(+V13-T13-I13)*8.33/100</f>
        <v>65908.71132465279</v>
      </c>
      <c r="X13" s="231">
        <f t="shared" si="18"/>
        <v>7909.045358958334</v>
      </c>
      <c r="Y13" s="231">
        <f>(+V13-O13-T13-K13-I13)*4/100</f>
        <v>3863.481111111115</v>
      </c>
      <c r="Z13" s="230">
        <f t="shared" si="10"/>
        <v>2897.610833333336</v>
      </c>
      <c r="AA13" s="231">
        <f>(+V13-O13-T13-K13-I13)*0.5/100</f>
        <v>482.93513888888936</v>
      </c>
      <c r="AB13" s="230">
        <f t="shared" si="12"/>
        <v>482.93513888888936</v>
      </c>
      <c r="AC13" s="231">
        <f t="shared" si="13"/>
        <v>965.8702777777787</v>
      </c>
      <c r="AD13" s="230">
        <f>(+H13+L13)*10.875/100</f>
        <v>0</v>
      </c>
      <c r="AE13" s="231">
        <f>(+H13+L13)*8/100</f>
        <v>0</v>
      </c>
      <c r="AF13" s="230">
        <f>(+H13+L13)*0.522/100</f>
        <v>0</v>
      </c>
      <c r="AG13" s="231">
        <f>SUM(V13:AF13)</f>
        <v>873731.6134891667</v>
      </c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</row>
    <row r="14" spans="2:74" s="201" customFormat="1" ht="9">
      <c r="B14" s="226">
        <v>1</v>
      </c>
      <c r="C14" s="227" t="s">
        <v>140</v>
      </c>
      <c r="D14" s="226">
        <v>8</v>
      </c>
      <c r="E14" s="228">
        <v>1599458</v>
      </c>
      <c r="F14" s="229">
        <v>0.058</v>
      </c>
      <c r="G14" s="230">
        <f t="shared" si="16"/>
        <v>1692226.564</v>
      </c>
      <c r="H14" s="231">
        <f t="shared" si="0"/>
        <v>20306718.768</v>
      </c>
      <c r="I14" s="234"/>
      <c r="J14" s="231">
        <f t="shared" si="1"/>
        <v>0</v>
      </c>
      <c r="K14" s="230">
        <f t="shared" si="2"/>
        <v>0</v>
      </c>
      <c r="L14" s="231">
        <f t="shared" si="3"/>
        <v>592279.2973999999</v>
      </c>
      <c r="M14" s="230">
        <f>(H14+J14+K14+L14)/24</f>
        <v>870791.5860583334</v>
      </c>
      <c r="N14" s="233">
        <f t="shared" si="4"/>
        <v>907074.5688107639</v>
      </c>
      <c r="O14" s="231">
        <f t="shared" si="5"/>
        <v>1889738.685022425</v>
      </c>
      <c r="P14" s="230"/>
      <c r="Q14" s="230"/>
      <c r="R14" s="230"/>
      <c r="S14" s="227" t="s">
        <v>140</v>
      </c>
      <c r="T14" s="231">
        <f t="shared" si="6"/>
        <v>112815.10426666666</v>
      </c>
      <c r="U14" s="230">
        <f t="shared" si="7"/>
        <v>93473.97310983796</v>
      </c>
      <c r="V14" s="231">
        <f t="shared" si="8"/>
        <v>24772891.982668027</v>
      </c>
      <c r="W14" s="230">
        <f t="shared" si="9"/>
        <v>2054184.4039708334</v>
      </c>
      <c r="X14" s="231">
        <f t="shared" si="18"/>
        <v>246502.1284765</v>
      </c>
      <c r="Y14" s="231">
        <f t="shared" si="19"/>
        <v>910813.5277351574</v>
      </c>
      <c r="Z14" s="230">
        <f t="shared" si="10"/>
        <v>683110.145801368</v>
      </c>
      <c r="AA14" s="231">
        <f t="shared" si="11"/>
        <v>113851.69096689468</v>
      </c>
      <c r="AB14" s="230">
        <f t="shared" si="12"/>
        <v>113851.69096689468</v>
      </c>
      <c r="AC14" s="231">
        <f t="shared" si="13"/>
        <v>227703.38193378935</v>
      </c>
      <c r="AD14" s="230">
        <f t="shared" si="20"/>
        <v>2272766.03961225</v>
      </c>
      <c r="AE14" s="231">
        <f t="shared" si="21"/>
        <v>1671919.845232</v>
      </c>
      <c r="AF14" s="230">
        <f t="shared" si="14"/>
        <v>109092.769901388</v>
      </c>
      <c r="AG14" s="231">
        <f t="shared" si="15"/>
        <v>33176687.6072651</v>
      </c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</row>
    <row r="15" spans="2:74" s="201" customFormat="1" ht="9">
      <c r="B15" s="226">
        <v>1</v>
      </c>
      <c r="C15" s="227" t="s">
        <v>142</v>
      </c>
      <c r="D15" s="226">
        <v>10</v>
      </c>
      <c r="E15" s="228">
        <v>1168010</v>
      </c>
      <c r="F15" s="229">
        <v>0.058</v>
      </c>
      <c r="G15" s="230">
        <f t="shared" si="16"/>
        <v>1235754.58</v>
      </c>
      <c r="H15" s="231">
        <f t="shared" si="0"/>
        <v>14829054.96</v>
      </c>
      <c r="I15" s="234"/>
      <c r="J15" s="231"/>
      <c r="K15" s="230">
        <f t="shared" si="2"/>
        <v>0</v>
      </c>
      <c r="L15" s="231">
        <f>(IF(+G15&lt;=+$L$4,(G15*0.5),(G15*0.35)))*B15</f>
        <v>432514.103</v>
      </c>
      <c r="M15" s="230">
        <f>(H15+J15+K15+L15)/24</f>
        <v>635898.7109583333</v>
      </c>
      <c r="N15" s="233">
        <f t="shared" si="4"/>
        <v>662394.4905815973</v>
      </c>
      <c r="O15" s="231">
        <f t="shared" si="5"/>
        <v>1379988.5220449944</v>
      </c>
      <c r="P15" s="230"/>
      <c r="Q15" s="230"/>
      <c r="R15" s="230"/>
      <c r="S15" s="227" t="s">
        <v>142</v>
      </c>
      <c r="T15" s="231">
        <f t="shared" si="6"/>
        <v>82383.63866666667</v>
      </c>
      <c r="U15" s="230">
        <f t="shared" si="7"/>
        <v>68259.70755844908</v>
      </c>
      <c r="V15" s="231">
        <f t="shared" si="8"/>
        <v>18090494.132810045</v>
      </c>
      <c r="W15" s="230">
        <f t="shared" si="9"/>
        <v>1500075.6041621435</v>
      </c>
      <c r="X15" s="231">
        <f t="shared" si="18"/>
        <v>180009.07249945722</v>
      </c>
      <c r="Y15" s="231">
        <f t="shared" si="19"/>
        <v>665124.8788839354</v>
      </c>
      <c r="Z15" s="230">
        <f t="shared" si="10"/>
        <v>498843.6591629516</v>
      </c>
      <c r="AA15" s="231">
        <f t="shared" si="11"/>
        <v>83140.60986049192</v>
      </c>
      <c r="AB15" s="230">
        <f t="shared" si="12"/>
        <v>83140.60986049192</v>
      </c>
      <c r="AC15" s="231">
        <f t="shared" si="13"/>
        <v>166281.21972098385</v>
      </c>
      <c r="AD15" s="230">
        <f t="shared" si="20"/>
        <v>1659695.6356012502</v>
      </c>
      <c r="AE15" s="231">
        <f t="shared" si="21"/>
        <v>1220925.52504</v>
      </c>
      <c r="AF15" s="230">
        <f t="shared" si="14"/>
        <v>79665.39050886</v>
      </c>
      <c r="AG15" s="231">
        <f t="shared" si="15"/>
        <v>24227396.338110607</v>
      </c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</row>
    <row r="16" spans="2:74" s="201" customFormat="1" ht="9" hidden="1">
      <c r="B16" s="226">
        <v>0</v>
      </c>
      <c r="C16" s="227" t="s">
        <v>143</v>
      </c>
      <c r="D16" s="226">
        <v>11</v>
      </c>
      <c r="E16" s="228">
        <v>720160</v>
      </c>
      <c r="F16" s="229">
        <v>0.058</v>
      </c>
      <c r="G16" s="230">
        <f>+E16*(1+F16)</f>
        <v>761929.28</v>
      </c>
      <c r="H16" s="231">
        <f t="shared" si="0"/>
        <v>0</v>
      </c>
      <c r="I16" s="234"/>
      <c r="J16" s="231"/>
      <c r="K16" s="230">
        <f t="shared" si="2"/>
        <v>637032</v>
      </c>
      <c r="L16" s="231">
        <f>(IF(+G16&lt;=+$L$4,(G16*0.5),(G16*0.35)))*B16</f>
        <v>0</v>
      </c>
      <c r="M16" s="230">
        <f>(H16+J16+K16+L16)/24</f>
        <v>26543</v>
      </c>
      <c r="N16" s="233">
        <f>(SUM(H16:M16)-I16)/24</f>
        <v>27648.958333333332</v>
      </c>
      <c r="O16" s="231">
        <f>(SUM(H16:N16)-I16)/12</f>
        <v>57601.99652777778</v>
      </c>
      <c r="P16" s="230"/>
      <c r="Q16" s="230"/>
      <c r="R16" s="230"/>
      <c r="S16" s="227" t="s">
        <v>142</v>
      </c>
      <c r="T16" s="231">
        <f>H16/180</f>
        <v>0</v>
      </c>
      <c r="U16" s="230">
        <f>((J16+K16+L16+M16)/12)*23/30</f>
        <v>42395.069444444445</v>
      </c>
      <c r="V16" s="231">
        <f>SUM(H16:U16)</f>
        <v>791221.0243055556</v>
      </c>
      <c r="W16" s="230">
        <f>(+V16-T16-I16)*8.33/100</f>
        <v>65908.71132465279</v>
      </c>
      <c r="X16" s="231">
        <f t="shared" si="18"/>
        <v>7909.045358958334</v>
      </c>
      <c r="Y16" s="231">
        <f>(+V16-O16-T16-K16-I16)*4/100</f>
        <v>3863.481111111115</v>
      </c>
      <c r="Z16" s="230">
        <f>(+V16-O16-T16-K16-I16)*3/100</f>
        <v>2897.610833333336</v>
      </c>
      <c r="AA16" s="231">
        <f>(+V16-O16-T16-K16-I16)*0.5/100</f>
        <v>482.93513888888936</v>
      </c>
      <c r="AB16" s="230">
        <f t="shared" si="12"/>
        <v>482.93513888888936</v>
      </c>
      <c r="AC16" s="231">
        <f t="shared" si="13"/>
        <v>965.8702777777787</v>
      </c>
      <c r="AD16" s="230">
        <f>(+H16+L16)*10.875/100</f>
        <v>0</v>
      </c>
      <c r="AE16" s="231">
        <f>(+H16+L16)*8/100</f>
        <v>0</v>
      </c>
      <c r="AF16" s="230">
        <f>(+H16+L16)*0.522/100</f>
        <v>0</v>
      </c>
      <c r="AG16" s="231">
        <f>SUM(V16:AF16)</f>
        <v>873731.6134891667</v>
      </c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</row>
    <row r="17" spans="2:74" s="201" customFormat="1" ht="9" hidden="1">
      <c r="B17" s="226"/>
      <c r="C17" s="227"/>
      <c r="D17" s="226">
        <v>12</v>
      </c>
      <c r="E17" s="228"/>
      <c r="F17" s="229">
        <v>0.058</v>
      </c>
      <c r="G17" s="230">
        <f>+E17*(1+F17)</f>
        <v>0</v>
      </c>
      <c r="H17" s="231">
        <f t="shared" si="0"/>
        <v>0</v>
      </c>
      <c r="I17" s="234"/>
      <c r="J17" s="231"/>
      <c r="K17" s="230">
        <f t="shared" si="2"/>
        <v>637032</v>
      </c>
      <c r="L17" s="231">
        <f>(IF(+G17&lt;=+$L$4,(G17*0.5),(G17*0.35)))*B17</f>
        <v>0</v>
      </c>
      <c r="M17" s="230">
        <f>(H17+J17+K17+L17)/24</f>
        <v>26543</v>
      </c>
      <c r="N17" s="233">
        <f>(SUM(H17:M17)-I17)/24</f>
        <v>27648.958333333332</v>
      </c>
      <c r="O17" s="231">
        <f>(SUM(H17:N17)-I17)/12</f>
        <v>57601.99652777778</v>
      </c>
      <c r="P17" s="230"/>
      <c r="Q17" s="230"/>
      <c r="R17" s="230"/>
      <c r="S17" s="227" t="s">
        <v>142</v>
      </c>
      <c r="T17" s="231">
        <f>H17/180</f>
        <v>0</v>
      </c>
      <c r="U17" s="230">
        <f>((J17+K17+L17+M17)/12)*23/30</f>
        <v>42395.069444444445</v>
      </c>
      <c r="V17" s="231">
        <f>SUM(H17:U17)</f>
        <v>791221.0243055556</v>
      </c>
      <c r="W17" s="230">
        <f>(+V17-T17-I17)*8.33/100</f>
        <v>65908.71132465279</v>
      </c>
      <c r="X17" s="231">
        <f t="shared" si="18"/>
        <v>7909.045358958334</v>
      </c>
      <c r="Y17" s="231">
        <f>(+V17-O17-T17-K17-I17)*4/100</f>
        <v>3863.481111111115</v>
      </c>
      <c r="Z17" s="230">
        <f>(+V17-O17-T17-K17-I17)*3/100</f>
        <v>2897.610833333336</v>
      </c>
      <c r="AA17" s="231">
        <f>(+V17-O17-T17-K17-I17)*0.5/100</f>
        <v>482.93513888888936</v>
      </c>
      <c r="AB17" s="230">
        <f t="shared" si="12"/>
        <v>482.93513888888936</v>
      </c>
      <c r="AC17" s="231">
        <f t="shared" si="13"/>
        <v>965.8702777777787</v>
      </c>
      <c r="AD17" s="230">
        <f>(+H17+L17)*10.875/100</f>
        <v>0</v>
      </c>
      <c r="AE17" s="231">
        <f>(+H17+L17)*8/100</f>
        <v>0</v>
      </c>
      <c r="AF17" s="230">
        <f>(+H17+L17)*0.522/100</f>
        <v>0</v>
      </c>
      <c r="AG17" s="231">
        <f>SUM(V17:AF17)</f>
        <v>873731.6134891667</v>
      </c>
      <c r="AH17" s="235"/>
      <c r="AI17" s="235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</row>
    <row r="18" spans="2:74" s="201" customFormat="1" ht="9" hidden="1">
      <c r="B18" s="226"/>
      <c r="C18" s="227"/>
      <c r="D18" s="226">
        <v>13</v>
      </c>
      <c r="E18" s="228"/>
      <c r="F18" s="229">
        <v>0.058</v>
      </c>
      <c r="G18" s="230">
        <f>+E18*(1+F18)</f>
        <v>0</v>
      </c>
      <c r="H18" s="231">
        <f t="shared" si="0"/>
        <v>0</v>
      </c>
      <c r="I18" s="234"/>
      <c r="J18" s="231"/>
      <c r="K18" s="230">
        <f t="shared" si="2"/>
        <v>637032</v>
      </c>
      <c r="L18" s="231">
        <f>(IF(+G18&lt;=+$L$4,(G18*0.5),(G18*0.35)))*B18</f>
        <v>0</v>
      </c>
      <c r="M18" s="230">
        <f>(H18+J18+K18+L18)/24</f>
        <v>26543</v>
      </c>
      <c r="N18" s="233">
        <f>(SUM(H18:M18)-I18)/24</f>
        <v>27648.958333333332</v>
      </c>
      <c r="O18" s="231">
        <f>(SUM(H18:N18)-I18)/12</f>
        <v>57601.99652777778</v>
      </c>
      <c r="P18" s="230"/>
      <c r="Q18" s="230"/>
      <c r="R18" s="230"/>
      <c r="S18" s="227" t="s">
        <v>142</v>
      </c>
      <c r="T18" s="231">
        <f>H18/180</f>
        <v>0</v>
      </c>
      <c r="U18" s="230">
        <f>((J18+K18+L18+M18)/12)*23/30</f>
        <v>42395.069444444445</v>
      </c>
      <c r="V18" s="231">
        <f>SUM(H18:U18)</f>
        <v>791221.0243055556</v>
      </c>
      <c r="W18" s="230">
        <f>(+V18-T18-I18)*8.33/100</f>
        <v>65908.71132465279</v>
      </c>
      <c r="X18" s="231">
        <f t="shared" si="18"/>
        <v>7909.045358958334</v>
      </c>
      <c r="Y18" s="231">
        <f>(+V18-O18-T18-K18-I18)*4/100</f>
        <v>3863.481111111115</v>
      </c>
      <c r="Z18" s="230">
        <f>(+V18-O18-T18-K18-I18)*3/100</f>
        <v>2897.610833333336</v>
      </c>
      <c r="AA18" s="231">
        <f>(+V18-O18-T18-K18-I18)*0.5/100</f>
        <v>482.93513888888936</v>
      </c>
      <c r="AB18" s="230">
        <f t="shared" si="12"/>
        <v>482.93513888888936</v>
      </c>
      <c r="AC18" s="231">
        <f t="shared" si="13"/>
        <v>965.8702777777787</v>
      </c>
      <c r="AD18" s="230">
        <f>(+H18+L18)*10.875/100</f>
        <v>0</v>
      </c>
      <c r="AE18" s="231">
        <f>(+H18+L18)*8/100</f>
        <v>0</v>
      </c>
      <c r="AF18" s="230">
        <f>(+H18+L18)*0.522/100</f>
        <v>0</v>
      </c>
      <c r="AG18" s="231">
        <f>SUM(V18:AF18)</f>
        <v>873731.6134891667</v>
      </c>
      <c r="AH18" s="235"/>
      <c r="AI18" s="235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</row>
    <row r="19" spans="2:74" s="201" customFormat="1" ht="9">
      <c r="B19" s="226">
        <v>1</v>
      </c>
      <c r="C19" s="227" t="s">
        <v>144</v>
      </c>
      <c r="D19" s="236">
        <v>14</v>
      </c>
      <c r="E19" s="228">
        <v>824584</v>
      </c>
      <c r="F19" s="229">
        <v>0.058</v>
      </c>
      <c r="G19" s="230">
        <f t="shared" si="16"/>
        <v>872409.8720000001</v>
      </c>
      <c r="H19" s="231">
        <f t="shared" si="0"/>
        <v>10468918.464000002</v>
      </c>
      <c r="I19" s="234"/>
      <c r="J19" s="231">
        <f>(IF(+G19&lt;=+$J$4,+$J$6,0))*12*B19</f>
        <v>445320</v>
      </c>
      <c r="K19" s="230">
        <f t="shared" si="2"/>
        <v>0</v>
      </c>
      <c r="L19" s="231">
        <f>(IF(+G19&lt;=+$L$4,(G19*0.5),(G19*0.35)))*B19</f>
        <v>436204.93600000005</v>
      </c>
      <c r="M19" s="230">
        <f>(SUM(H19:L19)-I19)/24</f>
        <v>472935.1416666668</v>
      </c>
      <c r="N19" s="233">
        <f t="shared" si="4"/>
        <v>492640.77256944455</v>
      </c>
      <c r="O19" s="231">
        <f t="shared" si="5"/>
        <v>1026334.9428530094</v>
      </c>
      <c r="P19" s="230"/>
      <c r="Q19" s="230"/>
      <c r="R19" s="230"/>
      <c r="S19" s="227" t="s">
        <v>144</v>
      </c>
      <c r="T19" s="231">
        <f t="shared" si="6"/>
        <v>58160.658133333345</v>
      </c>
      <c r="U19" s="230">
        <f t="shared" si="7"/>
        <v>86534.9494064815</v>
      </c>
      <c r="V19" s="231">
        <f t="shared" si="8"/>
        <v>13487049.864628939</v>
      </c>
      <c r="W19" s="230">
        <f t="shared" si="9"/>
        <v>1118626.470901084</v>
      </c>
      <c r="X19" s="231">
        <f t="shared" si="18"/>
        <v>134235.17650813007</v>
      </c>
      <c r="Y19" s="231">
        <f t="shared" si="19"/>
        <v>496102.17054570385</v>
      </c>
      <c r="Z19" s="230">
        <f t="shared" si="10"/>
        <v>372076.6279092779</v>
      </c>
      <c r="AA19" s="231">
        <f t="shared" si="11"/>
        <v>62012.77131821298</v>
      </c>
      <c r="AB19" s="230">
        <f t="shared" si="12"/>
        <v>62012.77131821298</v>
      </c>
      <c r="AC19" s="231">
        <f t="shared" si="13"/>
        <v>124025.54263642596</v>
      </c>
      <c r="AD19" s="230">
        <f t="shared" si="20"/>
        <v>1185932.1697500004</v>
      </c>
      <c r="AE19" s="231">
        <f t="shared" si="21"/>
        <v>872409.8720000002</v>
      </c>
      <c r="AF19" s="230">
        <f t="shared" si="14"/>
        <v>56924.74414800001</v>
      </c>
      <c r="AG19" s="231">
        <f t="shared" si="15"/>
        <v>17971408.18166399</v>
      </c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</row>
    <row r="20" spans="2:74" s="201" customFormat="1" ht="9" hidden="1">
      <c r="B20" s="226"/>
      <c r="C20" s="227"/>
      <c r="D20" s="226">
        <v>15</v>
      </c>
      <c r="E20" s="228"/>
      <c r="F20" s="229">
        <v>0.058</v>
      </c>
      <c r="G20" s="230">
        <f t="shared" si="16"/>
        <v>0</v>
      </c>
      <c r="H20" s="231">
        <f t="shared" si="0"/>
        <v>0</v>
      </c>
      <c r="I20" s="234"/>
      <c r="J20" s="231"/>
      <c r="K20" s="230">
        <f>(IF(+G20&lt;=+$K$4,+$K$6,0))*12*B20</f>
        <v>0</v>
      </c>
      <c r="L20" s="231">
        <f>B20*G20*0.5</f>
        <v>0</v>
      </c>
      <c r="M20" s="230">
        <f>(SUM(H20:L20)-I20)/24</f>
        <v>0</v>
      </c>
      <c r="N20" s="233">
        <f t="shared" si="4"/>
        <v>0</v>
      </c>
      <c r="O20" s="231">
        <f t="shared" si="5"/>
        <v>0</v>
      </c>
      <c r="P20" s="230"/>
      <c r="Q20" s="230"/>
      <c r="R20" s="230"/>
      <c r="S20" s="227"/>
      <c r="T20" s="231">
        <f t="shared" si="6"/>
        <v>0</v>
      </c>
      <c r="U20" s="230">
        <f t="shared" si="7"/>
        <v>0</v>
      </c>
      <c r="V20" s="231">
        <f t="shared" si="8"/>
        <v>0</v>
      </c>
      <c r="W20" s="230">
        <f t="shared" si="9"/>
        <v>0</v>
      </c>
      <c r="X20" s="231">
        <f t="shared" si="18"/>
        <v>0</v>
      </c>
      <c r="Y20" s="231">
        <f t="shared" si="19"/>
        <v>0</v>
      </c>
      <c r="Z20" s="230">
        <f t="shared" si="10"/>
        <v>0</v>
      </c>
      <c r="AA20" s="231">
        <f t="shared" si="11"/>
        <v>0</v>
      </c>
      <c r="AB20" s="230">
        <f t="shared" si="12"/>
        <v>0</v>
      </c>
      <c r="AC20" s="231">
        <f t="shared" si="13"/>
        <v>0</v>
      </c>
      <c r="AD20" s="230">
        <f t="shared" si="20"/>
        <v>0</v>
      </c>
      <c r="AE20" s="231">
        <f t="shared" si="21"/>
        <v>0</v>
      </c>
      <c r="AF20" s="230">
        <f t="shared" si="14"/>
        <v>0</v>
      </c>
      <c r="AG20" s="231">
        <f t="shared" si="15"/>
        <v>0</v>
      </c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</row>
    <row r="21" spans="2:74" s="201" customFormat="1" ht="9" hidden="1">
      <c r="B21" s="226">
        <v>0</v>
      </c>
      <c r="C21" s="227" t="s">
        <v>145</v>
      </c>
      <c r="D21" s="226">
        <v>16</v>
      </c>
      <c r="E21" s="228">
        <v>430000</v>
      </c>
      <c r="F21" s="229">
        <v>0.058</v>
      </c>
      <c r="G21" s="230">
        <f t="shared" si="16"/>
        <v>454940</v>
      </c>
      <c r="H21" s="231">
        <f t="shared" si="0"/>
        <v>0</v>
      </c>
      <c r="I21" s="234"/>
      <c r="J21" s="231"/>
      <c r="K21" s="230">
        <f>(IF(+G21&lt;=+$K$4,+$K$6,0))*12*B21</f>
        <v>0</v>
      </c>
      <c r="L21" s="231">
        <f>B21*G21*0.5</f>
        <v>0</v>
      </c>
      <c r="M21" s="230">
        <f>(SUM(H21:L21)-I21)/24</f>
        <v>0</v>
      </c>
      <c r="N21" s="233">
        <f t="shared" si="4"/>
        <v>0</v>
      </c>
      <c r="O21" s="231">
        <f t="shared" si="5"/>
        <v>0</v>
      </c>
      <c r="P21" s="230"/>
      <c r="Q21" s="230"/>
      <c r="R21" s="230"/>
      <c r="S21" s="227" t="s">
        <v>145</v>
      </c>
      <c r="T21" s="231">
        <f t="shared" si="6"/>
        <v>0</v>
      </c>
      <c r="U21" s="230">
        <f t="shared" si="7"/>
        <v>0</v>
      </c>
      <c r="V21" s="231">
        <f t="shared" si="8"/>
        <v>0</v>
      </c>
      <c r="W21" s="230">
        <f t="shared" si="9"/>
        <v>0</v>
      </c>
      <c r="X21" s="231">
        <f t="shared" si="18"/>
        <v>0</v>
      </c>
      <c r="Y21" s="231">
        <f t="shared" si="19"/>
        <v>0</v>
      </c>
      <c r="Z21" s="230">
        <f t="shared" si="10"/>
        <v>0</v>
      </c>
      <c r="AA21" s="231">
        <f t="shared" si="11"/>
        <v>0</v>
      </c>
      <c r="AB21" s="230">
        <f t="shared" si="12"/>
        <v>0</v>
      </c>
      <c r="AC21" s="231">
        <f t="shared" si="13"/>
        <v>0</v>
      </c>
      <c r="AD21" s="230">
        <f t="shared" si="20"/>
        <v>0</v>
      </c>
      <c r="AE21" s="231">
        <f t="shared" si="21"/>
        <v>0</v>
      </c>
      <c r="AF21" s="230">
        <f t="shared" si="14"/>
        <v>0</v>
      </c>
      <c r="AG21" s="231">
        <f t="shared" si="15"/>
        <v>0</v>
      </c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</row>
    <row r="22" spans="2:74" s="201" customFormat="1" ht="9" hidden="1">
      <c r="B22" s="226"/>
      <c r="C22" s="227"/>
      <c r="D22" s="226">
        <v>17</v>
      </c>
      <c r="E22" s="228"/>
      <c r="F22" s="229">
        <v>0.058</v>
      </c>
      <c r="G22" s="230">
        <f t="shared" si="16"/>
        <v>0</v>
      </c>
      <c r="H22" s="231">
        <f t="shared" si="0"/>
        <v>0</v>
      </c>
      <c r="I22" s="234"/>
      <c r="J22" s="231"/>
      <c r="K22" s="230">
        <f>(IF(+G22&lt;=+$K$4,+$K$6,0))*12*B22</f>
        <v>0</v>
      </c>
      <c r="L22" s="231">
        <f>B22*G22*0.5</f>
        <v>0</v>
      </c>
      <c r="M22" s="230">
        <f>(SUM(H22:L22)-I22)/24</f>
        <v>0</v>
      </c>
      <c r="N22" s="233">
        <f t="shared" si="4"/>
        <v>0</v>
      </c>
      <c r="O22" s="231">
        <f t="shared" si="5"/>
        <v>0</v>
      </c>
      <c r="P22" s="230"/>
      <c r="Q22" s="230"/>
      <c r="R22" s="230"/>
      <c r="S22" s="227"/>
      <c r="T22" s="231">
        <f t="shared" si="6"/>
        <v>0</v>
      </c>
      <c r="U22" s="230">
        <f t="shared" si="7"/>
        <v>0</v>
      </c>
      <c r="V22" s="231">
        <f t="shared" si="8"/>
        <v>0</v>
      </c>
      <c r="W22" s="230">
        <f t="shared" si="9"/>
        <v>0</v>
      </c>
      <c r="X22" s="231">
        <f t="shared" si="18"/>
        <v>0</v>
      </c>
      <c r="Y22" s="231">
        <f t="shared" si="19"/>
        <v>0</v>
      </c>
      <c r="Z22" s="230">
        <f t="shared" si="10"/>
        <v>0</v>
      </c>
      <c r="AA22" s="231">
        <f t="shared" si="11"/>
        <v>0</v>
      </c>
      <c r="AB22" s="230">
        <f t="shared" si="12"/>
        <v>0</v>
      </c>
      <c r="AC22" s="231">
        <f t="shared" si="13"/>
        <v>0</v>
      </c>
      <c r="AD22" s="230">
        <f t="shared" si="20"/>
        <v>0</v>
      </c>
      <c r="AE22" s="231">
        <f t="shared" si="21"/>
        <v>0</v>
      </c>
      <c r="AF22" s="230">
        <f t="shared" si="14"/>
        <v>0</v>
      </c>
      <c r="AG22" s="231">
        <f t="shared" si="15"/>
        <v>0</v>
      </c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</row>
    <row r="23" spans="2:74" s="237" customFormat="1" ht="9">
      <c r="B23" s="226">
        <v>6</v>
      </c>
      <c r="C23" s="227" t="s">
        <v>146</v>
      </c>
      <c r="D23" s="226">
        <v>18</v>
      </c>
      <c r="E23" s="228">
        <v>671169</v>
      </c>
      <c r="F23" s="229">
        <v>0.058</v>
      </c>
      <c r="G23" s="230">
        <f t="shared" si="16"/>
        <v>710096.802</v>
      </c>
      <c r="H23" s="231">
        <f t="shared" si="0"/>
        <v>51126969.744</v>
      </c>
      <c r="I23" s="234"/>
      <c r="J23" s="231">
        <f>(IF(+G23&lt;=+$J$4,+$J$6,0))*12*B23</f>
        <v>2671920</v>
      </c>
      <c r="K23" s="230">
        <f>(IF(+G23&lt;=+$K$4,+$K$6,0))*12*B23</f>
        <v>3822192</v>
      </c>
      <c r="L23" s="231">
        <f>(IF(+G23&lt;=+$L$4,(G23*0.5),(G23*0.35)))*B23</f>
        <v>2130290.406</v>
      </c>
      <c r="M23" s="230">
        <f>(H23+J23+K23+L23)/24</f>
        <v>2489640.50625</v>
      </c>
      <c r="N23" s="233">
        <f t="shared" si="4"/>
        <v>2593375.5273437505</v>
      </c>
      <c r="O23" s="231">
        <f t="shared" si="5"/>
        <v>5402865.681966146</v>
      </c>
      <c r="P23" s="230"/>
      <c r="Q23" s="230"/>
      <c r="R23" s="230"/>
      <c r="S23" s="227" t="s">
        <v>146</v>
      </c>
      <c r="T23" s="231">
        <f t="shared" si="6"/>
        <v>284038.7208</v>
      </c>
      <c r="U23" s="230">
        <f t="shared" si="7"/>
        <v>710063.8527270834</v>
      </c>
      <c r="V23" s="231">
        <f t="shared" si="8"/>
        <v>71231356.43908699</v>
      </c>
      <c r="W23" s="230">
        <f t="shared" si="9"/>
        <v>5909911.565933306</v>
      </c>
      <c r="X23" s="231">
        <f t="shared" si="18"/>
        <v>709189.3879119967</v>
      </c>
      <c r="Y23" s="231">
        <f t="shared" si="19"/>
        <v>2468890.401452834</v>
      </c>
      <c r="Z23" s="230">
        <f t="shared" si="10"/>
        <v>1851667.8010896253</v>
      </c>
      <c r="AA23" s="231">
        <f t="shared" si="11"/>
        <v>308611.3001816042</v>
      </c>
      <c r="AB23" s="230">
        <f t="shared" si="12"/>
        <v>308611.3001816042</v>
      </c>
      <c r="AC23" s="231">
        <f t="shared" si="13"/>
        <v>617222.6003632084</v>
      </c>
      <c r="AD23" s="230">
        <f t="shared" si="20"/>
        <v>5791727.0413125</v>
      </c>
      <c r="AE23" s="231">
        <f t="shared" si="21"/>
        <v>4260580.812000001</v>
      </c>
      <c r="AF23" s="230">
        <f t="shared" si="14"/>
        <v>278002.89798300003</v>
      </c>
      <c r="AG23" s="231">
        <f t="shared" si="15"/>
        <v>93735771.54749666</v>
      </c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</row>
    <row r="24" spans="2:74" s="201" customFormat="1" ht="9.75" thickBot="1">
      <c r="B24" s="226">
        <v>2</v>
      </c>
      <c r="C24" s="227" t="s">
        <v>148</v>
      </c>
      <c r="D24" s="226">
        <v>21</v>
      </c>
      <c r="E24" s="228">
        <v>519269</v>
      </c>
      <c r="F24" s="229">
        <v>0.058</v>
      </c>
      <c r="G24" s="230">
        <f t="shared" si="16"/>
        <v>549386.6020000001</v>
      </c>
      <c r="H24" s="231">
        <f t="shared" si="0"/>
        <v>13185278.448000003</v>
      </c>
      <c r="I24" s="234"/>
      <c r="J24" s="231">
        <f>(IF(+G24&lt;=+$J$4,+$J$6,0))*12*B24</f>
        <v>890640</v>
      </c>
      <c r="K24" s="230">
        <f>(IF(+G24&lt;=+$K$4,+$K$6,0))*12*B24</f>
        <v>1274064</v>
      </c>
      <c r="L24" s="231">
        <f>(IF(+G24&lt;=+$L$4,(G24*0.5),(G24*0.35)))*B24</f>
        <v>549386.6020000001</v>
      </c>
      <c r="M24" s="230">
        <f>(H24+J24+K24+L24)/24</f>
        <v>662473.7104166668</v>
      </c>
      <c r="N24" s="233">
        <f t="shared" si="4"/>
        <v>690076.7816840279</v>
      </c>
      <c r="O24" s="231">
        <f t="shared" si="5"/>
        <v>1437659.9618417248</v>
      </c>
      <c r="P24" s="230"/>
      <c r="Q24" s="230"/>
      <c r="R24" s="230"/>
      <c r="S24" s="227" t="s">
        <v>148</v>
      </c>
      <c r="T24" s="238">
        <f t="shared" si="6"/>
        <v>73251.54693333335</v>
      </c>
      <c r="U24" s="230">
        <f t="shared" si="7"/>
        <v>215724.9421821759</v>
      </c>
      <c r="V24" s="231">
        <f t="shared" si="8"/>
        <v>18978555.993057933</v>
      </c>
      <c r="W24" s="230">
        <f t="shared" si="9"/>
        <v>1574811.8603621789</v>
      </c>
      <c r="X24" s="231">
        <f t="shared" si="18"/>
        <v>188977.42324346147</v>
      </c>
      <c r="Y24" s="231">
        <f t="shared" si="19"/>
        <v>647743.219371315</v>
      </c>
      <c r="Z24" s="230">
        <f t="shared" si="10"/>
        <v>485807.4145284862</v>
      </c>
      <c r="AA24" s="231">
        <f t="shared" si="11"/>
        <v>80967.90242141437</v>
      </c>
      <c r="AB24" s="230">
        <f t="shared" si="12"/>
        <v>80967.90242141437</v>
      </c>
      <c r="AC24" s="231">
        <f t="shared" si="13"/>
        <v>161935.80484282874</v>
      </c>
      <c r="AD24" s="230">
        <f t="shared" si="20"/>
        <v>1493644.8241875002</v>
      </c>
      <c r="AE24" s="231">
        <f t="shared" si="21"/>
        <v>1098773.2040000001</v>
      </c>
      <c r="AF24" s="230">
        <f t="shared" si="14"/>
        <v>71694.95156100001</v>
      </c>
      <c r="AG24" s="231">
        <f t="shared" si="15"/>
        <v>24863880.499997534</v>
      </c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</row>
    <row r="25" spans="2:74" s="201" customFormat="1" ht="9.75" hidden="1" thickBot="1">
      <c r="B25" s="226">
        <v>0</v>
      </c>
      <c r="C25" s="227" t="s">
        <v>149</v>
      </c>
      <c r="D25" s="226">
        <v>22</v>
      </c>
      <c r="E25" s="228">
        <v>260100</v>
      </c>
      <c r="F25" s="229">
        <v>0.04</v>
      </c>
      <c r="G25" s="230">
        <f t="shared" si="16"/>
        <v>270504</v>
      </c>
      <c r="H25" s="231">
        <f t="shared" si="0"/>
        <v>0</v>
      </c>
      <c r="I25" s="234"/>
      <c r="J25" s="231"/>
      <c r="K25" s="230"/>
      <c r="L25" s="231">
        <f>B25*G25*0.5</f>
        <v>0</v>
      </c>
      <c r="M25" s="230">
        <f>(SUM(H25:L25)-I25)/24</f>
        <v>0</v>
      </c>
      <c r="N25" s="233">
        <f t="shared" si="4"/>
        <v>0</v>
      </c>
      <c r="O25" s="231">
        <f t="shared" si="5"/>
        <v>0</v>
      </c>
      <c r="P25" s="230"/>
      <c r="Q25" s="230"/>
      <c r="R25" s="230"/>
      <c r="S25" s="227" t="s">
        <v>149</v>
      </c>
      <c r="T25" s="231">
        <f t="shared" si="6"/>
        <v>0</v>
      </c>
      <c r="U25" s="230">
        <f t="shared" si="7"/>
        <v>0</v>
      </c>
      <c r="V25" s="231">
        <f t="shared" si="8"/>
        <v>0</v>
      </c>
      <c r="W25" s="230">
        <f t="shared" si="9"/>
        <v>0</v>
      </c>
      <c r="X25" s="231"/>
      <c r="Y25" s="231">
        <f>(+V25-O25-T25-K25-I25)*4/100</f>
        <v>0</v>
      </c>
      <c r="Z25" s="230">
        <f t="shared" si="10"/>
        <v>0</v>
      </c>
      <c r="AA25" s="231">
        <f t="shared" si="11"/>
        <v>0</v>
      </c>
      <c r="AB25" s="230">
        <f t="shared" si="12"/>
        <v>0</v>
      </c>
      <c r="AC25" s="231">
        <f t="shared" si="13"/>
        <v>0</v>
      </c>
      <c r="AD25" s="230">
        <f t="shared" si="20"/>
        <v>0</v>
      </c>
      <c r="AE25" s="231">
        <f t="shared" si="21"/>
        <v>0</v>
      </c>
      <c r="AF25" s="230">
        <f t="shared" si="14"/>
        <v>0</v>
      </c>
      <c r="AG25" s="231">
        <f t="shared" si="15"/>
        <v>0</v>
      </c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</row>
    <row r="26" spans="2:74" s="201" customFormat="1" ht="9.75" hidden="1" thickBot="1">
      <c r="B26" s="226">
        <v>0</v>
      </c>
      <c r="C26" s="227" t="s">
        <v>150</v>
      </c>
      <c r="D26" s="226" t="s">
        <v>151</v>
      </c>
      <c r="E26" s="228">
        <v>436347</v>
      </c>
      <c r="F26" s="229">
        <v>0.04</v>
      </c>
      <c r="G26" s="230">
        <f t="shared" si="16"/>
        <v>453800.88</v>
      </c>
      <c r="H26" s="231">
        <f t="shared" si="0"/>
        <v>0</v>
      </c>
      <c r="I26" s="234"/>
      <c r="J26" s="231"/>
      <c r="K26" s="230"/>
      <c r="L26" s="231">
        <f>B26*G26*0.5</f>
        <v>0</v>
      </c>
      <c r="M26" s="230">
        <f>(H26+J26+K26+L26)/24</f>
        <v>0</v>
      </c>
      <c r="N26" s="233">
        <f t="shared" si="4"/>
        <v>0</v>
      </c>
      <c r="O26" s="231">
        <f t="shared" si="5"/>
        <v>0</v>
      </c>
      <c r="P26" s="230"/>
      <c r="Q26" s="230"/>
      <c r="R26" s="230"/>
      <c r="S26" s="227" t="s">
        <v>150</v>
      </c>
      <c r="T26" s="231">
        <f t="shared" si="6"/>
        <v>0</v>
      </c>
      <c r="U26" s="230">
        <f t="shared" si="7"/>
        <v>0</v>
      </c>
      <c r="V26" s="231">
        <f t="shared" si="8"/>
        <v>0</v>
      </c>
      <c r="W26" s="230">
        <f t="shared" si="9"/>
        <v>0</v>
      </c>
      <c r="X26" s="231"/>
      <c r="Y26" s="231">
        <f>(+V26-O26-T26-K26)*4/100</f>
        <v>0</v>
      </c>
      <c r="Z26" s="230">
        <f t="shared" si="10"/>
        <v>0</v>
      </c>
      <c r="AA26" s="231">
        <f t="shared" si="11"/>
        <v>0</v>
      </c>
      <c r="AB26" s="230">
        <f t="shared" si="12"/>
        <v>0</v>
      </c>
      <c r="AC26" s="231">
        <f t="shared" si="13"/>
        <v>0</v>
      </c>
      <c r="AD26" s="230">
        <f t="shared" si="20"/>
        <v>0</v>
      </c>
      <c r="AE26" s="231">
        <f t="shared" si="21"/>
        <v>0</v>
      </c>
      <c r="AF26" s="230">
        <f t="shared" si="14"/>
        <v>0</v>
      </c>
      <c r="AG26" s="231">
        <f t="shared" si="15"/>
        <v>0</v>
      </c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</row>
    <row r="27" spans="2:74" s="249" customFormat="1" ht="9.75" thickBot="1">
      <c r="B27" s="239">
        <f>SUM(B7:B26)</f>
        <v>16</v>
      </c>
      <c r="C27" s="240" t="s">
        <v>152</v>
      </c>
      <c r="D27" s="241"/>
      <c r="E27" s="242">
        <f>SUM(E7:E26)</f>
        <v>10910810</v>
      </c>
      <c r="F27" s="242"/>
      <c r="G27" s="242">
        <f aca="true" t="shared" si="22" ref="G27:O27">SUM(G7:G26)</f>
        <v>11531100.934</v>
      </c>
      <c r="H27" s="243">
        <f t="shared" si="22"/>
        <v>235779713.97600007</v>
      </c>
      <c r="I27" s="243">
        <f t="shared" si="22"/>
        <v>20000000</v>
      </c>
      <c r="J27" s="243">
        <f t="shared" si="22"/>
        <v>4007880</v>
      </c>
      <c r="K27" s="242">
        <f t="shared" si="22"/>
        <v>10192512</v>
      </c>
      <c r="L27" s="243">
        <f t="shared" si="22"/>
        <v>7811672.907499999</v>
      </c>
      <c r="M27" s="242">
        <f t="shared" si="22"/>
        <v>10741324.120145835</v>
      </c>
      <c r="N27" s="244">
        <f t="shared" si="22"/>
        <v>11188879.291818576</v>
      </c>
      <c r="O27" s="245">
        <f t="shared" si="22"/>
        <v>23310165.191288702</v>
      </c>
      <c r="P27" s="246"/>
      <c r="Q27" s="246"/>
      <c r="R27" s="246"/>
      <c r="S27" s="240" t="s">
        <v>152</v>
      </c>
      <c r="T27" s="243">
        <f aca="true" t="shared" si="23" ref="T27:AF27">SUM(T7:T26)</f>
        <v>1309887.2998666668</v>
      </c>
      <c r="U27" s="242">
        <f t="shared" si="23"/>
        <v>2092577.6323218178</v>
      </c>
      <c r="V27" s="243">
        <f t="shared" si="23"/>
        <v>326434612.41894156</v>
      </c>
      <c r="W27" s="242">
        <f t="shared" si="23"/>
        <v>25416889.602418944</v>
      </c>
      <c r="X27" s="242">
        <f t="shared" si="23"/>
        <v>3050026.752290274</v>
      </c>
      <c r="Y27" s="243">
        <f t="shared" si="23"/>
        <v>10864881.917111449</v>
      </c>
      <c r="Z27" s="242">
        <f t="shared" si="23"/>
        <v>8148661.437833584</v>
      </c>
      <c r="AA27" s="243">
        <f t="shared" si="23"/>
        <v>1358110.2396389311</v>
      </c>
      <c r="AB27" s="242">
        <f t="shared" si="23"/>
        <v>1358110.2396389311</v>
      </c>
      <c r="AC27" s="243">
        <f t="shared" si="23"/>
        <v>2716220.4792778622</v>
      </c>
      <c r="AD27" s="242">
        <f t="shared" si="23"/>
        <v>26490563.323580626</v>
      </c>
      <c r="AE27" s="243">
        <f t="shared" si="23"/>
        <v>19487310.95068</v>
      </c>
      <c r="AF27" s="242">
        <f t="shared" si="23"/>
        <v>1271547.03953187</v>
      </c>
      <c r="AG27" s="243">
        <f>SUM(AG7:AG26)</f>
        <v>426596934.4009442</v>
      </c>
      <c r="AH27" s="247"/>
      <c r="AI27" s="247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</row>
    <row r="28" spans="2:74" s="249" customFormat="1" ht="9">
      <c r="B28" s="250"/>
      <c r="C28" s="251"/>
      <c r="D28" s="252"/>
      <c r="E28" s="253"/>
      <c r="F28" s="254"/>
      <c r="G28" s="246"/>
      <c r="H28" s="255"/>
      <c r="I28" s="246"/>
      <c r="J28" s="256"/>
      <c r="K28" s="246"/>
      <c r="L28" s="256"/>
      <c r="M28" s="246"/>
      <c r="N28" s="257"/>
      <c r="O28" s="256"/>
      <c r="P28" s="246"/>
      <c r="Q28" s="246"/>
      <c r="R28" s="246"/>
      <c r="S28" s="251"/>
      <c r="T28" s="256"/>
      <c r="U28" s="246"/>
      <c r="V28" s="256"/>
      <c r="W28" s="246"/>
      <c r="X28" s="246"/>
      <c r="Y28" s="256"/>
      <c r="Z28" s="246"/>
      <c r="AA28" s="256"/>
      <c r="AB28" s="246"/>
      <c r="AC28" s="256"/>
      <c r="AD28" s="246"/>
      <c r="AE28" s="256"/>
      <c r="AF28" s="246"/>
      <c r="AG28" s="256"/>
      <c r="AH28" s="247"/>
      <c r="AI28" s="247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</row>
    <row r="29" spans="2:74" s="249" customFormat="1" ht="9">
      <c r="B29" s="250"/>
      <c r="C29" s="251"/>
      <c r="D29" s="252"/>
      <c r="E29" s="253"/>
      <c r="F29" s="254"/>
      <c r="G29" s="246"/>
      <c r="H29" s="255"/>
      <c r="I29" s="246"/>
      <c r="J29" s="256"/>
      <c r="K29" s="246"/>
      <c r="L29" s="256"/>
      <c r="M29" s="246"/>
      <c r="N29" s="257"/>
      <c r="O29" s="257"/>
      <c r="P29" s="246"/>
      <c r="Q29" s="246"/>
      <c r="R29" s="246"/>
      <c r="S29" s="251"/>
      <c r="T29" s="256"/>
      <c r="U29" s="246"/>
      <c r="V29" s="256"/>
      <c r="W29" s="246"/>
      <c r="X29" s="246"/>
      <c r="Y29" s="256"/>
      <c r="Z29" s="246"/>
      <c r="AA29" s="256"/>
      <c r="AB29" s="246"/>
      <c r="AC29" s="256"/>
      <c r="AD29" s="246"/>
      <c r="AE29" s="256"/>
      <c r="AF29" s="246"/>
      <c r="AG29" s="256"/>
      <c r="AH29" s="247"/>
      <c r="AI29" s="247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</row>
    <row r="30" spans="2:74" s="215" customFormat="1" ht="9">
      <c r="B30" s="209" t="s">
        <v>93</v>
      </c>
      <c r="C30" s="210" t="s">
        <v>94</v>
      </c>
      <c r="D30" s="209" t="s">
        <v>95</v>
      </c>
      <c r="E30" s="211" t="s">
        <v>96</v>
      </c>
      <c r="F30" s="212" t="s">
        <v>97</v>
      </c>
      <c r="G30" s="211" t="s">
        <v>98</v>
      </c>
      <c r="H30" s="209" t="s">
        <v>99</v>
      </c>
      <c r="I30" s="210" t="s">
        <v>153</v>
      </c>
      <c r="J30" s="209" t="s">
        <v>101</v>
      </c>
      <c r="K30" s="210" t="s">
        <v>102</v>
      </c>
      <c r="L30" s="209" t="s">
        <v>103</v>
      </c>
      <c r="M30" s="210" t="s">
        <v>104</v>
      </c>
      <c r="N30" s="213" t="s">
        <v>105</v>
      </c>
      <c r="O30" s="213" t="s">
        <v>106</v>
      </c>
      <c r="P30" s="258"/>
      <c r="Q30" s="225"/>
      <c r="R30" s="225"/>
      <c r="S30" s="210" t="s">
        <v>94</v>
      </c>
      <c r="T30" s="209" t="s">
        <v>107</v>
      </c>
      <c r="U30" s="210" t="s">
        <v>108</v>
      </c>
      <c r="V30" s="209" t="s">
        <v>109</v>
      </c>
      <c r="W30" s="210" t="s">
        <v>110</v>
      </c>
      <c r="X30" s="210"/>
      <c r="Y30" s="209" t="s">
        <v>111</v>
      </c>
      <c r="Z30" s="210" t="s">
        <v>112</v>
      </c>
      <c r="AA30" s="209" t="s">
        <v>113</v>
      </c>
      <c r="AB30" s="210" t="s">
        <v>114</v>
      </c>
      <c r="AC30" s="209" t="s">
        <v>115</v>
      </c>
      <c r="AD30" s="210" t="s">
        <v>116</v>
      </c>
      <c r="AE30" s="209" t="s">
        <v>117</v>
      </c>
      <c r="AF30" s="210" t="s">
        <v>118</v>
      </c>
      <c r="AG30" s="209" t="s">
        <v>109</v>
      </c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</row>
    <row r="31" spans="2:74" s="215" customFormat="1" ht="9.75" thickBot="1">
      <c r="B31" s="216" t="s">
        <v>119</v>
      </c>
      <c r="C31" s="217"/>
      <c r="D31" s="216" t="s">
        <v>154</v>
      </c>
      <c r="E31" s="218" t="s">
        <v>299</v>
      </c>
      <c r="F31" s="219"/>
      <c r="G31" s="218">
        <v>2009</v>
      </c>
      <c r="H31" s="216" t="s">
        <v>122</v>
      </c>
      <c r="I31" s="217" t="s">
        <v>122</v>
      </c>
      <c r="J31" s="220"/>
      <c r="K31" s="221"/>
      <c r="L31" s="216" t="s">
        <v>124</v>
      </c>
      <c r="M31" s="222" t="s">
        <v>125</v>
      </c>
      <c r="N31" s="223" t="s">
        <v>126</v>
      </c>
      <c r="O31" s="259" t="s">
        <v>127</v>
      </c>
      <c r="P31" s="258"/>
      <c r="Q31" s="225"/>
      <c r="R31" s="225"/>
      <c r="S31" s="217"/>
      <c r="T31" s="216" t="s">
        <v>128</v>
      </c>
      <c r="U31" s="222" t="s">
        <v>126</v>
      </c>
      <c r="V31" s="216" t="s">
        <v>129</v>
      </c>
      <c r="W31" s="222" t="s">
        <v>130</v>
      </c>
      <c r="X31" s="222"/>
      <c r="Y31" s="216" t="s">
        <v>131</v>
      </c>
      <c r="Z31" s="222" t="s">
        <v>132</v>
      </c>
      <c r="AA31" s="216" t="s">
        <v>133</v>
      </c>
      <c r="AB31" s="222" t="s">
        <v>134</v>
      </c>
      <c r="AC31" s="216" t="s">
        <v>135</v>
      </c>
      <c r="AD31" s="222"/>
      <c r="AE31" s="216"/>
      <c r="AF31" s="222" t="s">
        <v>136</v>
      </c>
      <c r="AG31" s="216" t="s">
        <v>137</v>
      </c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</row>
    <row r="32" spans="2:74" s="201" customFormat="1" ht="9" hidden="1">
      <c r="B32" s="260"/>
      <c r="C32" s="198"/>
      <c r="D32" s="261"/>
      <c r="E32" s="199"/>
      <c r="F32" s="262"/>
      <c r="G32" s="198"/>
      <c r="H32" s="261"/>
      <c r="I32" s="198"/>
      <c r="J32" s="261"/>
      <c r="K32" s="198"/>
      <c r="L32" s="261"/>
      <c r="M32" s="198"/>
      <c r="N32" s="263"/>
      <c r="O32" s="263"/>
      <c r="P32" s="263"/>
      <c r="Q32" s="234"/>
      <c r="R32" s="234"/>
      <c r="S32" s="198"/>
      <c r="T32" s="261"/>
      <c r="U32" s="198"/>
      <c r="V32" s="261"/>
      <c r="W32" s="198"/>
      <c r="X32" s="198"/>
      <c r="Y32" s="261"/>
      <c r="Z32" s="198"/>
      <c r="AA32" s="261"/>
      <c r="AB32" s="198"/>
      <c r="AC32" s="261"/>
      <c r="AD32" s="198"/>
      <c r="AE32" s="261"/>
      <c r="AF32" s="198"/>
      <c r="AG32" s="261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</row>
    <row r="33" spans="2:74" s="208" customFormat="1" ht="9" hidden="1">
      <c r="B33" s="264" t="s">
        <v>93</v>
      </c>
      <c r="C33" s="265" t="s">
        <v>94</v>
      </c>
      <c r="D33" s="264" t="s">
        <v>95</v>
      </c>
      <c r="E33" s="266" t="s">
        <v>96</v>
      </c>
      <c r="F33" s="267" t="s">
        <v>97</v>
      </c>
      <c r="G33" s="265" t="s">
        <v>96</v>
      </c>
      <c r="H33" s="264" t="s">
        <v>99</v>
      </c>
      <c r="I33" s="265" t="s">
        <v>100</v>
      </c>
      <c r="J33" s="264" t="s">
        <v>101</v>
      </c>
      <c r="K33" s="265" t="s">
        <v>102</v>
      </c>
      <c r="L33" s="264" t="s">
        <v>103</v>
      </c>
      <c r="M33" s="265" t="s">
        <v>104</v>
      </c>
      <c r="N33" s="268" t="s">
        <v>105</v>
      </c>
      <c r="O33" s="269" t="s">
        <v>106</v>
      </c>
      <c r="P33" s="269"/>
      <c r="Q33" s="270"/>
      <c r="R33" s="270"/>
      <c r="S33" s="265" t="s">
        <v>94</v>
      </c>
      <c r="T33" s="264" t="s">
        <v>107</v>
      </c>
      <c r="U33" s="265" t="s">
        <v>108</v>
      </c>
      <c r="V33" s="264" t="s">
        <v>109</v>
      </c>
      <c r="W33" s="265" t="s">
        <v>110</v>
      </c>
      <c r="X33" s="265"/>
      <c r="Y33" s="264" t="s">
        <v>111</v>
      </c>
      <c r="Z33" s="265" t="s">
        <v>112</v>
      </c>
      <c r="AA33" s="264" t="s">
        <v>113</v>
      </c>
      <c r="AB33" s="265" t="s">
        <v>114</v>
      </c>
      <c r="AC33" s="264" t="s">
        <v>115</v>
      </c>
      <c r="AD33" s="265" t="s">
        <v>116</v>
      </c>
      <c r="AE33" s="264" t="s">
        <v>117</v>
      </c>
      <c r="AF33" s="265" t="s">
        <v>118</v>
      </c>
      <c r="AG33" s="264" t="s">
        <v>109</v>
      </c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</row>
    <row r="34" spans="2:74" s="208" customFormat="1" ht="9.75" hidden="1" thickBot="1">
      <c r="B34" s="271" t="s">
        <v>119</v>
      </c>
      <c r="C34" s="272"/>
      <c r="D34" s="271" t="s">
        <v>154</v>
      </c>
      <c r="E34" s="273" t="s">
        <v>121</v>
      </c>
      <c r="F34" s="274"/>
      <c r="G34" s="275" t="s">
        <v>155</v>
      </c>
      <c r="H34" s="271" t="s">
        <v>122</v>
      </c>
      <c r="I34" s="272" t="s">
        <v>156</v>
      </c>
      <c r="J34" s="276">
        <f>21451*1.062</f>
        <v>22780.962</v>
      </c>
      <c r="K34" s="277">
        <f>26413*1.09</f>
        <v>28790.170000000002</v>
      </c>
      <c r="L34" s="271" t="s">
        <v>124</v>
      </c>
      <c r="M34" s="275" t="s">
        <v>125</v>
      </c>
      <c r="N34" s="278" t="s">
        <v>126</v>
      </c>
      <c r="O34" s="269" t="s">
        <v>127</v>
      </c>
      <c r="P34" s="269"/>
      <c r="Q34" s="270"/>
      <c r="R34" s="270"/>
      <c r="S34" s="272"/>
      <c r="T34" s="271" t="s">
        <v>128</v>
      </c>
      <c r="U34" s="275" t="s">
        <v>126</v>
      </c>
      <c r="V34" s="271" t="s">
        <v>129</v>
      </c>
      <c r="W34" s="275" t="s">
        <v>130</v>
      </c>
      <c r="X34" s="275"/>
      <c r="Y34" s="271" t="s">
        <v>131</v>
      </c>
      <c r="Z34" s="275" t="s">
        <v>132</v>
      </c>
      <c r="AA34" s="271" t="s">
        <v>133</v>
      </c>
      <c r="AB34" s="275" t="s">
        <v>134</v>
      </c>
      <c r="AC34" s="271" t="s">
        <v>135</v>
      </c>
      <c r="AD34" s="275"/>
      <c r="AE34" s="271"/>
      <c r="AF34" s="275" t="s">
        <v>136</v>
      </c>
      <c r="AG34" s="271" t="s">
        <v>137</v>
      </c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</row>
    <row r="35" spans="2:74" s="201" customFormat="1" ht="9">
      <c r="B35" s="226">
        <v>1</v>
      </c>
      <c r="C35" s="227" t="s">
        <v>157</v>
      </c>
      <c r="D35" s="226">
        <v>1</v>
      </c>
      <c r="E35" s="228">
        <v>2404425</v>
      </c>
      <c r="F35" s="229">
        <v>0.058</v>
      </c>
      <c r="G35" s="230">
        <f>+E35*(1+F35)</f>
        <v>2543881.65</v>
      </c>
      <c r="H35" s="231">
        <f>B35*G35*12</f>
        <v>30526579.799999997</v>
      </c>
      <c r="I35" s="234"/>
      <c r="J35" s="231">
        <f>(IF(+G35&lt;=+$J$4,+$J$6,0))*12*B35</f>
        <v>0</v>
      </c>
      <c r="K35" s="230">
        <f>(IF(+G35&lt;=+$K$4,+$K$6,0))*12</f>
        <v>0</v>
      </c>
      <c r="L35" s="231">
        <f>(IF(+G35&lt;=+$L$4,(G35*0.5),(G35*0.35)))*B35</f>
        <v>890358.5774999999</v>
      </c>
      <c r="M35" s="230">
        <f>(SUM(H35:L35)-I35)/24</f>
        <v>1309039.0990624998</v>
      </c>
      <c r="N35" s="233">
        <f>(SUM(H35:M35)-I35)/24</f>
        <v>1363582.3948567708</v>
      </c>
      <c r="O35" s="233">
        <f>(SUM(H35:N35)-I35)/12</f>
        <v>2840796.6559516056</v>
      </c>
      <c r="P35" s="233"/>
      <c r="Q35" s="230"/>
      <c r="R35" s="230"/>
      <c r="S35" s="227" t="s">
        <v>157</v>
      </c>
      <c r="T35" s="231">
        <f>H35/180</f>
        <v>169592.11</v>
      </c>
      <c r="U35" s="230">
        <f>((J35+K35+L35+M35)/12)*23/30</f>
        <v>140517.07378038194</v>
      </c>
      <c r="V35" s="231">
        <f>SUM(H35:U35)</f>
        <v>37240465.71115125</v>
      </c>
      <c r="W35" s="230">
        <f>(+V35-T35-I35)*8.33/100</f>
        <v>3088003.770975899</v>
      </c>
      <c r="X35" s="230">
        <f>W35*12%</f>
        <v>370560.4525171079</v>
      </c>
      <c r="Y35" s="231">
        <f>(+V35-O35-T35-K35-I35)*4/100</f>
        <v>1369203.077807986</v>
      </c>
      <c r="Z35" s="230">
        <f>(+V35-O35-T35-K35-I35)*3/100</f>
        <v>1026902.3083559894</v>
      </c>
      <c r="AA35" s="231">
        <f>(+V35-O35-T35-K35-I35)*0.5/100</f>
        <v>171150.38472599824</v>
      </c>
      <c r="AB35" s="230">
        <f>+AA35</f>
        <v>171150.38472599824</v>
      </c>
      <c r="AC35" s="231">
        <f>+AB35*2</f>
        <v>342300.7694519965</v>
      </c>
      <c r="AD35" s="230">
        <f>(+H35+L35)*10.875/100</f>
        <v>3416592.0485531245</v>
      </c>
      <c r="AE35" s="231">
        <f>(+H35+L35)*8/100</f>
        <v>2513355.0702</v>
      </c>
      <c r="AF35" s="230">
        <f>(+H35+L35)*0.522/100</f>
        <v>163996.41833055</v>
      </c>
      <c r="AG35" s="231">
        <f>SUM(V35:AF35)</f>
        <v>49873680.396795884</v>
      </c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</row>
    <row r="36" spans="2:74" s="237" customFormat="1" ht="9">
      <c r="B36" s="226">
        <v>1</v>
      </c>
      <c r="C36" s="227" t="s">
        <v>146</v>
      </c>
      <c r="D36" s="226">
        <v>2</v>
      </c>
      <c r="E36" s="228">
        <v>811363</v>
      </c>
      <c r="F36" s="229">
        <v>0.058</v>
      </c>
      <c r="G36" s="230">
        <f>+E36*(1+F36)</f>
        <v>858422.054</v>
      </c>
      <c r="H36" s="231">
        <f>B36*G36*12</f>
        <v>10301064.648</v>
      </c>
      <c r="I36" s="234"/>
      <c r="J36" s="231">
        <f>(IF(+G36&lt;=+$J$4,+$J$6,0))*12*B36</f>
        <v>445320</v>
      </c>
      <c r="K36" s="230">
        <f>(IF(+G36&lt;=+$K$4,+$K$6,0))*12*B36</f>
        <v>637032</v>
      </c>
      <c r="L36" s="231">
        <f>(IF(+G36&lt;=+$L$4,(G36*0.5),(G36*0.35)))*B36</f>
        <v>429211.027</v>
      </c>
      <c r="M36" s="230">
        <f>(SUM(H36:L36)-I36)/24</f>
        <v>492192.8197916667</v>
      </c>
      <c r="N36" s="233">
        <f>(SUM(H36:M36)-I36)/24</f>
        <v>512700.8539496528</v>
      </c>
      <c r="O36" s="233">
        <f>(SUM(H36:N36)-I36)/12</f>
        <v>1068126.7790617768</v>
      </c>
      <c r="P36" s="233"/>
      <c r="Q36" s="230"/>
      <c r="R36" s="230"/>
      <c r="S36" s="227" t="s">
        <v>146</v>
      </c>
      <c r="T36" s="231">
        <f>H36/180</f>
        <v>57228.136933333335</v>
      </c>
      <c r="U36" s="230">
        <f>((J36+K36+L36+M36)/12)*23/30</f>
        <v>128017.73465613426</v>
      </c>
      <c r="V36" s="231">
        <f>SUM(H36:U36)</f>
        <v>14070893.999392567</v>
      </c>
      <c r="W36" s="230">
        <f>(+V36-T36-I36)*8.33/100</f>
        <v>1167338.366342854</v>
      </c>
      <c r="X36" s="230">
        <f>W36*12%</f>
        <v>140080.60396114248</v>
      </c>
      <c r="Y36" s="231">
        <f>(+V36-O36-T36-K36-I36)*4/100</f>
        <v>492340.28333589825</v>
      </c>
      <c r="Z36" s="230">
        <f>(+V36-O36-T36-K36-I36)*3/100</f>
        <v>369255.21250192367</v>
      </c>
      <c r="AA36" s="231">
        <f>(+V36-O36-T36-K36-I36)*0.5/100</f>
        <v>61542.53541698728</v>
      </c>
      <c r="AB36" s="230">
        <f>+AA36</f>
        <v>61542.53541698728</v>
      </c>
      <c r="AC36" s="231">
        <f>+AB36*2</f>
        <v>123085.07083397456</v>
      </c>
      <c r="AD36" s="230">
        <f>(+H36+L36)*10.875/100</f>
        <v>1166917.47965625</v>
      </c>
      <c r="AE36" s="231">
        <f>(+H36+L36)*8/100</f>
        <v>858422.054</v>
      </c>
      <c r="AF36" s="230">
        <f>(+H36+L36)*0.522/100</f>
        <v>56012.03902350001</v>
      </c>
      <c r="AG36" s="231">
        <f>SUM(V36:AF36)</f>
        <v>18567430.179882087</v>
      </c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</row>
    <row r="37" spans="2:74" s="249" customFormat="1" ht="9">
      <c r="B37" s="239">
        <f>SUM(B35:B36)</f>
        <v>2</v>
      </c>
      <c r="C37" s="240" t="s">
        <v>158</v>
      </c>
      <c r="D37" s="241"/>
      <c r="E37" s="279"/>
      <c r="F37" s="280"/>
      <c r="G37" s="242">
        <f>SUM(G35:G36)</f>
        <v>3402303.704</v>
      </c>
      <c r="H37" s="243">
        <f aca="true" t="shared" si="24" ref="H37:AF37">SUM(H35:H36)</f>
        <v>40827644.448</v>
      </c>
      <c r="I37" s="242">
        <f t="shared" si="24"/>
        <v>0</v>
      </c>
      <c r="J37" s="243">
        <f>SUM(J35:J36)</f>
        <v>445320</v>
      </c>
      <c r="K37" s="242">
        <f t="shared" si="24"/>
        <v>637032</v>
      </c>
      <c r="L37" s="243">
        <f t="shared" si="24"/>
        <v>1319569.6045</v>
      </c>
      <c r="M37" s="242">
        <f t="shared" si="24"/>
        <v>1801231.9188541665</v>
      </c>
      <c r="N37" s="244">
        <f t="shared" si="24"/>
        <v>1876283.2488064235</v>
      </c>
      <c r="O37" s="244">
        <f t="shared" si="24"/>
        <v>3908923.4350133827</v>
      </c>
      <c r="P37" s="257"/>
      <c r="Q37" s="246"/>
      <c r="R37" s="246"/>
      <c r="S37" s="240" t="s">
        <v>158</v>
      </c>
      <c r="T37" s="243">
        <f t="shared" si="24"/>
        <v>226820.2469333333</v>
      </c>
      <c r="U37" s="242">
        <f t="shared" si="24"/>
        <v>268534.8084365162</v>
      </c>
      <c r="V37" s="243">
        <f t="shared" si="24"/>
        <v>51311359.71054382</v>
      </c>
      <c r="W37" s="242">
        <f t="shared" si="24"/>
        <v>4255342.137318753</v>
      </c>
      <c r="X37" s="242">
        <f t="shared" si="24"/>
        <v>510641.05647825036</v>
      </c>
      <c r="Y37" s="243">
        <f t="shared" si="24"/>
        <v>1861543.3611438842</v>
      </c>
      <c r="Z37" s="242">
        <f t="shared" si="24"/>
        <v>1396157.520857913</v>
      </c>
      <c r="AA37" s="243">
        <f t="shared" si="24"/>
        <v>232692.92014298553</v>
      </c>
      <c r="AB37" s="242">
        <f t="shared" si="24"/>
        <v>232692.92014298553</v>
      </c>
      <c r="AC37" s="243">
        <f t="shared" si="24"/>
        <v>465385.84028597106</v>
      </c>
      <c r="AD37" s="242">
        <f t="shared" si="24"/>
        <v>4583509.528209374</v>
      </c>
      <c r="AE37" s="243">
        <f t="shared" si="24"/>
        <v>3371777.1242</v>
      </c>
      <c r="AF37" s="242">
        <f t="shared" si="24"/>
        <v>220008.45735405</v>
      </c>
      <c r="AG37" s="243">
        <f>SUM(AG35:AG36)</f>
        <v>68441110.57667798</v>
      </c>
      <c r="AH37" s="247"/>
      <c r="AI37" s="247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</row>
    <row r="38" spans="2:74" s="201" customFormat="1" ht="14.25" customHeight="1">
      <c r="B38" s="260"/>
      <c r="C38" s="198"/>
      <c r="D38" s="261"/>
      <c r="E38" s="199"/>
      <c r="F38" s="262"/>
      <c r="G38" s="198"/>
      <c r="H38" s="261"/>
      <c r="I38" s="198"/>
      <c r="J38" s="261"/>
      <c r="K38" s="198"/>
      <c r="L38" s="261"/>
      <c r="M38" s="198"/>
      <c r="N38" s="263"/>
      <c r="O38" s="263"/>
      <c r="P38" s="263"/>
      <c r="Q38" s="234"/>
      <c r="R38" s="234"/>
      <c r="S38" s="198"/>
      <c r="T38" s="261"/>
      <c r="U38" s="198"/>
      <c r="V38" s="261"/>
      <c r="W38" s="198"/>
      <c r="X38" s="198"/>
      <c r="Y38" s="261"/>
      <c r="Z38" s="198"/>
      <c r="AA38" s="261"/>
      <c r="AB38" s="198"/>
      <c r="AC38" s="261"/>
      <c r="AD38" s="198"/>
      <c r="AE38" s="261"/>
      <c r="AF38" s="198"/>
      <c r="AG38" s="261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</row>
    <row r="39" spans="2:74" s="201" customFormat="1" ht="9">
      <c r="B39" s="260"/>
      <c r="C39" s="198"/>
      <c r="D39" s="261"/>
      <c r="E39" s="199"/>
      <c r="F39" s="262"/>
      <c r="G39" s="198"/>
      <c r="H39" s="261"/>
      <c r="I39" s="198"/>
      <c r="J39" s="261"/>
      <c r="K39" s="198"/>
      <c r="L39" s="261"/>
      <c r="M39" s="198"/>
      <c r="N39" s="263"/>
      <c r="O39" s="263"/>
      <c r="P39" s="263"/>
      <c r="Q39" s="234"/>
      <c r="R39" s="234"/>
      <c r="S39" s="198"/>
      <c r="T39" s="261"/>
      <c r="U39" s="198"/>
      <c r="V39" s="261"/>
      <c r="W39" s="198"/>
      <c r="X39" s="198"/>
      <c r="Y39" s="261"/>
      <c r="Z39" s="198"/>
      <c r="AA39" s="261"/>
      <c r="AB39" s="198"/>
      <c r="AC39" s="261"/>
      <c r="AD39" s="198"/>
      <c r="AE39" s="261"/>
      <c r="AF39" s="198"/>
      <c r="AG39" s="261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</row>
    <row r="40" spans="2:74" s="215" customFormat="1" ht="9">
      <c r="B40" s="209" t="s">
        <v>93</v>
      </c>
      <c r="C40" s="210" t="s">
        <v>94</v>
      </c>
      <c r="D40" s="209" t="s">
        <v>95</v>
      </c>
      <c r="E40" s="211" t="s">
        <v>96</v>
      </c>
      <c r="F40" s="212" t="s">
        <v>97</v>
      </c>
      <c r="G40" s="211" t="s">
        <v>98</v>
      </c>
      <c r="H40" s="209" t="s">
        <v>99</v>
      </c>
      <c r="I40" s="210" t="s">
        <v>153</v>
      </c>
      <c r="J40" s="209" t="s">
        <v>101</v>
      </c>
      <c r="K40" s="210" t="s">
        <v>102</v>
      </c>
      <c r="L40" s="209" t="s">
        <v>103</v>
      </c>
      <c r="M40" s="210" t="s">
        <v>104</v>
      </c>
      <c r="N40" s="213" t="s">
        <v>105</v>
      </c>
      <c r="O40" s="213" t="s">
        <v>106</v>
      </c>
      <c r="P40" s="258"/>
      <c r="Q40" s="225"/>
      <c r="R40" s="225"/>
      <c r="S40" s="210" t="s">
        <v>94</v>
      </c>
      <c r="T40" s="209" t="s">
        <v>107</v>
      </c>
      <c r="U40" s="210" t="s">
        <v>108</v>
      </c>
      <c r="V40" s="209" t="s">
        <v>109</v>
      </c>
      <c r="W40" s="210" t="s">
        <v>110</v>
      </c>
      <c r="X40" s="210"/>
      <c r="Y40" s="209" t="s">
        <v>111</v>
      </c>
      <c r="Z40" s="210" t="s">
        <v>112</v>
      </c>
      <c r="AA40" s="209" t="s">
        <v>113</v>
      </c>
      <c r="AB40" s="210" t="s">
        <v>114</v>
      </c>
      <c r="AC40" s="209" t="s">
        <v>115</v>
      </c>
      <c r="AD40" s="210" t="s">
        <v>116</v>
      </c>
      <c r="AE40" s="209" t="s">
        <v>117</v>
      </c>
      <c r="AF40" s="210" t="s">
        <v>118</v>
      </c>
      <c r="AG40" s="209" t="s">
        <v>109</v>
      </c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</row>
    <row r="41" spans="2:74" s="215" customFormat="1" ht="9.75" thickBot="1">
      <c r="B41" s="216" t="s">
        <v>119</v>
      </c>
      <c r="C41" s="217"/>
      <c r="D41" s="216" t="s">
        <v>154</v>
      </c>
      <c r="E41" s="218" t="s">
        <v>299</v>
      </c>
      <c r="F41" s="219"/>
      <c r="G41" s="218" t="s">
        <v>300</v>
      </c>
      <c r="H41" s="216" t="s">
        <v>122</v>
      </c>
      <c r="I41" s="217" t="s">
        <v>122</v>
      </c>
      <c r="J41" s="220"/>
      <c r="K41" s="221"/>
      <c r="L41" s="216" t="s">
        <v>124</v>
      </c>
      <c r="M41" s="222" t="s">
        <v>125</v>
      </c>
      <c r="N41" s="223" t="s">
        <v>126</v>
      </c>
      <c r="O41" s="259" t="s">
        <v>127</v>
      </c>
      <c r="P41" s="258"/>
      <c r="Q41" s="225"/>
      <c r="R41" s="225"/>
      <c r="S41" s="217"/>
      <c r="T41" s="216" t="s">
        <v>128</v>
      </c>
      <c r="U41" s="222" t="s">
        <v>126</v>
      </c>
      <c r="V41" s="216" t="s">
        <v>129</v>
      </c>
      <c r="W41" s="222" t="s">
        <v>130</v>
      </c>
      <c r="X41" s="222"/>
      <c r="Y41" s="216" t="s">
        <v>131</v>
      </c>
      <c r="Z41" s="222" t="s">
        <v>132</v>
      </c>
      <c r="AA41" s="216" t="s">
        <v>133</v>
      </c>
      <c r="AB41" s="222" t="s">
        <v>134</v>
      </c>
      <c r="AC41" s="216" t="s">
        <v>135</v>
      </c>
      <c r="AD41" s="222"/>
      <c r="AE41" s="216"/>
      <c r="AF41" s="222" t="s">
        <v>136</v>
      </c>
      <c r="AG41" s="216" t="s">
        <v>137</v>
      </c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</row>
    <row r="42" spans="2:74" s="201" customFormat="1" ht="9">
      <c r="B42" s="226">
        <v>11</v>
      </c>
      <c r="C42" s="227" t="s">
        <v>159</v>
      </c>
      <c r="D42" s="226">
        <v>1</v>
      </c>
      <c r="E42" s="228">
        <v>80148</v>
      </c>
      <c r="F42" s="229">
        <v>0.05</v>
      </c>
      <c r="G42" s="230">
        <f>+E42*(1+F42)</f>
        <v>84155.40000000001</v>
      </c>
      <c r="H42" s="231"/>
      <c r="I42" s="232">
        <f>+B42*G42*82</f>
        <v>75908170.80000001</v>
      </c>
      <c r="J42" s="231"/>
      <c r="K42" s="230"/>
      <c r="L42" s="231"/>
      <c r="M42" s="230"/>
      <c r="N42" s="233"/>
      <c r="O42" s="233"/>
      <c r="P42" s="233"/>
      <c r="Q42" s="230"/>
      <c r="R42" s="230"/>
      <c r="S42" s="227" t="s">
        <v>159</v>
      </c>
      <c r="T42" s="231"/>
      <c r="U42" s="230"/>
      <c r="V42" s="231">
        <f>SUM(H42:U42)</f>
        <v>75908170.80000001</v>
      </c>
      <c r="W42" s="230"/>
      <c r="X42" s="230"/>
      <c r="Y42" s="231"/>
      <c r="Z42" s="230"/>
      <c r="AA42" s="231"/>
      <c r="AB42" s="230"/>
      <c r="AC42" s="231"/>
      <c r="AD42" s="230">
        <v>0</v>
      </c>
      <c r="AE42" s="231">
        <f>(+I42)*12/100</f>
        <v>9108980.496000001</v>
      </c>
      <c r="AF42" s="230">
        <v>0</v>
      </c>
      <c r="AG42" s="231">
        <f>SUM(V42:AF42)</f>
        <v>85017151.29600002</v>
      </c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</row>
    <row r="43" spans="2:74" s="237" customFormat="1" ht="9">
      <c r="B43" s="226">
        <v>1</v>
      </c>
      <c r="C43" s="227" t="s">
        <v>146</v>
      </c>
      <c r="D43" s="226">
        <v>2</v>
      </c>
      <c r="E43" s="228">
        <v>550000</v>
      </c>
      <c r="F43" s="229">
        <v>0.05</v>
      </c>
      <c r="G43" s="230">
        <f>+E43*(1+F43)</f>
        <v>577500</v>
      </c>
      <c r="H43" s="231">
        <f>B43*G43*12</f>
        <v>6930000</v>
      </c>
      <c r="I43" s="232"/>
      <c r="J43" s="231">
        <f>(IF(+G43&lt;=+$J$4,+$J$6,0))*12*B43</f>
        <v>445320</v>
      </c>
      <c r="K43" s="230">
        <f>(IF(+G43&lt;=+$K$4,+$K$6,0))*12*B43</f>
        <v>637032</v>
      </c>
      <c r="L43" s="231">
        <f>(IF(+G43&lt;=+$L$4,(G43*0.5),(G43*0.35)))*B43</f>
        <v>288750</v>
      </c>
      <c r="M43" s="230">
        <f>(H43+J43+K43+L43)/24</f>
        <v>345879.25</v>
      </c>
      <c r="N43" s="233">
        <f>(SUM(H43:M43)-I43)/24</f>
        <v>360290.8854166667</v>
      </c>
      <c r="O43" s="233">
        <f>(SUM(H43:N43)-I43)/12</f>
        <v>750606.0112847221</v>
      </c>
      <c r="P43" s="233"/>
      <c r="Q43" s="230"/>
      <c r="R43" s="230"/>
      <c r="S43" s="227" t="s">
        <v>146</v>
      </c>
      <c r="T43" s="231">
        <f>H43/180</f>
        <v>38500</v>
      </c>
      <c r="U43" s="230">
        <f>((J43+K43+L43+M43)/12)*23/30</f>
        <v>109696.02430555556</v>
      </c>
      <c r="V43" s="231">
        <f>SUM(H43:U43)</f>
        <v>9906074.171006944</v>
      </c>
      <c r="W43" s="230">
        <f>(+V43-T43-I43)*8.33/100</f>
        <v>821968.9284448784</v>
      </c>
      <c r="X43" s="230">
        <f>W43*12%</f>
        <v>98636.2714133854</v>
      </c>
      <c r="Y43" s="231">
        <f>(+V43-O43-T43-K43-I43)*4/100</f>
        <v>339197.4463888889</v>
      </c>
      <c r="Z43" s="230">
        <f>(+V43-O43-T43-K43-I43)*3/100</f>
        <v>254398.08479166665</v>
      </c>
      <c r="AA43" s="231">
        <f>(+V43-O43-T43-K43-I43)*0.5/100</f>
        <v>42399.68079861111</v>
      </c>
      <c r="AB43" s="230">
        <f>+AA43</f>
        <v>42399.68079861111</v>
      </c>
      <c r="AC43" s="231">
        <f>+AB43*2</f>
        <v>84799.36159722222</v>
      </c>
      <c r="AD43" s="230">
        <f>(+H43+L43)*10.875/100</f>
        <v>785039.0625</v>
      </c>
      <c r="AE43" s="231">
        <f>(+H43+L43)*8/100</f>
        <v>577500</v>
      </c>
      <c r="AF43" s="230">
        <f>(+H43+L43)*0.522/100</f>
        <v>37681.875</v>
      </c>
      <c r="AG43" s="231">
        <f>SUM(V43:AF43)</f>
        <v>12990094.562740207</v>
      </c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</row>
    <row r="44" spans="2:74" s="249" customFormat="1" ht="9">
      <c r="B44" s="239">
        <f>SUM(B42:B43)</f>
        <v>12</v>
      </c>
      <c r="C44" s="240" t="s">
        <v>160</v>
      </c>
      <c r="D44" s="241"/>
      <c r="E44" s="279"/>
      <c r="F44" s="280"/>
      <c r="G44" s="242">
        <f aca="true" t="shared" si="25" ref="G44:AF44">SUM(G42:G43)</f>
        <v>661655.4</v>
      </c>
      <c r="H44" s="243">
        <f t="shared" si="25"/>
        <v>6930000</v>
      </c>
      <c r="I44" s="242">
        <f t="shared" si="25"/>
        <v>75908170.80000001</v>
      </c>
      <c r="J44" s="243">
        <f>SUM(J42:J43)</f>
        <v>445320</v>
      </c>
      <c r="K44" s="242">
        <f>SUM(K42:K43)</f>
        <v>637032</v>
      </c>
      <c r="L44" s="243">
        <f t="shared" si="25"/>
        <v>288750</v>
      </c>
      <c r="M44" s="242">
        <f t="shared" si="25"/>
        <v>345879.25</v>
      </c>
      <c r="N44" s="244">
        <f t="shared" si="25"/>
        <v>360290.8854166667</v>
      </c>
      <c r="O44" s="244">
        <f t="shared" si="25"/>
        <v>750606.0112847221</v>
      </c>
      <c r="P44" s="257"/>
      <c r="Q44" s="246"/>
      <c r="R44" s="246"/>
      <c r="S44" s="240" t="s">
        <v>160</v>
      </c>
      <c r="T44" s="243">
        <f t="shared" si="25"/>
        <v>38500</v>
      </c>
      <c r="U44" s="242">
        <f t="shared" si="25"/>
        <v>109696.02430555556</v>
      </c>
      <c r="V44" s="243">
        <f t="shared" si="25"/>
        <v>85814244.97100696</v>
      </c>
      <c r="W44" s="242">
        <f t="shared" si="25"/>
        <v>821968.9284448784</v>
      </c>
      <c r="X44" s="242">
        <f t="shared" si="25"/>
        <v>98636.2714133854</v>
      </c>
      <c r="Y44" s="243">
        <f t="shared" si="25"/>
        <v>339197.4463888889</v>
      </c>
      <c r="Z44" s="242">
        <f t="shared" si="25"/>
        <v>254398.08479166665</v>
      </c>
      <c r="AA44" s="243">
        <f t="shared" si="25"/>
        <v>42399.68079861111</v>
      </c>
      <c r="AB44" s="242">
        <f t="shared" si="25"/>
        <v>42399.68079861111</v>
      </c>
      <c r="AC44" s="243">
        <f t="shared" si="25"/>
        <v>84799.36159722222</v>
      </c>
      <c r="AD44" s="242">
        <f t="shared" si="25"/>
        <v>785039.0625</v>
      </c>
      <c r="AE44" s="243">
        <f t="shared" si="25"/>
        <v>9686480.496000001</v>
      </c>
      <c r="AF44" s="242">
        <f t="shared" si="25"/>
        <v>37681.875</v>
      </c>
      <c r="AG44" s="243">
        <f>SUM(AG42:AG43)</f>
        <v>98007245.85874023</v>
      </c>
      <c r="AH44" s="247"/>
      <c r="AI44" s="247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</row>
    <row r="45" spans="2:74" s="249" customFormat="1" ht="9">
      <c r="B45" s="281"/>
      <c r="C45" s="251"/>
      <c r="D45" s="282"/>
      <c r="E45" s="253"/>
      <c r="F45" s="283"/>
      <c r="G45" s="246"/>
      <c r="H45" s="246"/>
      <c r="I45" s="246"/>
      <c r="J45" s="246"/>
      <c r="K45" s="246"/>
      <c r="L45" s="246"/>
      <c r="M45" s="246"/>
      <c r="N45" s="246"/>
      <c r="O45" s="257"/>
      <c r="P45" s="257"/>
      <c r="Q45" s="246"/>
      <c r="R45" s="246"/>
      <c r="S45" s="251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7"/>
      <c r="AI45" s="247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</row>
    <row r="46" spans="2:74" s="249" customFormat="1" ht="9">
      <c r="B46" s="281"/>
      <c r="C46" s="251"/>
      <c r="D46" s="282"/>
      <c r="E46" s="253"/>
      <c r="F46" s="283"/>
      <c r="G46" s="246"/>
      <c r="H46" s="246"/>
      <c r="I46" s="246"/>
      <c r="J46" s="246"/>
      <c r="K46" s="246"/>
      <c r="L46" s="246"/>
      <c r="M46" s="246"/>
      <c r="N46" s="246"/>
      <c r="O46" s="257"/>
      <c r="P46" s="257"/>
      <c r="Q46" s="246"/>
      <c r="R46" s="246"/>
      <c r="S46" s="251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7"/>
      <c r="AI46" s="247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</row>
    <row r="47" spans="2:74" s="249" customFormat="1" ht="9">
      <c r="B47" s="281"/>
      <c r="C47" s="251"/>
      <c r="D47" s="282"/>
      <c r="E47" s="253"/>
      <c r="F47" s="283"/>
      <c r="G47" s="246"/>
      <c r="H47" s="246"/>
      <c r="I47" s="246"/>
      <c r="J47" s="246"/>
      <c r="K47" s="246"/>
      <c r="L47" s="246"/>
      <c r="M47" s="246"/>
      <c r="N47" s="246"/>
      <c r="O47" s="257"/>
      <c r="P47" s="257"/>
      <c r="Q47" s="246"/>
      <c r="R47" s="246"/>
      <c r="S47" s="251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7"/>
      <c r="AI47" s="247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</row>
    <row r="48" spans="2:74" s="215" customFormat="1" ht="9">
      <c r="B48" s="209" t="s">
        <v>93</v>
      </c>
      <c r="C48" s="210" t="s">
        <v>94</v>
      </c>
      <c r="D48" s="209" t="s">
        <v>95</v>
      </c>
      <c r="E48" s="211" t="s">
        <v>96</v>
      </c>
      <c r="F48" s="212" t="s">
        <v>97</v>
      </c>
      <c r="G48" s="211" t="s">
        <v>98</v>
      </c>
      <c r="H48" s="209" t="s">
        <v>99</v>
      </c>
      <c r="I48" s="210" t="s">
        <v>153</v>
      </c>
      <c r="J48" s="209" t="s">
        <v>101</v>
      </c>
      <c r="K48" s="210" t="s">
        <v>102</v>
      </c>
      <c r="L48" s="209" t="s">
        <v>103</v>
      </c>
      <c r="M48" s="210" t="s">
        <v>104</v>
      </c>
      <c r="N48" s="213" t="s">
        <v>105</v>
      </c>
      <c r="O48" s="213" t="s">
        <v>106</v>
      </c>
      <c r="P48" s="258"/>
      <c r="Q48" s="225"/>
      <c r="R48" s="225"/>
      <c r="S48" s="210" t="s">
        <v>94</v>
      </c>
      <c r="T48" s="209" t="s">
        <v>107</v>
      </c>
      <c r="U48" s="210" t="s">
        <v>108</v>
      </c>
      <c r="V48" s="209" t="s">
        <v>109</v>
      </c>
      <c r="W48" s="210" t="s">
        <v>110</v>
      </c>
      <c r="X48" s="210"/>
      <c r="Y48" s="209" t="s">
        <v>111</v>
      </c>
      <c r="Z48" s="210" t="s">
        <v>112</v>
      </c>
      <c r="AA48" s="209" t="s">
        <v>113</v>
      </c>
      <c r="AB48" s="210" t="s">
        <v>114</v>
      </c>
      <c r="AC48" s="209" t="s">
        <v>115</v>
      </c>
      <c r="AD48" s="210" t="s">
        <v>116</v>
      </c>
      <c r="AE48" s="209" t="s">
        <v>117</v>
      </c>
      <c r="AF48" s="210" t="s">
        <v>118</v>
      </c>
      <c r="AG48" s="209" t="s">
        <v>109</v>
      </c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</row>
    <row r="49" spans="2:74" s="215" customFormat="1" ht="9.75" thickBot="1">
      <c r="B49" s="216" t="s">
        <v>119</v>
      </c>
      <c r="C49" s="217"/>
      <c r="D49" s="216" t="s">
        <v>154</v>
      </c>
      <c r="E49" s="218" t="s">
        <v>299</v>
      </c>
      <c r="F49" s="219"/>
      <c r="G49" s="218">
        <v>2009</v>
      </c>
      <c r="H49" s="216" t="s">
        <v>122</v>
      </c>
      <c r="I49" s="217" t="s">
        <v>122</v>
      </c>
      <c r="J49" s="220"/>
      <c r="K49" s="221"/>
      <c r="L49" s="216" t="s">
        <v>124</v>
      </c>
      <c r="M49" s="222" t="s">
        <v>125</v>
      </c>
      <c r="N49" s="223" t="s">
        <v>126</v>
      </c>
      <c r="O49" s="259" t="s">
        <v>127</v>
      </c>
      <c r="P49" s="258"/>
      <c r="Q49" s="225"/>
      <c r="R49" s="225"/>
      <c r="S49" s="217"/>
      <c r="T49" s="216" t="s">
        <v>128</v>
      </c>
      <c r="U49" s="222" t="s">
        <v>126</v>
      </c>
      <c r="V49" s="216" t="s">
        <v>129</v>
      </c>
      <c r="W49" s="222" t="s">
        <v>130</v>
      </c>
      <c r="X49" s="222"/>
      <c r="Y49" s="216" t="s">
        <v>131</v>
      </c>
      <c r="Z49" s="222" t="s">
        <v>132</v>
      </c>
      <c r="AA49" s="216" t="s">
        <v>133</v>
      </c>
      <c r="AB49" s="222" t="s">
        <v>134</v>
      </c>
      <c r="AC49" s="216" t="s">
        <v>135</v>
      </c>
      <c r="AD49" s="222"/>
      <c r="AE49" s="216"/>
      <c r="AF49" s="222" t="s">
        <v>136</v>
      </c>
      <c r="AG49" s="216" t="s">
        <v>137</v>
      </c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</row>
    <row r="50" spans="2:74" s="201" customFormat="1" ht="9">
      <c r="B50" s="226">
        <v>1</v>
      </c>
      <c r="C50" s="227" t="s">
        <v>161</v>
      </c>
      <c r="D50" s="226">
        <v>1</v>
      </c>
      <c r="E50" s="228">
        <v>1796447</v>
      </c>
      <c r="F50" s="229">
        <v>0.058</v>
      </c>
      <c r="G50" s="230">
        <f>+E50*(1+F50)</f>
        <v>1900640.926</v>
      </c>
      <c r="H50" s="231">
        <f>B50*G50*12</f>
        <v>22807691.112</v>
      </c>
      <c r="I50" s="234"/>
      <c r="J50" s="231">
        <f>(IF(+G50&lt;=+$J$4,+$J$6,0))*12*B50</f>
        <v>0</v>
      </c>
      <c r="K50" s="230">
        <f>(IF(+G50&lt;=+$K$4,+$K$6,0))*12</f>
        <v>0</v>
      </c>
      <c r="L50" s="231">
        <f>(IF(+G50&lt;=+$L$4,(G50*0.5),(G50*0.35)))*B50</f>
        <v>665224.3241</v>
      </c>
      <c r="M50" s="230">
        <f>(SUM(H50:L50)-I50)/24</f>
        <v>978038.1431708332</v>
      </c>
      <c r="N50" s="233">
        <f>(SUM(H50:M50)-I50)/24</f>
        <v>1018789.732469618</v>
      </c>
      <c r="O50" s="233">
        <f>(SUM(H50:N50)-I50)/12</f>
        <v>2122478.609311704</v>
      </c>
      <c r="P50" s="233"/>
      <c r="Q50" s="230"/>
      <c r="R50" s="230"/>
      <c r="S50" s="227" t="s">
        <v>161</v>
      </c>
      <c r="T50" s="231">
        <f>H50/180</f>
        <v>126709.39506666666</v>
      </c>
      <c r="U50" s="230">
        <f>((J50+K50+L50+M50)/12)*23/30</f>
        <v>104986.21318674769</v>
      </c>
      <c r="V50" s="231">
        <f>SUM(H50:U50)</f>
        <v>27823917.52930557</v>
      </c>
      <c r="W50" s="230">
        <f>(+V50-T50-I50)*8.33/100</f>
        <v>2307177.4375821007</v>
      </c>
      <c r="X50" s="230">
        <f>W50*12%</f>
        <v>276861.2925098521</v>
      </c>
      <c r="Y50" s="231">
        <f>(+V50-O50-T50-K50)*4/100</f>
        <v>1022989.180997088</v>
      </c>
      <c r="Z50" s="230">
        <f>(+V50-O50-T50-K50-I50)*3/100</f>
        <v>767241.885747816</v>
      </c>
      <c r="AA50" s="231">
        <f>(+V50-O50-T50-K50-I50)*0.5/100</f>
        <v>127873.647624636</v>
      </c>
      <c r="AB50" s="230">
        <f>+AA50</f>
        <v>127873.647624636</v>
      </c>
      <c r="AC50" s="231">
        <f>+AB50*2</f>
        <v>255747.295249272</v>
      </c>
      <c r="AD50" s="230">
        <f>(+H50+L50)*10.875/100</f>
        <v>2552679.5536758746</v>
      </c>
      <c r="AE50" s="231">
        <f>(+H50+L50)*8/100</f>
        <v>1877833.234888</v>
      </c>
      <c r="AF50" s="230">
        <f>(+H50+L50)*0.522/100</f>
        <v>122528.61857644201</v>
      </c>
      <c r="AG50" s="231">
        <f>SUM(V50:AF50)</f>
        <v>37262723.32378129</v>
      </c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</row>
    <row r="51" spans="2:74" s="237" customFormat="1" ht="9">
      <c r="B51" s="226">
        <v>1</v>
      </c>
      <c r="C51" s="227" t="s">
        <v>140</v>
      </c>
      <c r="D51" s="226">
        <v>2</v>
      </c>
      <c r="E51" s="228">
        <v>1530582</v>
      </c>
      <c r="F51" s="229">
        <v>0.058</v>
      </c>
      <c r="G51" s="230">
        <f>+E51*(1+F51)</f>
        <v>1619355.756</v>
      </c>
      <c r="H51" s="231">
        <f>B51*G51*12</f>
        <v>19432269.072</v>
      </c>
      <c r="I51" s="234"/>
      <c r="J51" s="231">
        <f>(IF(+G51&lt;=+$J$4,+$J$6,0))*12*B51</f>
        <v>0</v>
      </c>
      <c r="K51" s="230">
        <f>(IF(+G51&lt;=+$K$4,+$K$6,0))*12*B51</f>
        <v>0</v>
      </c>
      <c r="L51" s="231">
        <f>(IF(+G51&lt;=+$L$4,(G51*0.5),(G51*0.35)))*B51</f>
        <v>566774.5146</v>
      </c>
      <c r="M51" s="230">
        <f>(H51+J51+K51+L51)/24</f>
        <v>833293.482775</v>
      </c>
      <c r="N51" s="233">
        <f>(SUM(H51:M51)-I51)/24</f>
        <v>868014.0445572917</v>
      </c>
      <c r="O51" s="233">
        <f>(SUM(H51:N51)-I51)/12</f>
        <v>1808362.592827691</v>
      </c>
      <c r="P51" s="233"/>
      <c r="Q51" s="230"/>
      <c r="R51" s="230"/>
      <c r="S51" s="227" t="s">
        <v>140</v>
      </c>
      <c r="T51" s="231">
        <f>H51/180</f>
        <v>107957.05040000001</v>
      </c>
      <c r="U51" s="230">
        <f>((J51+K51+L51+M51)/12)*23/30</f>
        <v>89448.78872118055</v>
      </c>
      <c r="V51" s="231">
        <f>SUM(H51:U51)</f>
        <v>23706119.545881167</v>
      </c>
      <c r="W51" s="230">
        <f>(+V51-T51-I51)*8.33/100</f>
        <v>1965726.935873581</v>
      </c>
      <c r="X51" s="230">
        <f>W51*12%</f>
        <v>235887.23230482973</v>
      </c>
      <c r="Y51" s="231">
        <f>(+V51-O51-T51-K51)*4/100</f>
        <v>871591.9961061389</v>
      </c>
      <c r="Z51" s="230">
        <f>(+V51-O51-T51-K51-I51)*3/100</f>
        <v>653693.9970796043</v>
      </c>
      <c r="AA51" s="231">
        <f>(+V51-O51-T51-K51-I51)*0.5/100</f>
        <v>108948.99951326736</v>
      </c>
      <c r="AB51" s="230">
        <f>+AA51</f>
        <v>108948.99951326736</v>
      </c>
      <c r="AC51" s="231">
        <f>+AB51*2</f>
        <v>217897.99902653473</v>
      </c>
      <c r="AD51" s="230">
        <f>(+H51+L51)*10.875/100</f>
        <v>2174895.9900427503</v>
      </c>
      <c r="AE51" s="231">
        <f>(+H51+L51)*8/100</f>
        <v>1599923.486928</v>
      </c>
      <c r="AF51" s="230">
        <f>(+H51+L51)*0.522/100</f>
        <v>104395.00752205201</v>
      </c>
      <c r="AG51" s="231">
        <f>SUM(V51:AF51)</f>
        <v>31748030.189791195</v>
      </c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</row>
    <row r="52" spans="2:74" s="249" customFormat="1" ht="9">
      <c r="B52" s="239">
        <f>SUM(B50:B51)</f>
        <v>2</v>
      </c>
      <c r="C52" s="240" t="s">
        <v>162</v>
      </c>
      <c r="D52" s="241"/>
      <c r="E52" s="279"/>
      <c r="F52" s="280"/>
      <c r="G52" s="242">
        <f aca="true" t="shared" si="26" ref="G52:AG52">SUM(G50:G51)</f>
        <v>3519996.682</v>
      </c>
      <c r="H52" s="243">
        <f t="shared" si="26"/>
        <v>42239960.184</v>
      </c>
      <c r="I52" s="242">
        <f t="shared" si="26"/>
        <v>0</v>
      </c>
      <c r="J52" s="243">
        <f t="shared" si="26"/>
        <v>0</v>
      </c>
      <c r="K52" s="242">
        <f t="shared" si="26"/>
        <v>0</v>
      </c>
      <c r="L52" s="243">
        <f t="shared" si="26"/>
        <v>1231998.8387</v>
      </c>
      <c r="M52" s="242">
        <f t="shared" si="26"/>
        <v>1811331.6259458333</v>
      </c>
      <c r="N52" s="244">
        <f t="shared" si="26"/>
        <v>1886803.7770269096</v>
      </c>
      <c r="O52" s="244">
        <f t="shared" si="26"/>
        <v>3930841.2021393953</v>
      </c>
      <c r="P52" s="257"/>
      <c r="Q52" s="246"/>
      <c r="R52" s="246"/>
      <c r="S52" s="240" t="s">
        <v>162</v>
      </c>
      <c r="T52" s="243">
        <f t="shared" si="26"/>
        <v>234666.44546666666</v>
      </c>
      <c r="U52" s="242">
        <f t="shared" si="26"/>
        <v>194435.00190792824</v>
      </c>
      <c r="V52" s="243">
        <f t="shared" si="26"/>
        <v>51530037.07518674</v>
      </c>
      <c r="W52" s="242">
        <f t="shared" si="26"/>
        <v>4272904.373455682</v>
      </c>
      <c r="X52" s="242">
        <f t="shared" si="26"/>
        <v>512748.52481468185</v>
      </c>
      <c r="Y52" s="243">
        <f t="shared" si="26"/>
        <v>1894581.177103227</v>
      </c>
      <c r="Z52" s="242">
        <f t="shared" si="26"/>
        <v>1420935.8828274203</v>
      </c>
      <c r="AA52" s="243">
        <f t="shared" si="26"/>
        <v>236822.64713790338</v>
      </c>
      <c r="AB52" s="242">
        <f t="shared" si="26"/>
        <v>236822.64713790338</v>
      </c>
      <c r="AC52" s="243">
        <f t="shared" si="26"/>
        <v>473645.29427580675</v>
      </c>
      <c r="AD52" s="242">
        <f t="shared" si="26"/>
        <v>4727575.543718625</v>
      </c>
      <c r="AE52" s="243">
        <f t="shared" si="26"/>
        <v>3477756.721816</v>
      </c>
      <c r="AF52" s="242">
        <f t="shared" si="26"/>
        <v>226923.62609849402</v>
      </c>
      <c r="AG52" s="243">
        <f t="shared" si="26"/>
        <v>69010753.51357248</v>
      </c>
      <c r="AH52" s="247"/>
      <c r="AI52" s="247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</row>
    <row r="53" spans="2:74" s="201" customFormat="1" ht="9">
      <c r="B53" s="197"/>
      <c r="C53" s="198"/>
      <c r="D53" s="198"/>
      <c r="E53" s="199"/>
      <c r="F53" s="200"/>
      <c r="G53" s="198"/>
      <c r="H53" s="198"/>
      <c r="I53" s="198"/>
      <c r="J53" s="198"/>
      <c r="K53" s="198"/>
      <c r="L53" s="198"/>
      <c r="M53" s="198"/>
      <c r="N53" s="198"/>
      <c r="O53" s="198"/>
      <c r="P53" s="234"/>
      <c r="Q53" s="234"/>
      <c r="R53" s="234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</row>
    <row r="54" spans="2:74" s="215" customFormat="1" ht="9">
      <c r="B54" s="209" t="s">
        <v>93</v>
      </c>
      <c r="C54" s="210" t="s">
        <v>94</v>
      </c>
      <c r="D54" s="209" t="s">
        <v>95</v>
      </c>
      <c r="E54" s="211" t="s">
        <v>96</v>
      </c>
      <c r="F54" s="212" t="s">
        <v>97</v>
      </c>
      <c r="G54" s="211" t="s">
        <v>98</v>
      </c>
      <c r="H54" s="209" t="s">
        <v>99</v>
      </c>
      <c r="I54" s="210" t="s">
        <v>100</v>
      </c>
      <c r="J54" s="209" t="s">
        <v>101</v>
      </c>
      <c r="K54" s="210" t="s">
        <v>102</v>
      </c>
      <c r="L54" s="209" t="s">
        <v>103</v>
      </c>
      <c r="M54" s="210" t="s">
        <v>104</v>
      </c>
      <c r="N54" s="213" t="s">
        <v>105</v>
      </c>
      <c r="O54" s="209" t="s">
        <v>106</v>
      </c>
      <c r="P54" s="225"/>
      <c r="Q54" s="225"/>
      <c r="R54" s="225"/>
      <c r="S54" s="210" t="s">
        <v>94</v>
      </c>
      <c r="T54" s="209" t="s">
        <v>107</v>
      </c>
      <c r="U54" s="210" t="s">
        <v>108</v>
      </c>
      <c r="V54" s="209" t="s">
        <v>109</v>
      </c>
      <c r="W54" s="210" t="s">
        <v>110</v>
      </c>
      <c r="X54" s="214">
        <v>0.12</v>
      </c>
      <c r="Y54" s="209" t="s">
        <v>111</v>
      </c>
      <c r="Z54" s="210" t="s">
        <v>112</v>
      </c>
      <c r="AA54" s="209" t="s">
        <v>113</v>
      </c>
      <c r="AB54" s="210" t="s">
        <v>114</v>
      </c>
      <c r="AC54" s="209" t="s">
        <v>115</v>
      </c>
      <c r="AD54" s="210" t="s">
        <v>116</v>
      </c>
      <c r="AE54" s="209" t="s">
        <v>117</v>
      </c>
      <c r="AF54" s="210" t="s">
        <v>118</v>
      </c>
      <c r="AG54" s="209" t="s">
        <v>109</v>
      </c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</row>
    <row r="55" spans="2:74" s="215" customFormat="1" ht="9.75" thickBot="1">
      <c r="B55" s="216" t="s">
        <v>119</v>
      </c>
      <c r="C55" s="217"/>
      <c r="D55" s="216" t="s">
        <v>120</v>
      </c>
      <c r="E55" s="218" t="s">
        <v>299</v>
      </c>
      <c r="F55" s="219"/>
      <c r="G55" s="218">
        <v>2009</v>
      </c>
      <c r="H55" s="216" t="s">
        <v>122</v>
      </c>
      <c r="I55" s="217" t="s">
        <v>123</v>
      </c>
      <c r="J55" s="220">
        <v>37110</v>
      </c>
      <c r="K55" s="221">
        <v>53086</v>
      </c>
      <c r="L55" s="216" t="s">
        <v>124</v>
      </c>
      <c r="M55" s="222" t="s">
        <v>125</v>
      </c>
      <c r="N55" s="223" t="s">
        <v>126</v>
      </c>
      <c r="O55" s="224" t="s">
        <v>127</v>
      </c>
      <c r="P55" s="225"/>
      <c r="Q55" s="225"/>
      <c r="R55" s="225"/>
      <c r="S55" s="217"/>
      <c r="T55" s="216" t="s">
        <v>128</v>
      </c>
      <c r="U55" s="222" t="s">
        <v>126</v>
      </c>
      <c r="V55" s="216" t="s">
        <v>129</v>
      </c>
      <c r="W55" s="222" t="s">
        <v>130</v>
      </c>
      <c r="X55" s="216" t="s">
        <v>276</v>
      </c>
      <c r="Y55" s="216" t="s">
        <v>131</v>
      </c>
      <c r="Z55" s="222" t="s">
        <v>132</v>
      </c>
      <c r="AA55" s="216" t="s">
        <v>133</v>
      </c>
      <c r="AB55" s="222" t="s">
        <v>134</v>
      </c>
      <c r="AC55" s="216" t="s">
        <v>135</v>
      </c>
      <c r="AD55" s="222"/>
      <c r="AE55" s="216"/>
      <c r="AF55" s="222" t="s">
        <v>136</v>
      </c>
      <c r="AG55" s="216" t="s">
        <v>137</v>
      </c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</row>
    <row r="56" spans="2:74" s="201" customFormat="1" ht="9">
      <c r="B56" s="226">
        <v>1</v>
      </c>
      <c r="C56" s="227" t="s">
        <v>141</v>
      </c>
      <c r="D56" s="226">
        <v>9</v>
      </c>
      <c r="E56" s="228">
        <v>1556772</v>
      </c>
      <c r="F56" s="229">
        <v>0.05</v>
      </c>
      <c r="G56" s="230">
        <f>+E56*(1+F56)</f>
        <v>1634610.6</v>
      </c>
      <c r="H56" s="231">
        <f>B56*G56*12</f>
        <v>19615327.200000003</v>
      </c>
      <c r="I56" s="234"/>
      <c r="J56" s="231">
        <f>(IF(+G56&lt;=+$J$4,+$J$6,0))*12*B56</f>
        <v>0</v>
      </c>
      <c r="K56" s="230">
        <f>(IF(+G56&lt;=+$K$4,+$K$6,0))*12</f>
        <v>0</v>
      </c>
      <c r="L56" s="231">
        <f>(IF(+G56&lt;=+$L$4,(G56*0.5),(G56*0.35)))*B56</f>
        <v>572113.71</v>
      </c>
      <c r="M56" s="230">
        <f>(H56+J56+K56+L56)/24</f>
        <v>841143.3712500002</v>
      </c>
      <c r="N56" s="233">
        <f>(SUM(H56:M56)-I56)/24</f>
        <v>876191.0117187501</v>
      </c>
      <c r="O56" s="231">
        <f>(SUM(H56:N56)-I56)/12</f>
        <v>1825397.9410807295</v>
      </c>
      <c r="P56" s="230"/>
      <c r="Q56" s="230"/>
      <c r="R56" s="230"/>
      <c r="S56" s="227" t="s">
        <v>141</v>
      </c>
      <c r="T56" s="231">
        <f>H56/180</f>
        <v>108974.04000000002</v>
      </c>
      <c r="U56" s="230">
        <f>((J56+K56+L56+M56)/12)*23/30</f>
        <v>90291.42463541668</v>
      </c>
      <c r="V56" s="231">
        <f>SUM(H56:U56)</f>
        <v>23929438.6986849</v>
      </c>
      <c r="W56" s="230">
        <f>(+V56-T56-I56)*8.33/100</f>
        <v>1984244.7060684522</v>
      </c>
      <c r="X56" s="231">
        <f>W56*12%</f>
        <v>238109.36472821425</v>
      </c>
      <c r="Y56" s="231">
        <f>(+V56-O56-T56-K56-I56)*4/100</f>
        <v>879802.6687041669</v>
      </c>
      <c r="Z56" s="230">
        <f>(+V56-O56-T56-K56-I56)*3/100</f>
        <v>659852.0015281251</v>
      </c>
      <c r="AA56" s="231">
        <f>(+V56-O56-T56-K56-I56)*0.5/100</f>
        <v>109975.33358802086</v>
      </c>
      <c r="AB56" s="230">
        <f>+AA56</f>
        <v>109975.33358802086</v>
      </c>
      <c r="AC56" s="231">
        <f>+AB56*2</f>
        <v>219950.66717604172</v>
      </c>
      <c r="AD56" s="230">
        <f>(+H56+L56)*10.875/100</f>
        <v>2195384.1989625003</v>
      </c>
      <c r="AE56" s="231">
        <f>(+H56+L56)*8/100</f>
        <v>1614995.2728000004</v>
      </c>
      <c r="AF56" s="230">
        <f>(+H56+L56)*0.522/100</f>
        <v>105378.44155020002</v>
      </c>
      <c r="AG56" s="231">
        <f>SUM(V56:AF56)</f>
        <v>32047106.68737864</v>
      </c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</row>
    <row r="57" spans="2:74" s="201" customFormat="1" ht="9.75" thickBot="1">
      <c r="B57" s="226">
        <v>4</v>
      </c>
      <c r="C57" s="227" t="s">
        <v>147</v>
      </c>
      <c r="D57" s="226">
        <v>19</v>
      </c>
      <c r="E57" s="228">
        <v>562370</v>
      </c>
      <c r="F57" s="229">
        <v>0.058</v>
      </c>
      <c r="G57" s="230">
        <f>+E57*(1+F57)</f>
        <v>594987.4600000001</v>
      </c>
      <c r="H57" s="231">
        <f>B57*G57*12</f>
        <v>28559398.080000006</v>
      </c>
      <c r="I57" s="234"/>
      <c r="J57" s="231">
        <f>(IF(+G57&lt;=+$J$4,+$J$6,0))*12*B57</f>
        <v>1781280</v>
      </c>
      <c r="K57" s="230">
        <f>(IF(+G57&lt;=+$K$4,+$K$6,0))*12*B57</f>
        <v>2548128</v>
      </c>
      <c r="L57" s="231">
        <f>(IF(+G57&lt;=+$L$4,(G57*0.5),(G57*0.35)))*B57</f>
        <v>1189974.9200000002</v>
      </c>
      <c r="M57" s="230">
        <f>(H57+J57+K57+L57)/24</f>
        <v>1419949.2083333337</v>
      </c>
      <c r="N57" s="233">
        <f>(SUM(H57:M57)-I57)/24</f>
        <v>1479113.758680556</v>
      </c>
      <c r="O57" s="231">
        <f>(SUM(H57:N57)-I57)/12</f>
        <v>3081486.997251158</v>
      </c>
      <c r="P57" s="230"/>
      <c r="Q57" s="230"/>
      <c r="R57" s="230"/>
      <c r="S57" s="227" t="s">
        <v>147</v>
      </c>
      <c r="T57" s="231">
        <f>H57/180</f>
        <v>158663.3226666667</v>
      </c>
      <c r="U57" s="230">
        <f>((J57+K57+L57+M57)/12)*23/30</f>
        <v>443346.2193101852</v>
      </c>
      <c r="V57" s="231">
        <f>SUM(H57:U57)</f>
        <v>40661340.50624191</v>
      </c>
      <c r="W57" s="230">
        <f>(+V57-T57-I57)*8.33/100</f>
        <v>3373873.009391818</v>
      </c>
      <c r="X57" s="231">
        <f>W57*12%</f>
        <v>404864.7611270182</v>
      </c>
      <c r="Y57" s="231">
        <f>(+V57-O57-T57-K57-I57)*4/100</f>
        <v>1394922.4874529634</v>
      </c>
      <c r="Z57" s="230">
        <f>(+V57-O57-T57-K57-I57)*3/100</f>
        <v>1046191.8655897224</v>
      </c>
      <c r="AA57" s="231">
        <f>(+V57-O57-T57-K57-I57)*0.5/100</f>
        <v>174365.31093162042</v>
      </c>
      <c r="AB57" s="230">
        <f>+AA57</f>
        <v>174365.31093162042</v>
      </c>
      <c r="AC57" s="231">
        <f>+AB57*2</f>
        <v>348730.62186324084</v>
      </c>
      <c r="AD57" s="230">
        <f>(+H57+L57)*10.875/100</f>
        <v>3235244.3137500007</v>
      </c>
      <c r="AE57" s="231">
        <f>(+H57+L57)*8/100</f>
        <v>2379949.840000001</v>
      </c>
      <c r="AF57" s="230">
        <f>(+H57+L57)*0.522/100</f>
        <v>155291.72706000003</v>
      </c>
      <c r="AG57" s="231">
        <f>SUM(V57:AF57)</f>
        <v>53349139.75433992</v>
      </c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</row>
    <row r="58" spans="2:74" s="201" customFormat="1" ht="9.75" hidden="1" thickBot="1">
      <c r="B58" s="226">
        <v>0</v>
      </c>
      <c r="C58" s="227" t="s">
        <v>149</v>
      </c>
      <c r="D58" s="226">
        <v>22</v>
      </c>
      <c r="E58" s="228">
        <v>260100</v>
      </c>
      <c r="F58" s="229">
        <v>0.04</v>
      </c>
      <c r="G58" s="230">
        <f>+E58*(1+F58)</f>
        <v>270504</v>
      </c>
      <c r="H58" s="231">
        <f>B58*G58*12</f>
        <v>0</v>
      </c>
      <c r="I58" s="234"/>
      <c r="J58" s="231"/>
      <c r="K58" s="230"/>
      <c r="L58" s="231">
        <f>B58*G58*0.5</f>
        <v>0</v>
      </c>
      <c r="M58" s="230">
        <f>(SUM(H58:L58)-I58)/24</f>
        <v>0</v>
      </c>
      <c r="N58" s="233">
        <f>(SUM(H58:M58)-I58)/24</f>
        <v>0</v>
      </c>
      <c r="O58" s="231">
        <f>(SUM(H58:N58)-I58)/12</f>
        <v>0</v>
      </c>
      <c r="P58" s="230"/>
      <c r="Q58" s="230"/>
      <c r="R58" s="230"/>
      <c r="S58" s="227" t="s">
        <v>149</v>
      </c>
      <c r="T58" s="231">
        <f>H58/180</f>
        <v>0</v>
      </c>
      <c r="U58" s="230">
        <f>((J58+K58+L58+M58)/12)*23/30</f>
        <v>0</v>
      </c>
      <c r="V58" s="231">
        <f>SUM(H58:U58)</f>
        <v>0</v>
      </c>
      <c r="W58" s="230">
        <f>(+V58-T58-I58)*8.33/100</f>
        <v>0</v>
      </c>
      <c r="X58" s="231"/>
      <c r="Y58" s="231">
        <f>(+V58-O58-T58-K58-I58)*4/100</f>
        <v>0</v>
      </c>
      <c r="Z58" s="230">
        <f>(+V58-O58-T58-K58-I58)*3/100</f>
        <v>0</v>
      </c>
      <c r="AA58" s="231">
        <f>(+V58-O58-T58-K58-I58)*0.5/100</f>
        <v>0</v>
      </c>
      <c r="AB58" s="230">
        <f>+AA58</f>
        <v>0</v>
      </c>
      <c r="AC58" s="231">
        <f>+AB58*2</f>
        <v>0</v>
      </c>
      <c r="AD58" s="230">
        <f>(+H58+L58)*10.875/100</f>
        <v>0</v>
      </c>
      <c r="AE58" s="231">
        <f>(+H58+L58)*8/100</f>
        <v>0</v>
      </c>
      <c r="AF58" s="230">
        <f>(+H58+L58)*0.522/100</f>
        <v>0</v>
      </c>
      <c r="AG58" s="231">
        <f>SUM(V58:AF58)</f>
        <v>0</v>
      </c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</row>
    <row r="59" spans="2:74" s="201" customFormat="1" ht="9.75" hidden="1" thickBot="1">
      <c r="B59" s="226">
        <v>0</v>
      </c>
      <c r="C59" s="227" t="s">
        <v>150</v>
      </c>
      <c r="D59" s="226" t="s">
        <v>151</v>
      </c>
      <c r="E59" s="228">
        <v>436347</v>
      </c>
      <c r="F59" s="229">
        <v>0.04</v>
      </c>
      <c r="G59" s="230">
        <f>+E59*(1+F59)</f>
        <v>453800.88</v>
      </c>
      <c r="H59" s="231">
        <f>B59*G59*12</f>
        <v>0</v>
      </c>
      <c r="I59" s="234"/>
      <c r="J59" s="231"/>
      <c r="K59" s="230"/>
      <c r="L59" s="231">
        <f>B59*G59*0.5</f>
        <v>0</v>
      </c>
      <c r="M59" s="230">
        <f>(H59+J59+K59+L59)/24</f>
        <v>0</v>
      </c>
      <c r="N59" s="233">
        <f>(SUM(H59:M59)-I59)/24</f>
        <v>0</v>
      </c>
      <c r="O59" s="231">
        <f>(SUM(H59:N59)-I59)/12</f>
        <v>0</v>
      </c>
      <c r="P59" s="230"/>
      <c r="Q59" s="230"/>
      <c r="R59" s="230"/>
      <c r="S59" s="227" t="s">
        <v>150</v>
      </c>
      <c r="T59" s="231">
        <f>H59/180</f>
        <v>0</v>
      </c>
      <c r="U59" s="230">
        <f>((J59+K59+L59+M59)/12)*23/30</f>
        <v>0</v>
      </c>
      <c r="V59" s="231">
        <f>SUM(H59:U59)</f>
        <v>0</v>
      </c>
      <c r="W59" s="230">
        <f>(+V59-T59-I59)*8.33/100</f>
        <v>0</v>
      </c>
      <c r="X59" s="231"/>
      <c r="Y59" s="231">
        <f>(+V59-O59-T59-K59)*4/100</f>
        <v>0</v>
      </c>
      <c r="Z59" s="230">
        <f>(+V59-O59-T59-K59-I59)*3/100</f>
        <v>0</v>
      </c>
      <c r="AA59" s="231">
        <f>(+V59-O59-T59-K59-I59)*0.5/100</f>
        <v>0</v>
      </c>
      <c r="AB59" s="230">
        <f>+AA59</f>
        <v>0</v>
      </c>
      <c r="AC59" s="231">
        <f>+AB59*2</f>
        <v>0</v>
      </c>
      <c r="AD59" s="230">
        <f>(+H59+L59)*10.875/100</f>
        <v>0</v>
      </c>
      <c r="AE59" s="231">
        <f>(+H59+L59)*8/100</f>
        <v>0</v>
      </c>
      <c r="AF59" s="230">
        <f>(+H59+L59)*0.522/100</f>
        <v>0</v>
      </c>
      <c r="AG59" s="231">
        <f>SUM(V59:AF59)</f>
        <v>0</v>
      </c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</row>
    <row r="60" spans="2:74" s="249" customFormat="1" ht="9.75" thickBot="1">
      <c r="B60" s="239">
        <f>SUM(B56:B59)</f>
        <v>5</v>
      </c>
      <c r="C60" s="240" t="s">
        <v>152</v>
      </c>
      <c r="D60" s="241"/>
      <c r="E60" s="242">
        <f>SUM(E56:E59)</f>
        <v>2815589</v>
      </c>
      <c r="F60" s="242"/>
      <c r="G60" s="242">
        <f aca="true" t="shared" si="27" ref="G60:O60">SUM(G56:G59)</f>
        <v>2953902.94</v>
      </c>
      <c r="H60" s="284">
        <f t="shared" si="27"/>
        <v>48174725.28000001</v>
      </c>
      <c r="I60" s="243">
        <f t="shared" si="27"/>
        <v>0</v>
      </c>
      <c r="J60" s="243">
        <f t="shared" si="27"/>
        <v>1781280</v>
      </c>
      <c r="K60" s="242">
        <f t="shared" si="27"/>
        <v>2548128</v>
      </c>
      <c r="L60" s="243">
        <f t="shared" si="27"/>
        <v>1762088.6300000001</v>
      </c>
      <c r="M60" s="242">
        <f t="shared" si="27"/>
        <v>2261092.579583334</v>
      </c>
      <c r="N60" s="244">
        <f t="shared" si="27"/>
        <v>2355304.770399306</v>
      </c>
      <c r="O60" s="245">
        <f t="shared" si="27"/>
        <v>4906884.938331887</v>
      </c>
      <c r="P60" s="246"/>
      <c r="Q60" s="246"/>
      <c r="R60" s="246"/>
      <c r="S60" s="240" t="s">
        <v>152</v>
      </c>
      <c r="T60" s="243">
        <f aca="true" t="shared" si="28" ref="T60:AF60">SUM(T56:T59)</f>
        <v>267637.36266666674</v>
      </c>
      <c r="U60" s="242">
        <f t="shared" si="28"/>
        <v>533637.6439456019</v>
      </c>
      <c r="V60" s="243">
        <f t="shared" si="28"/>
        <v>64590779.20492681</v>
      </c>
      <c r="W60" s="242">
        <f t="shared" si="28"/>
        <v>5358117.715460271</v>
      </c>
      <c r="X60" s="242">
        <f t="shared" si="28"/>
        <v>642974.1258552325</v>
      </c>
      <c r="Y60" s="243">
        <f t="shared" si="28"/>
        <v>2274725.1561571304</v>
      </c>
      <c r="Z60" s="242">
        <f t="shared" si="28"/>
        <v>1706043.8671178475</v>
      </c>
      <c r="AA60" s="243">
        <f t="shared" si="28"/>
        <v>284340.6445196413</v>
      </c>
      <c r="AB60" s="242">
        <f t="shared" si="28"/>
        <v>284340.6445196413</v>
      </c>
      <c r="AC60" s="243">
        <f t="shared" si="28"/>
        <v>568681.2890392826</v>
      </c>
      <c r="AD60" s="242">
        <f t="shared" si="28"/>
        <v>5430628.512712501</v>
      </c>
      <c r="AE60" s="243">
        <f t="shared" si="28"/>
        <v>3994945.112800001</v>
      </c>
      <c r="AF60" s="242">
        <f t="shared" si="28"/>
        <v>260670.16861020005</v>
      </c>
      <c r="AG60" s="243">
        <f>SUM(AG56:AG59)</f>
        <v>85396246.44171856</v>
      </c>
      <c r="AH60" s="247"/>
      <c r="AI60" s="247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/>
      <c r="BU60" s="248"/>
      <c r="BV60" s="248"/>
    </row>
    <row r="63" spans="16:18" ht="9">
      <c r="P63" s="683"/>
      <c r="Q63" s="683"/>
      <c r="R63" s="683"/>
    </row>
    <row r="64" spans="2:74" s="215" customFormat="1" ht="9">
      <c r="B64" s="209" t="s">
        <v>93</v>
      </c>
      <c r="C64" s="210" t="s">
        <v>94</v>
      </c>
      <c r="D64" s="209" t="s">
        <v>95</v>
      </c>
      <c r="E64" s="211" t="s">
        <v>96</v>
      </c>
      <c r="F64" s="212" t="s">
        <v>97</v>
      </c>
      <c r="G64" s="211" t="s">
        <v>98</v>
      </c>
      <c r="H64" s="209" t="s">
        <v>99</v>
      </c>
      <c r="I64" s="210" t="s">
        <v>100</v>
      </c>
      <c r="J64" s="209" t="s">
        <v>101</v>
      </c>
      <c r="K64" s="210" t="s">
        <v>102</v>
      </c>
      <c r="L64" s="209" t="s">
        <v>103</v>
      </c>
      <c r="M64" s="210" t="s">
        <v>104</v>
      </c>
      <c r="N64" s="213" t="s">
        <v>105</v>
      </c>
      <c r="O64" s="209" t="s">
        <v>106</v>
      </c>
      <c r="P64" s="225"/>
      <c r="Q64" s="225"/>
      <c r="R64" s="225"/>
      <c r="S64" s="210" t="s">
        <v>94</v>
      </c>
      <c r="T64" s="209" t="s">
        <v>107</v>
      </c>
      <c r="U64" s="210" t="s">
        <v>108</v>
      </c>
      <c r="V64" s="209" t="s">
        <v>109</v>
      </c>
      <c r="W64" s="210" t="s">
        <v>110</v>
      </c>
      <c r="X64" s="214">
        <v>0.12</v>
      </c>
      <c r="Y64" s="209" t="s">
        <v>111</v>
      </c>
      <c r="Z64" s="210" t="s">
        <v>112</v>
      </c>
      <c r="AA64" s="209" t="s">
        <v>113</v>
      </c>
      <c r="AB64" s="210" t="s">
        <v>114</v>
      </c>
      <c r="AC64" s="209" t="s">
        <v>115</v>
      </c>
      <c r="AD64" s="210" t="s">
        <v>116</v>
      </c>
      <c r="AE64" s="209" t="s">
        <v>117</v>
      </c>
      <c r="AF64" s="210" t="s">
        <v>118</v>
      </c>
      <c r="AG64" s="209" t="s">
        <v>109</v>
      </c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</row>
    <row r="65" spans="2:74" s="215" customFormat="1" ht="9.75" thickBot="1">
      <c r="B65" s="216" t="s">
        <v>119</v>
      </c>
      <c r="C65" s="217"/>
      <c r="D65" s="216" t="s">
        <v>120</v>
      </c>
      <c r="E65" s="218" t="s">
        <v>299</v>
      </c>
      <c r="F65" s="219"/>
      <c r="G65" s="218">
        <v>2009</v>
      </c>
      <c r="H65" s="216" t="s">
        <v>122</v>
      </c>
      <c r="I65" s="217" t="s">
        <v>123</v>
      </c>
      <c r="J65" s="220">
        <v>37110</v>
      </c>
      <c r="K65" s="221">
        <v>53086</v>
      </c>
      <c r="L65" s="216" t="s">
        <v>124</v>
      </c>
      <c r="M65" s="222" t="s">
        <v>125</v>
      </c>
      <c r="N65" s="223" t="s">
        <v>126</v>
      </c>
      <c r="O65" s="224" t="s">
        <v>127</v>
      </c>
      <c r="P65" s="225"/>
      <c r="Q65" s="225"/>
      <c r="R65" s="225"/>
      <c r="S65" s="217"/>
      <c r="T65" s="216" t="s">
        <v>128</v>
      </c>
      <c r="U65" s="222" t="s">
        <v>126</v>
      </c>
      <c r="V65" s="216" t="s">
        <v>129</v>
      </c>
      <c r="W65" s="222" t="s">
        <v>130</v>
      </c>
      <c r="X65" s="216" t="s">
        <v>276</v>
      </c>
      <c r="Y65" s="216" t="s">
        <v>131</v>
      </c>
      <c r="Z65" s="222" t="s">
        <v>132</v>
      </c>
      <c r="AA65" s="216" t="s">
        <v>133</v>
      </c>
      <c r="AB65" s="222" t="s">
        <v>134</v>
      </c>
      <c r="AC65" s="216" t="s">
        <v>135</v>
      </c>
      <c r="AD65" s="222"/>
      <c r="AE65" s="216"/>
      <c r="AF65" s="222" t="s">
        <v>136</v>
      </c>
      <c r="AG65" s="216" t="s">
        <v>137</v>
      </c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</row>
    <row r="66" spans="2:74" s="201" customFormat="1" ht="9">
      <c r="B66" s="226">
        <v>1</v>
      </c>
      <c r="C66" s="227" t="s">
        <v>440</v>
      </c>
      <c r="D66" s="226">
        <v>1</v>
      </c>
      <c r="E66" s="228">
        <v>1523293</v>
      </c>
      <c r="F66" s="229">
        <v>0.058</v>
      </c>
      <c r="G66" s="230">
        <f>+E66*(1+F66)</f>
        <v>1611643.9940000002</v>
      </c>
      <c r="H66" s="231">
        <f>B66*G66*12</f>
        <v>19339727.928000003</v>
      </c>
      <c r="I66" s="682">
        <v>0</v>
      </c>
      <c r="J66" s="231">
        <f>(IF(+G66&lt;=+$J$4,+$J$6,0))*12*B66</f>
        <v>0</v>
      </c>
      <c r="K66" s="230">
        <f>(IF(+G66&lt;=+$K$4,+$K$6,0))*12</f>
        <v>0</v>
      </c>
      <c r="L66" s="231">
        <f>(IF(+G66&lt;=+$L$4,(G66*0.5),(G66*0.35)))*B66</f>
        <v>564075.3979</v>
      </c>
      <c r="M66" s="230">
        <f>(H66+J66+K66+L66)/24</f>
        <v>829325.1385791668</v>
      </c>
      <c r="N66" s="233">
        <f>(SUM(H66:M66)-I66)/24</f>
        <v>863880.3526866321</v>
      </c>
      <c r="O66" s="231">
        <f>(SUM(H66:N66)-I66)/12</f>
        <v>1799750.734763817</v>
      </c>
      <c r="P66" s="230"/>
      <c r="Q66" s="230"/>
      <c r="R66" s="230"/>
      <c r="S66" s="227" t="s">
        <v>440</v>
      </c>
      <c r="T66" s="231">
        <f>H66/180</f>
        <v>107442.93293333334</v>
      </c>
      <c r="U66" s="230">
        <f>((J66+K66+L66+M66)/12)*23/30</f>
        <v>89022.81205283565</v>
      </c>
      <c r="V66" s="231">
        <f>SUM(H66:U66)</f>
        <v>23593225.29691579</v>
      </c>
      <c r="W66" s="230">
        <f>(+V66-T66-I66)*8.33/100</f>
        <v>1956365.6709197385</v>
      </c>
      <c r="X66" s="231">
        <f>W66*12%</f>
        <v>234763.88051036862</v>
      </c>
      <c r="Y66" s="231">
        <f>(+V66-O66-T66-K66-I66)*4/100</f>
        <v>867441.2651687455</v>
      </c>
      <c r="Z66" s="230">
        <f>(+V66-O66-T66-K66-I66)*3/100</f>
        <v>650580.9488765592</v>
      </c>
      <c r="AA66" s="231">
        <f>(+V66-O66-T66-K66-I66)*0.5/100</f>
        <v>108430.15814609319</v>
      </c>
      <c r="AB66" s="230">
        <f>+AA66</f>
        <v>108430.15814609319</v>
      </c>
      <c r="AC66" s="231">
        <f>+AB66*2</f>
        <v>216860.31629218638</v>
      </c>
      <c r="AD66" s="230">
        <f>(+H66+L66)*10.875/100</f>
        <v>2164538.6116916253</v>
      </c>
      <c r="AE66" s="231">
        <f>(+H66+L66)*8/100</f>
        <v>1592304.2660720004</v>
      </c>
      <c r="AF66" s="230">
        <f>(+H66+L66)*0.522/100</f>
        <v>103897.85336119802</v>
      </c>
      <c r="AG66" s="231">
        <f>SUM(V66:AF66)</f>
        <v>31596838.426100396</v>
      </c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</row>
    <row r="67" spans="2:74" s="201" customFormat="1" ht="9.75" thickBot="1">
      <c r="B67" s="226"/>
      <c r="C67" s="227"/>
      <c r="D67" s="226"/>
      <c r="E67" s="228"/>
      <c r="F67" s="229"/>
      <c r="G67" s="230">
        <f>+E67*(1+F67)</f>
        <v>0</v>
      </c>
      <c r="H67" s="231">
        <f>B67*G67*12</f>
        <v>0</v>
      </c>
      <c r="I67" s="234"/>
      <c r="J67" s="231">
        <f>(IF(+G67&lt;=+$J$4,+$J$6,0))*12*B67</f>
        <v>0</v>
      </c>
      <c r="K67" s="230">
        <f>(IF(+G67&lt;=+$K$4,+$K$6,0))*12*B67</f>
        <v>0</v>
      </c>
      <c r="L67" s="231">
        <f>(IF(+G67&lt;=+$L$4,(G67*0.5),(G67*0.35)))*B67</f>
        <v>0</v>
      </c>
      <c r="M67" s="230">
        <f>(H67+J67+K67+L67)/24</f>
        <v>0</v>
      </c>
      <c r="N67" s="233">
        <f>(SUM(H67:M67)-I67)/24</f>
        <v>0</v>
      </c>
      <c r="O67" s="231">
        <f>(SUM(H67:N67)-I67)/12</f>
        <v>0</v>
      </c>
      <c r="P67" s="230"/>
      <c r="Q67" s="230"/>
      <c r="R67" s="230"/>
      <c r="S67" s="227"/>
      <c r="T67" s="231">
        <f>H67/180</f>
        <v>0</v>
      </c>
      <c r="U67" s="230">
        <f>((J67+K67+L67+M67)/12)*23/30</f>
        <v>0</v>
      </c>
      <c r="V67" s="231">
        <f>SUM(H67:U67)</f>
        <v>0</v>
      </c>
      <c r="W67" s="230">
        <f>(+V67-T67-I67)*8.33/100</f>
        <v>0</v>
      </c>
      <c r="X67" s="231">
        <f>W67*12%</f>
        <v>0</v>
      </c>
      <c r="Y67" s="231">
        <f>(+V67-O67-T67-K67-I67)*4/100</f>
        <v>0</v>
      </c>
      <c r="Z67" s="230">
        <f>(+V67-O67-T67-K67-I67)*3/100</f>
        <v>0</v>
      </c>
      <c r="AA67" s="231">
        <f>(+V67-O67-T67-K67-I67)*0.5/100</f>
        <v>0</v>
      </c>
      <c r="AB67" s="230">
        <f>+AA67</f>
        <v>0</v>
      </c>
      <c r="AC67" s="231">
        <f>+AB67*2</f>
        <v>0</v>
      </c>
      <c r="AD67" s="230">
        <f>(+H67+L67)*10.875/100</f>
        <v>0</v>
      </c>
      <c r="AE67" s="231">
        <f>(+H67+L67)*8/100</f>
        <v>0</v>
      </c>
      <c r="AF67" s="230">
        <f>(+H67+L67)*0.522/100</f>
        <v>0</v>
      </c>
      <c r="AG67" s="231">
        <f>SUM(V67:AF67)</f>
        <v>0</v>
      </c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</row>
    <row r="68" spans="2:74" s="201" customFormat="1" ht="9.75" hidden="1" thickBot="1">
      <c r="B68" s="226">
        <v>0</v>
      </c>
      <c r="C68" s="227" t="s">
        <v>149</v>
      </c>
      <c r="D68" s="226">
        <v>22</v>
      </c>
      <c r="E68" s="228">
        <v>260100</v>
      </c>
      <c r="F68" s="229">
        <v>0.04</v>
      </c>
      <c r="G68" s="230">
        <f>+E68*(1+F68)</f>
        <v>270504</v>
      </c>
      <c r="H68" s="231">
        <f>B68*G68*12</f>
        <v>0</v>
      </c>
      <c r="I68" s="234"/>
      <c r="J68" s="231"/>
      <c r="K68" s="230"/>
      <c r="L68" s="231">
        <f>B68*G68*0.5</f>
        <v>0</v>
      </c>
      <c r="M68" s="230">
        <f>(SUM(H68:L68)-I68)/24</f>
        <v>0</v>
      </c>
      <c r="N68" s="233">
        <f>(SUM(H68:M68)-I68)/24</f>
        <v>0</v>
      </c>
      <c r="O68" s="231">
        <f>(SUM(H68:N68)-I68)/12</f>
        <v>0</v>
      </c>
      <c r="P68" s="230"/>
      <c r="Q68" s="230"/>
      <c r="R68" s="230"/>
      <c r="S68" s="227" t="s">
        <v>149</v>
      </c>
      <c r="T68" s="231">
        <f>H68/180</f>
        <v>0</v>
      </c>
      <c r="U68" s="230">
        <f>((J68+K68+L68+M68)/12)*23/30</f>
        <v>0</v>
      </c>
      <c r="V68" s="231">
        <f>SUM(H68:U68)</f>
        <v>0</v>
      </c>
      <c r="W68" s="230">
        <f>(+V68-T68-I68)*8.33/100</f>
        <v>0</v>
      </c>
      <c r="X68" s="231"/>
      <c r="Y68" s="231">
        <f>(+V68-O68-T68-K68-I68)*4/100</f>
        <v>0</v>
      </c>
      <c r="Z68" s="230">
        <f>(+V68-O68-T68-K68-I68)*3/100</f>
        <v>0</v>
      </c>
      <c r="AA68" s="231">
        <f>(+V68-O68-T68-K68-I68)*0.5/100</f>
        <v>0</v>
      </c>
      <c r="AB68" s="230">
        <f>+AA68</f>
        <v>0</v>
      </c>
      <c r="AC68" s="231">
        <f>+AB68*2</f>
        <v>0</v>
      </c>
      <c r="AD68" s="230">
        <f>(+H68+L68)*10.875/100</f>
        <v>0</v>
      </c>
      <c r="AE68" s="231">
        <f>(+H68+L68)*8/100</f>
        <v>0</v>
      </c>
      <c r="AF68" s="230">
        <f>(+H68+L68)*0.522/100</f>
        <v>0</v>
      </c>
      <c r="AG68" s="231">
        <f>SUM(V68:AF68)</f>
        <v>0</v>
      </c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</row>
    <row r="69" spans="2:74" s="201" customFormat="1" ht="9.75" hidden="1" thickBot="1">
      <c r="B69" s="226">
        <v>0</v>
      </c>
      <c r="C69" s="227" t="s">
        <v>150</v>
      </c>
      <c r="D69" s="226" t="s">
        <v>151</v>
      </c>
      <c r="E69" s="228">
        <v>436347</v>
      </c>
      <c r="F69" s="229">
        <v>0.04</v>
      </c>
      <c r="G69" s="230">
        <f>+E69*(1+F69)</f>
        <v>453800.88</v>
      </c>
      <c r="H69" s="231">
        <f>B69*G69*12</f>
        <v>0</v>
      </c>
      <c r="I69" s="234"/>
      <c r="J69" s="231"/>
      <c r="K69" s="230"/>
      <c r="L69" s="231">
        <f>B69*G69*0.5</f>
        <v>0</v>
      </c>
      <c r="M69" s="230">
        <f>(H69+J69+K69+L69)/24</f>
        <v>0</v>
      </c>
      <c r="N69" s="233">
        <f>(SUM(H69:M69)-I69)/24</f>
        <v>0</v>
      </c>
      <c r="O69" s="231">
        <f>(SUM(H69:N69)-I69)/12</f>
        <v>0</v>
      </c>
      <c r="P69" s="230"/>
      <c r="Q69" s="230"/>
      <c r="R69" s="230"/>
      <c r="S69" s="227" t="s">
        <v>150</v>
      </c>
      <c r="T69" s="231">
        <f>H69/180</f>
        <v>0</v>
      </c>
      <c r="U69" s="230">
        <f>((J69+K69+L69+M69)/12)*23/30</f>
        <v>0</v>
      </c>
      <c r="V69" s="231">
        <f>SUM(H69:U69)</f>
        <v>0</v>
      </c>
      <c r="W69" s="230">
        <f>(+V69-T69-I69)*8.33/100</f>
        <v>0</v>
      </c>
      <c r="X69" s="231"/>
      <c r="Y69" s="231">
        <f>(+V69-O69-T69-K69)*4/100</f>
        <v>0</v>
      </c>
      <c r="Z69" s="230">
        <f>(+V69-O69-T69-K69-I69)*3/100</f>
        <v>0</v>
      </c>
      <c r="AA69" s="231">
        <f>(+V69-O69-T69-K69-I69)*0.5/100</f>
        <v>0</v>
      </c>
      <c r="AB69" s="230">
        <f>+AA69</f>
        <v>0</v>
      </c>
      <c r="AC69" s="231">
        <f>+AB69*2</f>
        <v>0</v>
      </c>
      <c r="AD69" s="230">
        <f>(+H69+L69)*10.875/100</f>
        <v>0</v>
      </c>
      <c r="AE69" s="231">
        <f>(+H69+L69)*8/100</f>
        <v>0</v>
      </c>
      <c r="AF69" s="230">
        <f>(+H69+L69)*0.522/100</f>
        <v>0</v>
      </c>
      <c r="AG69" s="231">
        <f>SUM(V69:AF69)</f>
        <v>0</v>
      </c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</row>
    <row r="70" spans="2:74" s="249" customFormat="1" ht="9.75" thickBot="1">
      <c r="B70" s="239">
        <f>SUM(B66:B69)</f>
        <v>1</v>
      </c>
      <c r="C70" s="240" t="s">
        <v>152</v>
      </c>
      <c r="D70" s="241"/>
      <c r="E70" s="242">
        <f>SUM(E66:E69)</f>
        <v>2219740</v>
      </c>
      <c r="F70" s="242"/>
      <c r="G70" s="242">
        <f aca="true" t="shared" si="29" ref="G70:O70">SUM(G66:G69)</f>
        <v>2335948.8740000003</v>
      </c>
      <c r="H70" s="284">
        <f t="shared" si="29"/>
        <v>19339727.928000003</v>
      </c>
      <c r="I70" s="243">
        <f t="shared" si="29"/>
        <v>0</v>
      </c>
      <c r="J70" s="243">
        <f t="shared" si="29"/>
        <v>0</v>
      </c>
      <c r="K70" s="242">
        <f t="shared" si="29"/>
        <v>0</v>
      </c>
      <c r="L70" s="243">
        <f t="shared" si="29"/>
        <v>564075.3979</v>
      </c>
      <c r="M70" s="242">
        <f t="shared" si="29"/>
        <v>829325.1385791668</v>
      </c>
      <c r="N70" s="244">
        <f t="shared" si="29"/>
        <v>863880.3526866321</v>
      </c>
      <c r="O70" s="245">
        <f t="shared" si="29"/>
        <v>1799750.734763817</v>
      </c>
      <c r="P70" s="246"/>
      <c r="Q70" s="246"/>
      <c r="R70" s="246"/>
      <c r="S70" s="240" t="s">
        <v>152</v>
      </c>
      <c r="T70" s="243">
        <f aca="true" t="shared" si="30" ref="T70:AF70">SUM(T66:T69)</f>
        <v>107442.93293333334</v>
      </c>
      <c r="U70" s="242">
        <f t="shared" si="30"/>
        <v>89022.81205283565</v>
      </c>
      <c r="V70" s="243">
        <f t="shared" si="30"/>
        <v>23593225.29691579</v>
      </c>
      <c r="W70" s="242">
        <f t="shared" si="30"/>
        <v>1956365.6709197385</v>
      </c>
      <c r="X70" s="242">
        <f t="shared" si="30"/>
        <v>234763.88051036862</v>
      </c>
      <c r="Y70" s="243">
        <f t="shared" si="30"/>
        <v>867441.2651687455</v>
      </c>
      <c r="Z70" s="242">
        <f t="shared" si="30"/>
        <v>650580.9488765592</v>
      </c>
      <c r="AA70" s="243">
        <f t="shared" si="30"/>
        <v>108430.15814609319</v>
      </c>
      <c r="AB70" s="242">
        <f t="shared" si="30"/>
        <v>108430.15814609319</v>
      </c>
      <c r="AC70" s="243">
        <f t="shared" si="30"/>
        <v>216860.31629218638</v>
      </c>
      <c r="AD70" s="242">
        <f t="shared" si="30"/>
        <v>2164538.6116916253</v>
      </c>
      <c r="AE70" s="243">
        <f t="shared" si="30"/>
        <v>1592304.2660720004</v>
      </c>
      <c r="AF70" s="242">
        <f t="shared" si="30"/>
        <v>103897.85336119802</v>
      </c>
      <c r="AG70" s="243">
        <f>SUM(AG66:AG69)</f>
        <v>31596838.426100396</v>
      </c>
      <c r="AH70" s="247"/>
      <c r="AI70" s="247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0"/>
  <sheetViews>
    <sheetView zoomScalePageLayoutView="0" workbookViewId="0" topLeftCell="A91">
      <selection activeCell="B101" sqref="B101"/>
    </sheetView>
  </sheetViews>
  <sheetFormatPr defaultColWidth="11.421875" defaultRowHeight="12.75"/>
  <cols>
    <col min="1" max="1" width="2.57421875" style="505" customWidth="1"/>
    <col min="2" max="2" width="6.00390625" style="505" customWidth="1"/>
    <col min="3" max="3" width="35.7109375" style="505" customWidth="1"/>
    <col min="4" max="4" width="13.421875" style="505" customWidth="1"/>
    <col min="5" max="5" width="12.8515625" style="505" customWidth="1"/>
    <col min="6" max="6" width="12.00390625" style="505" customWidth="1"/>
    <col min="7" max="7" width="13.00390625" style="505" customWidth="1"/>
    <col min="8" max="8" width="12.140625" style="505" bestFit="1" customWidth="1"/>
    <col min="9" max="16384" width="11.421875" style="505" customWidth="1"/>
  </cols>
  <sheetData>
    <row r="1" spans="2:7" s="494" customFormat="1" ht="18">
      <c r="B1" s="491" t="s">
        <v>0</v>
      </c>
      <c r="C1" s="492" t="s">
        <v>1</v>
      </c>
      <c r="D1" s="493" t="s">
        <v>5</v>
      </c>
      <c r="E1" s="493" t="s">
        <v>10</v>
      </c>
      <c r="F1" s="493" t="s">
        <v>11</v>
      </c>
      <c r="G1" s="493" t="s">
        <v>12</v>
      </c>
    </row>
    <row r="2" spans="2:7" s="494" customFormat="1" ht="18">
      <c r="B2" s="495"/>
      <c r="C2" s="496"/>
      <c r="D2" s="497" t="s">
        <v>301</v>
      </c>
      <c r="E2" s="497" t="s">
        <v>17</v>
      </c>
      <c r="F2" s="497" t="s">
        <v>18</v>
      </c>
      <c r="G2" s="497" t="s">
        <v>19</v>
      </c>
    </row>
    <row r="3" spans="2:7" s="501" customFormat="1" ht="18">
      <c r="B3" s="498">
        <v>1</v>
      </c>
      <c r="C3" s="499" t="s">
        <v>20</v>
      </c>
      <c r="D3" s="500">
        <f>SUM(D5+D34)</f>
        <v>4169290034.922445</v>
      </c>
      <c r="E3" s="500">
        <f>SUM(E5+E34)</f>
        <v>2862212769.4945536</v>
      </c>
      <c r="F3" s="500">
        <f>SUM(F5+F34)</f>
        <v>0</v>
      </c>
      <c r="G3" s="500">
        <f>SUM(G5+G34)</f>
        <v>1307077265.4278913</v>
      </c>
    </row>
    <row r="4" spans="2:7" ht="18">
      <c r="B4" s="502"/>
      <c r="C4" s="503"/>
      <c r="D4" s="504"/>
      <c r="E4" s="504"/>
      <c r="F4" s="504"/>
      <c r="G4" s="504"/>
    </row>
    <row r="5" spans="2:7" s="509" customFormat="1" ht="18">
      <c r="B5" s="506">
        <v>1.1</v>
      </c>
      <c r="C5" s="507" t="s">
        <v>21</v>
      </c>
      <c r="D5" s="508">
        <f>SUM(D6+D12)</f>
        <v>872068424.7062426</v>
      </c>
      <c r="E5" s="508">
        <f>SUM(E6+E12)</f>
        <v>113411165.94455317</v>
      </c>
      <c r="F5" s="508">
        <f>SUM(F6+F12)</f>
        <v>0</v>
      </c>
      <c r="G5" s="508">
        <f>SUM(G6+G12)</f>
        <v>758657258.7616894</v>
      </c>
    </row>
    <row r="6" spans="2:7" ht="18">
      <c r="B6" s="498" t="s">
        <v>22</v>
      </c>
      <c r="C6" s="499" t="s">
        <v>23</v>
      </c>
      <c r="D6" s="500">
        <f>SUM(D7:D10)</f>
        <v>382610414.91168946</v>
      </c>
      <c r="E6" s="500">
        <f>SUM(E7:E10)</f>
        <v>37543249.800000004</v>
      </c>
      <c r="F6" s="500">
        <f>SUM(F7:F10)</f>
        <v>0</v>
      </c>
      <c r="G6" s="500">
        <f>SUM(G7:G10)</f>
        <v>345067165.11168945</v>
      </c>
    </row>
    <row r="7" spans="2:7" ht="18">
      <c r="B7" s="502">
        <v>11101</v>
      </c>
      <c r="C7" s="503" t="s">
        <v>24</v>
      </c>
      <c r="D7" s="504">
        <f>'ANALISIS INGRESOS'!V8</f>
        <v>343291058.61168945</v>
      </c>
      <c r="E7" s="504"/>
      <c r="F7" s="504"/>
      <c r="G7" s="504">
        <f>+D7</f>
        <v>343291058.61168945</v>
      </c>
    </row>
    <row r="8" spans="2:7" ht="18">
      <c r="B8" s="502">
        <v>11102</v>
      </c>
      <c r="C8" s="503" t="s">
        <v>25</v>
      </c>
      <c r="D8" s="504">
        <f>'ANALISIS INGRESOS'!V9</f>
        <v>37543249.800000004</v>
      </c>
      <c r="E8" s="504">
        <f>+D8</f>
        <v>37543249.800000004</v>
      </c>
      <c r="F8" s="504"/>
      <c r="G8" s="504"/>
    </row>
    <row r="9" spans="2:7" ht="18">
      <c r="B9" s="502">
        <v>11103</v>
      </c>
      <c r="C9" s="503" t="s">
        <v>26</v>
      </c>
      <c r="D9" s="504">
        <f>'ANALISIS INGRESOS'!V10</f>
        <v>498750</v>
      </c>
      <c r="E9" s="504"/>
      <c r="F9" s="504"/>
      <c r="G9" s="504">
        <f>+D9</f>
        <v>498750</v>
      </c>
    </row>
    <row r="10" spans="2:7" ht="18">
      <c r="B10" s="502">
        <v>11104</v>
      </c>
      <c r="C10" s="503" t="s">
        <v>27</v>
      </c>
      <c r="D10" s="504">
        <f>'ANALISIS INGRESOS'!V11</f>
        <v>1277356.5</v>
      </c>
      <c r="E10" s="504"/>
      <c r="F10" s="504"/>
      <c r="G10" s="504">
        <f>+D10</f>
        <v>1277356.5</v>
      </c>
    </row>
    <row r="11" spans="2:7" ht="18">
      <c r="B11" s="502"/>
      <c r="C11" s="503"/>
      <c r="D11" s="504"/>
      <c r="E11" s="504"/>
      <c r="F11" s="504"/>
      <c r="G11" s="504"/>
    </row>
    <row r="12" spans="2:7" ht="18">
      <c r="B12" s="498" t="s">
        <v>28</v>
      </c>
      <c r="C12" s="499" t="s">
        <v>29</v>
      </c>
      <c r="D12" s="500">
        <f>SUM(D13:D32)</f>
        <v>489458009.79455316</v>
      </c>
      <c r="E12" s="500">
        <f>SUM(E13:E32)</f>
        <v>75867916.14455315</v>
      </c>
      <c r="F12" s="500">
        <f>SUM(F13:F32)</f>
        <v>0</v>
      </c>
      <c r="G12" s="500">
        <f>SUM(G13:G32)</f>
        <v>413590093.65</v>
      </c>
    </row>
    <row r="13" spans="2:7" ht="18">
      <c r="B13" s="502"/>
      <c r="C13" s="503" t="s">
        <v>30</v>
      </c>
      <c r="D13" s="504">
        <v>250000000</v>
      </c>
      <c r="E13" s="504"/>
      <c r="F13" s="504"/>
      <c r="G13" s="504">
        <f>+D13</f>
        <v>250000000</v>
      </c>
    </row>
    <row r="14" spans="2:7" ht="18">
      <c r="B14" s="502"/>
      <c r="C14" s="503" t="s">
        <v>31</v>
      </c>
      <c r="D14" s="504">
        <v>37000000</v>
      </c>
      <c r="E14" s="504"/>
      <c r="F14" s="504"/>
      <c r="G14" s="504">
        <f>+D14</f>
        <v>37000000</v>
      </c>
    </row>
    <row r="15" spans="2:6" ht="18">
      <c r="B15" s="502"/>
      <c r="C15" s="503" t="s">
        <v>32</v>
      </c>
      <c r="D15" s="504">
        <f>'ANALISIS INGRESOS'!V16</f>
        <v>4410000</v>
      </c>
      <c r="E15" s="504">
        <f>+D15</f>
        <v>4410000</v>
      </c>
      <c r="F15" s="504"/>
    </row>
    <row r="16" spans="2:7" ht="18">
      <c r="B16" s="502"/>
      <c r="C16" s="503" t="s">
        <v>33</v>
      </c>
      <c r="D16" s="504">
        <f>'ANALISIS INGRESOS'!V17</f>
        <v>91507500</v>
      </c>
      <c r="F16" s="504"/>
      <c r="G16" s="504">
        <f>+D16</f>
        <v>91507500</v>
      </c>
    </row>
    <row r="17" spans="2:7" ht="18">
      <c r="B17" s="502"/>
      <c r="C17" s="503" t="s">
        <v>34</v>
      </c>
      <c r="D17" s="504">
        <f>'ANALISIS INGRESOS'!V18</f>
        <v>1332126.6</v>
      </c>
      <c r="E17" s="504">
        <f>+D17</f>
        <v>1332126.6</v>
      </c>
      <c r="F17" s="504"/>
      <c r="G17" s="504"/>
    </row>
    <row r="18" spans="2:7" ht="18">
      <c r="B18" s="502"/>
      <c r="C18" s="503" t="s">
        <v>35</v>
      </c>
      <c r="D18" s="504">
        <f>'ANALISIS INGRESOS'!V19</f>
        <v>0</v>
      </c>
      <c r="E18" s="504">
        <f>+D18</f>
        <v>0</v>
      </c>
      <c r="F18" s="504"/>
      <c r="G18" s="504"/>
    </row>
    <row r="19" spans="2:7" ht="18">
      <c r="B19" s="502"/>
      <c r="C19" s="503" t="s">
        <v>36</v>
      </c>
      <c r="D19" s="504">
        <f>'ANALISIS INGRESOS'!V20</f>
        <v>0</v>
      </c>
      <c r="E19" s="504">
        <f>+D19</f>
        <v>0</v>
      </c>
      <c r="F19" s="504"/>
      <c r="G19" s="504"/>
    </row>
    <row r="20" spans="2:7" ht="18">
      <c r="B20" s="502"/>
      <c r="C20" s="503" t="s">
        <v>37</v>
      </c>
      <c r="D20" s="504">
        <v>2000000</v>
      </c>
      <c r="E20" s="504">
        <f>+D20</f>
        <v>2000000</v>
      </c>
      <c r="F20" s="504"/>
      <c r="G20" s="504"/>
    </row>
    <row r="21" spans="2:7" ht="18">
      <c r="B21" s="502"/>
      <c r="C21" s="503" t="s">
        <v>38</v>
      </c>
      <c r="D21" s="504">
        <f>'ANALISIS INGRESOS'!V22</f>
        <v>6744793.65</v>
      </c>
      <c r="E21" s="504"/>
      <c r="F21" s="504"/>
      <c r="G21" s="504">
        <f aca="true" t="shared" si="0" ref="G21:G29">+D21</f>
        <v>6744793.65</v>
      </c>
    </row>
    <row r="22" spans="2:7" ht="18">
      <c r="B22" s="502"/>
      <c r="C22" s="503" t="s">
        <v>39</v>
      </c>
      <c r="D22" s="504">
        <v>1000000</v>
      </c>
      <c r="E22" s="504"/>
      <c r="F22" s="504"/>
      <c r="G22" s="504">
        <f t="shared" si="0"/>
        <v>1000000</v>
      </c>
    </row>
    <row r="23" spans="2:7" ht="18">
      <c r="B23" s="502"/>
      <c r="C23" s="503" t="s">
        <v>40</v>
      </c>
      <c r="D23" s="504">
        <f>'ANALISIS INGRESOS'!V24</f>
        <v>0</v>
      </c>
      <c r="E23" s="504"/>
      <c r="F23" s="504"/>
      <c r="G23" s="504">
        <f t="shared" si="0"/>
        <v>0</v>
      </c>
    </row>
    <row r="24" spans="2:7" ht="18">
      <c r="B24" s="502"/>
      <c r="C24" s="503" t="s">
        <v>41</v>
      </c>
      <c r="D24" s="504">
        <f>'ANALISIS INGRESOS'!V25</f>
        <v>877800</v>
      </c>
      <c r="E24" s="504"/>
      <c r="F24" s="504"/>
      <c r="G24" s="504">
        <f t="shared" si="0"/>
        <v>877800</v>
      </c>
    </row>
    <row r="25" spans="2:7" ht="18">
      <c r="B25" s="502"/>
      <c r="C25" s="503" t="s">
        <v>42</v>
      </c>
      <c r="D25" s="504">
        <f>'ANALISIS INGRESOS'!V26</f>
        <v>26460000</v>
      </c>
      <c r="E25" s="504"/>
      <c r="F25" s="504"/>
      <c r="G25" s="504">
        <f t="shared" si="0"/>
        <v>26460000</v>
      </c>
    </row>
    <row r="26" spans="2:7" ht="18">
      <c r="B26" s="502"/>
      <c r="C26" s="503" t="s">
        <v>43</v>
      </c>
      <c r="D26" s="504">
        <f>'ANALISIS INGRESOS'!V27</f>
        <v>0</v>
      </c>
      <c r="E26" s="504"/>
      <c r="F26" s="504"/>
      <c r="G26" s="504">
        <f t="shared" si="0"/>
        <v>0</v>
      </c>
    </row>
    <row r="27" spans="2:7" ht="18">
      <c r="B27" s="502"/>
      <c r="C27" s="503" t="s">
        <v>44</v>
      </c>
      <c r="D27" s="504">
        <f>'ANALISIS INGRESOS'!V28</f>
        <v>0</v>
      </c>
      <c r="E27" s="504"/>
      <c r="F27" s="504"/>
      <c r="G27" s="504">
        <f t="shared" si="0"/>
        <v>0</v>
      </c>
    </row>
    <row r="28" spans="2:7" ht="18">
      <c r="B28" s="502"/>
      <c r="C28" s="503" t="s">
        <v>45</v>
      </c>
      <c r="D28" s="504">
        <f>'ANALISIS INGRESOS'!V29</f>
        <v>0</v>
      </c>
      <c r="E28" s="504"/>
      <c r="F28" s="504"/>
      <c r="G28" s="504">
        <f t="shared" si="0"/>
        <v>0</v>
      </c>
    </row>
    <row r="29" spans="2:7" ht="18">
      <c r="B29" s="502"/>
      <c r="C29" s="503" t="s">
        <v>46</v>
      </c>
      <c r="D29" s="504">
        <f>'ANALISIS INGRESOS'!V30</f>
        <v>0</v>
      </c>
      <c r="E29" s="504"/>
      <c r="F29" s="504"/>
      <c r="G29" s="504">
        <f t="shared" si="0"/>
        <v>0</v>
      </c>
    </row>
    <row r="30" spans="2:7" ht="18">
      <c r="B30" s="502"/>
      <c r="C30" s="503" t="s">
        <v>47</v>
      </c>
      <c r="D30" s="504">
        <f>'ANALISIS INGRESOS'!V31</f>
        <v>0</v>
      </c>
      <c r="E30" s="504"/>
      <c r="F30" s="504"/>
      <c r="G30" s="504"/>
    </row>
    <row r="31" spans="2:7" ht="18">
      <c r="B31" s="502"/>
      <c r="C31" s="503" t="s">
        <v>256</v>
      </c>
      <c r="D31" s="504">
        <f>'ANALISIS INGRESOS'!V33</f>
        <v>35784181.042596854</v>
      </c>
      <c r="E31" s="504">
        <f>+D31</f>
        <v>35784181.042596854</v>
      </c>
      <c r="F31" s="504"/>
      <c r="G31" s="504"/>
    </row>
    <row r="32" spans="2:7" ht="18">
      <c r="B32" s="502"/>
      <c r="C32" s="503" t="s">
        <v>263</v>
      </c>
      <c r="D32" s="504">
        <f>'ANALISIS INGRESOS'!V34</f>
        <v>32341608.501956306</v>
      </c>
      <c r="E32" s="504">
        <f>+D32</f>
        <v>32341608.501956306</v>
      </c>
      <c r="F32" s="510"/>
      <c r="G32" s="510"/>
    </row>
    <row r="33" spans="2:7" ht="18">
      <c r="B33" s="502"/>
      <c r="C33" s="503"/>
      <c r="D33" s="504"/>
      <c r="E33" s="504"/>
      <c r="F33" s="510"/>
      <c r="G33" s="510"/>
    </row>
    <row r="34" spans="2:7" s="509" customFormat="1" ht="18">
      <c r="B34" s="506">
        <v>1.2</v>
      </c>
      <c r="C34" s="507" t="s">
        <v>48</v>
      </c>
      <c r="D34" s="508">
        <f>SUM(D35+D56+D60+D68)</f>
        <v>3297221610.2162023</v>
      </c>
      <c r="E34" s="508">
        <f>SUM(E35+E56+E60+E68)</f>
        <v>2748801603.55</v>
      </c>
      <c r="F34" s="508">
        <f>SUM(F35+F56+F60+F68)</f>
        <v>0</v>
      </c>
      <c r="G34" s="508">
        <f>SUM(G35+G56+G60+G68)</f>
        <v>548420006.666202</v>
      </c>
    </row>
    <row r="35" spans="2:7" ht="18">
      <c r="B35" s="498" t="s">
        <v>49</v>
      </c>
      <c r="C35" s="499" t="s">
        <v>50</v>
      </c>
      <c r="D35" s="500">
        <f>SUM(D36:D48)</f>
        <v>41115277.66620197</v>
      </c>
      <c r="E35" s="500">
        <f>SUM(E36:E48)</f>
        <v>0</v>
      </c>
      <c r="F35" s="500">
        <f>SUM(F36:F48)</f>
        <v>0</v>
      </c>
      <c r="G35" s="500">
        <f>SUM(G36:G48)</f>
        <v>41115277.66620197</v>
      </c>
    </row>
    <row r="36" spans="2:7" ht="18">
      <c r="B36" s="502"/>
      <c r="C36" s="503" t="s">
        <v>51</v>
      </c>
      <c r="D36" s="504">
        <f>SUM('ANALISIS INGRESOS'!V38)</f>
        <v>0</v>
      </c>
      <c r="E36" s="504"/>
      <c r="F36" s="504"/>
      <c r="G36" s="504">
        <f aca="true" t="shared" si="1" ref="G36:G43">+D36</f>
        <v>0</v>
      </c>
    </row>
    <row r="37" spans="2:7" ht="18">
      <c r="B37" s="502"/>
      <c r="C37" s="503" t="s">
        <v>52</v>
      </c>
      <c r="D37" s="504">
        <f>SUM('ANALISIS INGRESOS'!V39)</f>
        <v>8820000</v>
      </c>
      <c r="E37" s="504"/>
      <c r="F37" s="504"/>
      <c r="G37" s="504">
        <f t="shared" si="1"/>
        <v>8820000</v>
      </c>
    </row>
    <row r="38" spans="2:7" ht="18">
      <c r="B38" s="502"/>
      <c r="C38" s="503" t="s">
        <v>53</v>
      </c>
      <c r="D38" s="504">
        <f>SUM('ANALISIS INGRESOS'!V40)</f>
        <v>0</v>
      </c>
      <c r="E38" s="504"/>
      <c r="F38" s="504"/>
      <c r="G38" s="504">
        <f t="shared" si="1"/>
        <v>0</v>
      </c>
    </row>
    <row r="39" spans="2:7" ht="18">
      <c r="B39" s="502"/>
      <c r="C39" s="503" t="s">
        <v>287</v>
      </c>
      <c r="D39" s="504">
        <f>SUM('ANALISIS INGRESOS'!V41)</f>
        <v>23003269.8</v>
      </c>
      <c r="E39" s="504"/>
      <c r="F39" s="504"/>
      <c r="G39" s="504">
        <f t="shared" si="1"/>
        <v>23003269.8</v>
      </c>
    </row>
    <row r="40" spans="2:7" ht="18">
      <c r="B40" s="502"/>
      <c r="C40" s="503" t="s">
        <v>55</v>
      </c>
      <c r="D40" s="504">
        <f>SUM('ANALISIS INGRESOS'!V42)</f>
        <v>165553.5</v>
      </c>
      <c r="E40" s="504"/>
      <c r="F40" s="504"/>
      <c r="G40" s="504">
        <f t="shared" si="1"/>
        <v>165553.5</v>
      </c>
    </row>
    <row r="41" spans="2:7" ht="18">
      <c r="B41" s="502"/>
      <c r="C41" s="503" t="s">
        <v>56</v>
      </c>
      <c r="D41" s="504">
        <f>SUM('ANALISIS INGRESOS'!V43)</f>
        <v>44268</v>
      </c>
      <c r="E41" s="504"/>
      <c r="F41" s="504"/>
      <c r="G41" s="504">
        <f t="shared" si="1"/>
        <v>44268</v>
      </c>
    </row>
    <row r="42" spans="2:7" ht="18">
      <c r="B42" s="502"/>
      <c r="C42" s="503" t="s">
        <v>57</v>
      </c>
      <c r="D42" s="504">
        <f>SUM('ANALISIS INGRESOS'!V44)</f>
        <v>2703750</v>
      </c>
      <c r="E42" s="504"/>
      <c r="F42" s="504"/>
      <c r="G42" s="504">
        <f t="shared" si="1"/>
        <v>2703750</v>
      </c>
    </row>
    <row r="43" spans="2:7" ht="18">
      <c r="B43" s="502"/>
      <c r="C43" s="503" t="s">
        <v>58</v>
      </c>
      <c r="D43" s="504">
        <f>SUM('ANALISIS INGRESOS'!V45)</f>
        <v>692790</v>
      </c>
      <c r="E43" s="504"/>
      <c r="F43" s="504"/>
      <c r="G43" s="504">
        <f t="shared" si="1"/>
        <v>692790</v>
      </c>
    </row>
    <row r="44" spans="2:7" ht="18">
      <c r="B44" s="502"/>
      <c r="C44" s="503" t="s">
        <v>59</v>
      </c>
      <c r="D44" s="504">
        <f>SUM('ANALISIS INGRESOS'!V46)</f>
        <v>0</v>
      </c>
      <c r="E44" s="504">
        <f>+D44</f>
        <v>0</v>
      </c>
      <c r="F44" s="504"/>
      <c r="G44" s="504"/>
    </row>
    <row r="45" spans="2:7" ht="18">
      <c r="B45" s="502"/>
      <c r="C45" s="503" t="s">
        <v>60</v>
      </c>
      <c r="D45" s="504">
        <f>SUM('ANALISIS INGRESOS'!V47)</f>
        <v>5292000</v>
      </c>
      <c r="E45" s="504"/>
      <c r="F45" s="504"/>
      <c r="G45" s="504">
        <f>+D45</f>
        <v>5292000</v>
      </c>
    </row>
    <row r="46" spans="2:7" ht="18">
      <c r="B46" s="502"/>
      <c r="C46" s="503" t="s">
        <v>61</v>
      </c>
      <c r="D46" s="504">
        <f>SUM('ANALISIS INGRESOS'!V48)</f>
        <v>0</v>
      </c>
      <c r="E46" s="504"/>
      <c r="F46" s="504"/>
      <c r="G46" s="504">
        <f>+D46</f>
        <v>0</v>
      </c>
    </row>
    <row r="47" spans="2:7" ht="18">
      <c r="B47" s="502"/>
      <c r="C47" s="503" t="s">
        <v>202</v>
      </c>
      <c r="D47" s="504">
        <f>SUM('ANALISIS INGRESOS'!V49)</f>
        <v>193646.36620197463</v>
      </c>
      <c r="E47" s="504"/>
      <c r="F47" s="504"/>
      <c r="G47" s="504">
        <f>+D47</f>
        <v>193646.36620197463</v>
      </c>
    </row>
    <row r="48" spans="2:7" ht="18">
      <c r="B48" s="502"/>
      <c r="C48" s="511" t="s">
        <v>267</v>
      </c>
      <c r="D48" s="504">
        <f>SUM('ANALISIS INGRESOS'!V50)</f>
        <v>200000</v>
      </c>
      <c r="E48" s="512"/>
      <c r="F48" s="504"/>
      <c r="G48" s="504">
        <f>+D48</f>
        <v>200000</v>
      </c>
    </row>
    <row r="49" spans="2:7" ht="18">
      <c r="B49" s="513"/>
      <c r="C49" s="514"/>
      <c r="D49" s="515"/>
      <c r="E49" s="515"/>
      <c r="F49" s="516"/>
      <c r="G49" s="516"/>
    </row>
    <row r="50" spans="2:7" ht="18">
      <c r="B50" s="517"/>
      <c r="C50" s="511"/>
      <c r="D50" s="512"/>
      <c r="E50" s="512"/>
      <c r="F50" s="512"/>
      <c r="G50" s="512"/>
    </row>
    <row r="51" spans="2:7" ht="18">
      <c r="B51" s="517"/>
      <c r="C51" s="511"/>
      <c r="D51" s="512"/>
      <c r="E51" s="512"/>
      <c r="F51" s="512"/>
      <c r="G51" s="512"/>
    </row>
    <row r="52" spans="2:7" ht="18">
      <c r="B52" s="518"/>
      <c r="C52" s="514"/>
      <c r="D52" s="515"/>
      <c r="E52" s="515"/>
      <c r="F52" s="515"/>
      <c r="G52" s="515"/>
    </row>
    <row r="53" spans="2:7" ht="18">
      <c r="B53" s="502"/>
      <c r="C53" s="519" t="s">
        <v>1</v>
      </c>
      <c r="D53" s="520" t="s">
        <v>5</v>
      </c>
      <c r="E53" s="520" t="s">
        <v>10</v>
      </c>
      <c r="F53" s="520" t="s">
        <v>11</v>
      </c>
      <c r="G53" s="520" t="s">
        <v>12</v>
      </c>
    </row>
    <row r="54" spans="2:7" ht="18">
      <c r="B54" s="502"/>
      <c r="C54" s="496"/>
      <c r="D54" s="497" t="s">
        <v>301</v>
      </c>
      <c r="E54" s="497" t="s">
        <v>17</v>
      </c>
      <c r="F54" s="497" t="s">
        <v>18</v>
      </c>
      <c r="G54" s="497" t="s">
        <v>19</v>
      </c>
    </row>
    <row r="55" spans="2:7" ht="18">
      <c r="B55" s="502"/>
      <c r="D55" s="521"/>
      <c r="E55" s="522"/>
      <c r="F55" s="504"/>
      <c r="G55" s="504"/>
    </row>
    <row r="56" spans="2:7" ht="18">
      <c r="B56" s="498" t="s">
        <v>63</v>
      </c>
      <c r="C56" s="499" t="s">
        <v>64</v>
      </c>
      <c r="D56" s="523">
        <f>SUM(D57:D58)</f>
        <v>1000000</v>
      </c>
      <c r="E56" s="523">
        <f>SUM(E57:E58)</f>
        <v>1000000</v>
      </c>
      <c r="F56" s="523">
        <f>SUM(F57:F58)</f>
        <v>0</v>
      </c>
      <c r="G56" s="523">
        <f>SUM(G57:G58)</f>
        <v>0</v>
      </c>
    </row>
    <row r="57" spans="2:7" ht="18">
      <c r="B57" s="502"/>
      <c r="C57" s="503" t="s">
        <v>65</v>
      </c>
      <c r="D57" s="510">
        <f>SUM('ANALISIS INGRESOS'!V53)</f>
        <v>0</v>
      </c>
      <c r="E57" s="510"/>
      <c r="F57" s="510"/>
      <c r="G57" s="504">
        <f>+D57</f>
        <v>0</v>
      </c>
    </row>
    <row r="58" spans="2:7" ht="18">
      <c r="B58" s="502"/>
      <c r="C58" s="503" t="s">
        <v>66</v>
      </c>
      <c r="D58" s="510">
        <v>1000000</v>
      </c>
      <c r="E58" s="524">
        <f>+D58</f>
        <v>1000000</v>
      </c>
      <c r="F58" s="510"/>
      <c r="G58" s="504"/>
    </row>
    <row r="59" spans="2:7" ht="18">
      <c r="B59" s="502"/>
      <c r="C59" s="503"/>
      <c r="D59" s="524"/>
      <c r="E59" s="524"/>
      <c r="F59" s="524"/>
      <c r="G59" s="525"/>
    </row>
    <row r="60" spans="2:7" ht="18">
      <c r="B60" s="498" t="s">
        <v>67</v>
      </c>
      <c r="C60" s="499" t="s">
        <v>265</v>
      </c>
      <c r="D60" s="500">
        <f>SUM(D61:D67)</f>
        <v>3161704789</v>
      </c>
      <c r="E60" s="500">
        <f>SUM(E61:E67)</f>
        <v>2654400060</v>
      </c>
      <c r="F60" s="500">
        <f>SUM(F61:F66)</f>
        <v>0</v>
      </c>
      <c r="G60" s="500">
        <f>SUM(G61:G66)</f>
        <v>507304729</v>
      </c>
    </row>
    <row r="61" spans="2:7" ht="18">
      <c r="B61" s="502"/>
      <c r="C61" s="503" t="s">
        <v>69</v>
      </c>
      <c r="D61" s="504">
        <f>SUM('ANALISIS INGRESOS'!Q57)</f>
        <v>301792223</v>
      </c>
      <c r="E61" s="504">
        <f>+D61</f>
        <v>301792223</v>
      </c>
      <c r="F61" s="510"/>
      <c r="G61" s="510"/>
    </row>
    <row r="62" spans="2:7" ht="18">
      <c r="B62" s="502"/>
      <c r="C62" s="503" t="s">
        <v>400</v>
      </c>
      <c r="D62" s="504">
        <f>SUM('ANALISIS INGRESOS'!Q58)</f>
        <v>507304729</v>
      </c>
      <c r="E62" s="504"/>
      <c r="F62" s="504"/>
      <c r="G62" s="504">
        <f>D62</f>
        <v>507304729</v>
      </c>
    </row>
    <row r="63" spans="2:7" ht="18">
      <c r="B63" s="502"/>
      <c r="C63" s="503" t="s">
        <v>71</v>
      </c>
      <c r="D63" s="504">
        <f>SUM('ANALISIS INGRESOS'!Q59)</f>
        <v>369507902</v>
      </c>
      <c r="E63" s="504">
        <f>+D63</f>
        <v>369507902</v>
      </c>
      <c r="F63" s="504"/>
      <c r="G63" s="504"/>
    </row>
    <row r="64" spans="2:7" ht="18">
      <c r="B64" s="502"/>
      <c r="C64" s="511" t="s">
        <v>255</v>
      </c>
      <c r="D64" s="504">
        <f>SUM('ANALISIS INGRESOS'!Q60)</f>
        <v>896845164</v>
      </c>
      <c r="E64" s="504">
        <f>+D64</f>
        <v>896845164</v>
      </c>
      <c r="F64" s="504"/>
      <c r="G64" s="504"/>
    </row>
    <row r="65" spans="2:7" ht="18">
      <c r="B65" s="502"/>
      <c r="C65" s="503" t="s">
        <v>401</v>
      </c>
      <c r="D65" s="504">
        <f>SUM('ANALISIS INGRESOS'!Q61)</f>
        <v>724663168</v>
      </c>
      <c r="E65" s="504">
        <f>+D65</f>
        <v>724663168</v>
      </c>
      <c r="F65" s="504"/>
      <c r="G65" s="504"/>
    </row>
    <row r="66" spans="2:7" ht="18">
      <c r="B66" s="502"/>
      <c r="C66" s="503" t="s">
        <v>73</v>
      </c>
      <c r="D66" s="504">
        <f>SUM('ANALISIS INGRESOS'!Q62)</f>
        <v>58351672</v>
      </c>
      <c r="E66" s="504">
        <f>+D66</f>
        <v>58351672</v>
      </c>
      <c r="F66" s="504"/>
      <c r="G66" s="504"/>
    </row>
    <row r="67" spans="2:7" ht="18">
      <c r="B67" s="502"/>
      <c r="C67" s="503" t="s">
        <v>399</v>
      </c>
      <c r="D67" s="504">
        <f>SUM('ANALISIS INGRESOS'!Q63)</f>
        <v>303239931</v>
      </c>
      <c r="E67" s="504">
        <f>+D67</f>
        <v>303239931</v>
      </c>
      <c r="F67" s="504"/>
      <c r="G67" s="504"/>
    </row>
    <row r="68" spans="2:7" s="501" customFormat="1" ht="18">
      <c r="B68" s="498">
        <v>2</v>
      </c>
      <c r="C68" s="499" t="s">
        <v>74</v>
      </c>
      <c r="D68" s="523">
        <f>SUM(D69:D69)</f>
        <v>93401543.55</v>
      </c>
      <c r="E68" s="523">
        <f>SUM(E69:E69)</f>
        <v>93401543.55</v>
      </c>
      <c r="F68" s="523">
        <f>SUM(F69:F69)</f>
        <v>0</v>
      </c>
      <c r="G68" s="523">
        <f>SUM(G69:G69)</f>
        <v>0</v>
      </c>
    </row>
    <row r="69" spans="2:7" ht="18">
      <c r="B69" s="502"/>
      <c r="C69" s="503" t="s">
        <v>75</v>
      </c>
      <c r="D69" s="504">
        <f>'ANALISIS INGRESOS'!V70</f>
        <v>93401543.55</v>
      </c>
      <c r="E69" s="510">
        <f>+D69</f>
        <v>93401543.55</v>
      </c>
      <c r="F69" s="510"/>
      <c r="G69" s="504"/>
    </row>
    <row r="70" spans="2:7" ht="18">
      <c r="B70" s="502"/>
      <c r="C70" s="503"/>
      <c r="D70" s="510"/>
      <c r="E70" s="510"/>
      <c r="F70" s="510"/>
      <c r="G70" s="510"/>
    </row>
    <row r="71" spans="2:7" ht="18">
      <c r="B71" s="502"/>
      <c r="C71" s="503"/>
      <c r="D71" s="504"/>
      <c r="E71" s="504"/>
      <c r="F71" s="504"/>
      <c r="G71" s="504"/>
    </row>
    <row r="72" spans="2:7" s="501" customFormat="1" ht="18">
      <c r="B72" s="498">
        <v>3</v>
      </c>
      <c r="C72" s="499" t="s">
        <v>76</v>
      </c>
      <c r="D72" s="523">
        <f>SUM(D73:D76)</f>
        <v>15225818</v>
      </c>
      <c r="E72" s="523">
        <f>SUM(E73:E76)</f>
        <v>0</v>
      </c>
      <c r="F72" s="523">
        <f>SUM(F73:F76)</f>
        <v>15225818</v>
      </c>
      <c r="G72" s="523">
        <f>SUM(G73:G76)</f>
        <v>0</v>
      </c>
    </row>
    <row r="73" spans="2:7" ht="18">
      <c r="B73" s="502"/>
      <c r="C73" s="503" t="s">
        <v>77</v>
      </c>
      <c r="D73" s="510">
        <v>0</v>
      </c>
      <c r="E73" s="510"/>
      <c r="F73" s="510"/>
      <c r="G73" s="510"/>
    </row>
    <row r="74" spans="2:7" ht="18">
      <c r="B74" s="502"/>
      <c r="C74" s="503" t="s">
        <v>78</v>
      </c>
      <c r="D74" s="510">
        <f>SUM('ANALISIS INGRESOS'!Q80)</f>
        <v>15225818</v>
      </c>
      <c r="E74" s="510"/>
      <c r="F74" s="510">
        <f>D74</f>
        <v>15225818</v>
      </c>
      <c r="G74" s="510"/>
    </row>
    <row r="75" spans="2:7" ht="18">
      <c r="B75" s="502"/>
      <c r="C75" s="503" t="s">
        <v>85</v>
      </c>
      <c r="D75" s="510">
        <f>SUM('ANALISIS INGRESOS'!V82)</f>
        <v>0</v>
      </c>
      <c r="E75" s="510"/>
      <c r="F75" s="510">
        <f>D75</f>
        <v>0</v>
      </c>
      <c r="G75" s="510"/>
    </row>
    <row r="76" spans="2:7" ht="18">
      <c r="B76" s="502"/>
      <c r="C76" s="503" t="s">
        <v>80</v>
      </c>
      <c r="D76" s="510">
        <f>SUM('ANALISIS INGRESOS'!V85)</f>
        <v>0</v>
      </c>
      <c r="E76" s="510"/>
      <c r="F76" s="510">
        <f>D76</f>
        <v>0</v>
      </c>
      <c r="G76" s="510"/>
    </row>
    <row r="77" spans="2:7" ht="18">
      <c r="B77" s="502"/>
      <c r="C77" s="503"/>
      <c r="D77" s="504"/>
      <c r="E77" s="510">
        <f>F77</f>
        <v>0</v>
      </c>
      <c r="F77" s="504"/>
      <c r="G77" s="504"/>
    </row>
    <row r="78" spans="2:7" s="494" customFormat="1" ht="18">
      <c r="B78" s="526"/>
      <c r="C78" s="527" t="s">
        <v>81</v>
      </c>
      <c r="D78" s="528">
        <f>SUM(D3+D72)</f>
        <v>4184515852.922445</v>
      </c>
      <c r="E78" s="528">
        <f>SUM(E3+E72)</f>
        <v>2862212769.4945536</v>
      </c>
      <c r="F78" s="528">
        <f>SUM(F3+F72)</f>
        <v>15225818</v>
      </c>
      <c r="G78" s="528">
        <f>SUM(G3+G68+G72)</f>
        <v>1307077265.4278913</v>
      </c>
    </row>
    <row r="79" spans="2:7" s="494" customFormat="1" ht="18" hidden="1">
      <c r="B79" s="529" t="s">
        <v>398</v>
      </c>
      <c r="C79" s="530"/>
      <c r="D79" s="531"/>
      <c r="E79" s="531"/>
      <c r="F79" s="531"/>
      <c r="G79" s="531"/>
    </row>
    <row r="80" spans="2:7" s="494" customFormat="1" ht="18" hidden="1">
      <c r="B80" s="532" t="s">
        <v>82</v>
      </c>
      <c r="C80" s="530"/>
      <c r="D80" s="531"/>
      <c r="E80" s="531"/>
      <c r="F80" s="531"/>
      <c r="G80" s="531"/>
    </row>
    <row r="81" spans="2:7" s="494" customFormat="1" ht="18">
      <c r="B81" s="532"/>
      <c r="C81" s="530"/>
      <c r="D81" s="531"/>
      <c r="E81" s="531"/>
      <c r="F81" s="531"/>
      <c r="G81" s="531"/>
    </row>
    <row r="82" spans="2:7" s="494" customFormat="1" ht="18">
      <c r="B82" s="532"/>
      <c r="C82" s="530"/>
      <c r="D82" s="533" t="s">
        <v>86</v>
      </c>
      <c r="E82" s="531"/>
      <c r="F82" s="531"/>
      <c r="G82" s="531"/>
    </row>
    <row r="83" spans="2:7" s="494" customFormat="1" ht="18">
      <c r="B83" s="532"/>
      <c r="C83" s="530"/>
      <c r="D83" s="531"/>
      <c r="E83" s="531"/>
      <c r="F83" s="531"/>
      <c r="G83" s="531"/>
    </row>
    <row r="84" spans="2:8" s="494" customFormat="1" ht="18">
      <c r="B84" s="511" t="s">
        <v>289</v>
      </c>
      <c r="C84" s="505"/>
      <c r="D84" s="512"/>
      <c r="E84" s="512"/>
      <c r="F84" s="512"/>
      <c r="G84" s="512">
        <f>+G78*0.8</f>
        <v>1045661812.342313</v>
      </c>
      <c r="H84" s="534"/>
    </row>
    <row r="85" spans="2:7" s="494" customFormat="1" ht="18">
      <c r="B85" s="511" t="s">
        <v>288</v>
      </c>
      <c r="C85" s="505"/>
      <c r="D85" s="512"/>
      <c r="E85" s="512"/>
      <c r="F85" s="512"/>
      <c r="G85" s="512">
        <f>SUM(PROYENOMINA!V42)</f>
        <v>75908170.80000001</v>
      </c>
    </row>
    <row r="86" spans="2:8" s="494" customFormat="1" ht="18">
      <c r="B86" s="511" t="s">
        <v>280</v>
      </c>
      <c r="C86" s="505"/>
      <c r="D86" s="512"/>
      <c r="E86" s="512"/>
      <c r="F86" s="512"/>
      <c r="G86" s="512">
        <f>+G78*0.015</f>
        <v>19606158.981418367</v>
      </c>
      <c r="H86" s="512"/>
    </row>
    <row r="87" spans="2:8" s="494" customFormat="1" ht="18">
      <c r="B87" s="511" t="s">
        <v>87</v>
      </c>
      <c r="C87" s="505"/>
      <c r="D87" s="512"/>
      <c r="E87" s="512"/>
      <c r="F87" s="512"/>
      <c r="G87" s="512">
        <f>+G85+G86</f>
        <v>95514329.78141838</v>
      </c>
      <c r="H87" s="534"/>
    </row>
    <row r="88" spans="2:7" s="494" customFormat="1" ht="18">
      <c r="B88" s="511" t="s">
        <v>88</v>
      </c>
      <c r="C88" s="505"/>
      <c r="D88" s="512"/>
      <c r="E88" s="512"/>
      <c r="F88" s="512"/>
      <c r="G88" s="512">
        <f>+(461500*1.05)*150</f>
        <v>72686250</v>
      </c>
    </row>
    <row r="89" spans="2:7" s="494" customFormat="1" ht="18">
      <c r="B89" s="511" t="s">
        <v>293</v>
      </c>
      <c r="C89" s="505"/>
      <c r="D89" s="512"/>
      <c r="E89" s="512"/>
      <c r="F89" s="512"/>
      <c r="G89" s="512">
        <f>SUM(E69:E69)+E8+E15+E17+E19+E20+E44+E31+E32+H91</f>
        <v>209096582.19455314</v>
      </c>
    </row>
    <row r="90" spans="2:7" s="494" customFormat="1" ht="18">
      <c r="B90" s="511" t="s">
        <v>290</v>
      </c>
      <c r="C90" s="505"/>
      <c r="D90" s="512"/>
      <c r="E90" s="512"/>
      <c r="F90" s="512"/>
      <c r="G90" s="512">
        <f>+G78*0.2</f>
        <v>261415453.08557826</v>
      </c>
    </row>
    <row r="91" spans="2:8" s="494" customFormat="1" ht="18">
      <c r="B91" s="511" t="s">
        <v>89</v>
      </c>
      <c r="C91" s="505"/>
      <c r="D91" s="512"/>
      <c r="E91" s="512"/>
      <c r="F91" s="512"/>
      <c r="G91" s="512">
        <f>SUM(F74:F76)-H91+1</f>
        <v>12941946.3</v>
      </c>
      <c r="H91" s="535">
        <f>F78*0.15</f>
        <v>2283872.6999999997</v>
      </c>
    </row>
    <row r="92" spans="2:7" s="494" customFormat="1" ht="18">
      <c r="B92" s="511" t="s">
        <v>90</v>
      </c>
      <c r="C92" s="505"/>
      <c r="D92" s="512"/>
      <c r="E92" s="512"/>
      <c r="F92" s="512"/>
      <c r="G92" s="512">
        <f>+E58</f>
        <v>1000000</v>
      </c>
    </row>
    <row r="93" spans="2:7" s="494" customFormat="1" ht="18">
      <c r="B93" s="511" t="s">
        <v>163</v>
      </c>
      <c r="C93" s="505"/>
      <c r="D93" s="512"/>
      <c r="E93" s="512"/>
      <c r="F93" s="512"/>
      <c r="G93" s="512">
        <f>E61+E63+E64+E65+E66</f>
        <v>2351160129</v>
      </c>
    </row>
    <row r="94" spans="2:7" ht="18">
      <c r="B94" s="517" t="s">
        <v>91</v>
      </c>
      <c r="C94" s="511"/>
      <c r="D94" s="512"/>
      <c r="E94" s="512"/>
      <c r="F94" s="512"/>
      <c r="G94" s="536">
        <f>G90+G91+G92+G93-1</f>
        <v>2626517527.385578</v>
      </c>
    </row>
    <row r="95" spans="2:7" ht="18">
      <c r="B95" s="517"/>
      <c r="C95" s="511"/>
      <c r="D95" s="512"/>
      <c r="E95" s="512"/>
      <c r="F95" s="512"/>
      <c r="G95" s="512"/>
    </row>
    <row r="96" spans="2:7" ht="18">
      <c r="B96" s="511" t="s">
        <v>92</v>
      </c>
      <c r="C96" s="511"/>
      <c r="D96" s="512"/>
      <c r="E96" s="512"/>
      <c r="F96" s="512"/>
      <c r="G96" s="512">
        <f>+G84-G87-G88</f>
        <v>877461232.5608947</v>
      </c>
    </row>
    <row r="98" ht="18">
      <c r="G98" s="505" t="s">
        <v>257</v>
      </c>
    </row>
    <row r="99" ht="18">
      <c r="B99" s="420" t="s">
        <v>308</v>
      </c>
    </row>
    <row r="100" spans="2:3" ht="18">
      <c r="B100" s="420" t="s">
        <v>309</v>
      </c>
      <c r="C100" s="494"/>
    </row>
  </sheetData>
  <sheetProtection/>
  <printOptions/>
  <pageMargins left="0.11811023622047245" right="0.11811023622047245" top="1.7322834645669292" bottom="0.7874015748031497" header="0.3937007874015748" footer="0.1968503937007874"/>
  <pageSetup horizontalDpi="120" verticalDpi="120" orientation="portrait" scale="75" r:id="rId1"/>
  <headerFooter alignWithMargins="0">
    <oddHeader>&amp;CRepublica de Colombia
ALCALDIA DE PUERTO CARREÑO
Ingresos 2009
</oddHeader>
    <oddFooter>&amp;CTrabajando con la Gente!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1065"/>
  <sheetViews>
    <sheetView zoomScalePageLayoutView="0" workbookViewId="0" topLeftCell="B1">
      <pane xSplit="1" ySplit="1" topLeftCell="H58" activePane="bottomRight" state="frozen"/>
      <selection pane="topLeft" activeCell="B1" sqref="B1"/>
      <selection pane="topRight" activeCell="C1" sqref="C1"/>
      <selection pane="bottomLeft" activeCell="B2" sqref="B2"/>
      <selection pane="bottomRight" activeCell="S10" sqref="S10"/>
    </sheetView>
  </sheetViews>
  <sheetFormatPr defaultColWidth="11.421875" defaultRowHeight="12.75"/>
  <cols>
    <col min="1" max="1" width="8.140625" style="0" customWidth="1"/>
    <col min="2" max="2" width="28.8515625" style="0" customWidth="1"/>
    <col min="3" max="3" width="14.421875" style="0" customWidth="1"/>
    <col min="4" max="4" width="14.57421875" style="0" customWidth="1"/>
    <col min="5" max="7" width="14.421875" style="0" customWidth="1"/>
    <col min="8" max="8" width="13.57421875" style="0" customWidth="1"/>
    <col min="10" max="12" width="10.00390625" style="0" customWidth="1"/>
    <col min="14" max="14" width="16.421875" style="0" customWidth="1"/>
    <col min="15" max="15" width="14.28125" style="416" customWidth="1"/>
    <col min="16" max="16" width="16.421875" style="450" customWidth="1"/>
    <col min="17" max="17" width="14.421875" style="673" customWidth="1"/>
    <col min="18" max="18" width="9.00390625" style="0" customWidth="1"/>
    <col min="19" max="19" width="10.57421875" style="0" customWidth="1"/>
    <col min="21" max="21" width="9.140625" style="0" customWidth="1"/>
    <col min="22" max="22" width="13.421875" style="0" customWidth="1"/>
    <col min="23" max="23" width="14.8515625" style="0" hidden="1" customWidth="1"/>
    <col min="24" max="24" width="11.421875" style="0" hidden="1" customWidth="1"/>
    <col min="25" max="25" width="0.13671875" style="0" hidden="1" customWidth="1"/>
    <col min="26" max="26" width="9.421875" style="0" hidden="1" customWidth="1"/>
  </cols>
  <sheetData>
    <row r="3" spans="1:25" s="6" customFormat="1" ht="12.75">
      <c r="A3" s="1" t="s">
        <v>0</v>
      </c>
      <c r="B3" s="2" t="s">
        <v>1</v>
      </c>
      <c r="C3" s="2" t="s">
        <v>2</v>
      </c>
      <c r="D3" s="2" t="s">
        <v>2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254</v>
      </c>
      <c r="J3" s="2" t="s">
        <v>3</v>
      </c>
      <c r="K3" s="2" t="s">
        <v>3</v>
      </c>
      <c r="L3" s="2" t="s">
        <v>3</v>
      </c>
      <c r="M3" s="2" t="s">
        <v>4</v>
      </c>
      <c r="N3" s="3" t="s">
        <v>5</v>
      </c>
      <c r="O3" s="405" t="s">
        <v>6</v>
      </c>
      <c r="P3" s="454" t="s">
        <v>6</v>
      </c>
      <c r="Q3" s="669" t="s">
        <v>7</v>
      </c>
      <c r="R3" s="4" t="s">
        <v>8</v>
      </c>
      <c r="S3" s="2" t="s">
        <v>3</v>
      </c>
      <c r="T3" s="2" t="s">
        <v>9</v>
      </c>
      <c r="U3" s="2" t="s">
        <v>83</v>
      </c>
      <c r="V3" s="3" t="s">
        <v>5</v>
      </c>
      <c r="W3" s="5" t="s">
        <v>10</v>
      </c>
      <c r="X3" s="5" t="s">
        <v>11</v>
      </c>
      <c r="Y3" s="5" t="s">
        <v>12</v>
      </c>
    </row>
    <row r="4" spans="1:25" s="6" customFormat="1" ht="12.75">
      <c r="A4" s="7"/>
      <c r="B4" s="8"/>
      <c r="C4" s="9">
        <v>2002</v>
      </c>
      <c r="D4" s="9">
        <v>2003</v>
      </c>
      <c r="E4" s="9">
        <v>2004</v>
      </c>
      <c r="F4" s="9">
        <v>2005</v>
      </c>
      <c r="G4" s="9">
        <v>2006</v>
      </c>
      <c r="H4" s="9">
        <v>2007</v>
      </c>
      <c r="I4" s="9" t="s">
        <v>277</v>
      </c>
      <c r="J4" s="9" t="s">
        <v>278</v>
      </c>
      <c r="K4" s="9" t="s">
        <v>279</v>
      </c>
      <c r="L4" s="9" t="s">
        <v>283</v>
      </c>
      <c r="M4" s="9" t="s">
        <v>13</v>
      </c>
      <c r="N4" s="10" t="s">
        <v>284</v>
      </c>
      <c r="O4" s="406" t="s">
        <v>285</v>
      </c>
      <c r="P4" s="455" t="s">
        <v>310</v>
      </c>
      <c r="Q4" s="670" t="s">
        <v>311</v>
      </c>
      <c r="R4" s="11" t="s">
        <v>14</v>
      </c>
      <c r="S4" s="9" t="s">
        <v>286</v>
      </c>
      <c r="T4" s="9" t="s">
        <v>16</v>
      </c>
      <c r="U4" s="9" t="s">
        <v>84</v>
      </c>
      <c r="V4" s="10" t="s">
        <v>301</v>
      </c>
      <c r="W4" s="12" t="s">
        <v>17</v>
      </c>
      <c r="X4" s="12" t="s">
        <v>18</v>
      </c>
      <c r="Y4" s="12" t="s">
        <v>19</v>
      </c>
    </row>
    <row r="5" spans="1:25" s="14" customFormat="1" ht="12.75">
      <c r="A5" s="143">
        <v>1</v>
      </c>
      <c r="B5" s="155" t="s">
        <v>20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0"/>
      <c r="O5" s="407"/>
      <c r="P5" s="437"/>
      <c r="Q5" s="671"/>
      <c r="R5" s="142"/>
      <c r="S5" s="142"/>
      <c r="T5" s="142"/>
      <c r="U5" s="142"/>
      <c r="V5" s="140"/>
      <c r="W5" s="13"/>
      <c r="X5" s="13"/>
      <c r="Y5" s="13"/>
    </row>
    <row r="6" spans="1:25" s="18" customFormat="1" ht="12.75">
      <c r="A6" s="148">
        <v>1.1</v>
      </c>
      <c r="B6" s="157" t="s">
        <v>21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408"/>
      <c r="P6" s="438"/>
      <c r="Q6" s="671"/>
      <c r="R6" s="151"/>
      <c r="S6" s="151"/>
      <c r="T6" s="151"/>
      <c r="U6" s="151"/>
      <c r="V6" s="150"/>
      <c r="W6" s="17"/>
      <c r="X6" s="17"/>
      <c r="Y6" s="17"/>
    </row>
    <row r="7" spans="1:25" s="432" customFormat="1" ht="12.75">
      <c r="A7" s="423" t="s">
        <v>22</v>
      </c>
      <c r="B7" s="422" t="s">
        <v>23</v>
      </c>
      <c r="C7" s="433">
        <f aca="true" t="shared" si="0" ref="C7:V7">SUM(C8:C11)</f>
        <v>169111701</v>
      </c>
      <c r="D7" s="433">
        <f t="shared" si="0"/>
        <v>109483635</v>
      </c>
      <c r="E7" s="433">
        <f t="shared" si="0"/>
        <v>148431622</v>
      </c>
      <c r="F7" s="433">
        <f t="shared" si="0"/>
        <v>264452489</v>
      </c>
      <c r="G7" s="433">
        <f t="shared" si="0"/>
        <v>276915799</v>
      </c>
      <c r="H7" s="433">
        <f t="shared" si="0"/>
        <v>229738341</v>
      </c>
      <c r="I7" s="433">
        <f t="shared" si="0"/>
        <v>988.6379772046818</v>
      </c>
      <c r="J7" s="433">
        <f t="shared" si="0"/>
        <v>146.31938680932672</v>
      </c>
      <c r="K7" s="433">
        <f t="shared" si="0"/>
        <v>183.56194313234872</v>
      </c>
      <c r="L7" s="433">
        <f t="shared" si="0"/>
        <v>-29.264714334781218</v>
      </c>
      <c r="M7" s="433">
        <f t="shared" si="0"/>
        <v>257.8509185623152</v>
      </c>
      <c r="N7" s="433">
        <f t="shared" si="0"/>
        <v>214137541</v>
      </c>
      <c r="O7" s="434">
        <f t="shared" si="0"/>
        <v>184734968</v>
      </c>
      <c r="P7" s="439">
        <f t="shared" si="0"/>
        <v>301486302</v>
      </c>
      <c r="Q7" s="672">
        <f t="shared" si="0"/>
        <v>349530235</v>
      </c>
      <c r="R7" s="433">
        <f t="shared" si="0"/>
        <v>4.683936270857932</v>
      </c>
      <c r="S7" s="433">
        <f t="shared" si="0"/>
        <v>23.47942041393162</v>
      </c>
      <c r="T7" s="433">
        <f t="shared" si="0"/>
        <v>268.3997455120578</v>
      </c>
      <c r="U7" s="433">
        <f t="shared" si="0"/>
        <v>13.149841936937097</v>
      </c>
      <c r="V7" s="433">
        <f t="shared" si="0"/>
        <v>382610414.91168946</v>
      </c>
      <c r="W7" s="431"/>
      <c r="X7" s="431"/>
      <c r="Y7" s="431"/>
    </row>
    <row r="8" spans="1:25" ht="12.75">
      <c r="A8" s="143">
        <v>11101</v>
      </c>
      <c r="B8" s="144" t="s">
        <v>24</v>
      </c>
      <c r="C8" s="179">
        <v>134039255</v>
      </c>
      <c r="D8" s="180">
        <v>85006648</v>
      </c>
      <c r="E8" s="180">
        <v>120740103</v>
      </c>
      <c r="F8" s="180">
        <v>223783948</v>
      </c>
      <c r="G8" s="180">
        <v>241549725</v>
      </c>
      <c r="H8" s="180">
        <v>188384264</v>
      </c>
      <c r="I8" s="153">
        <f aca="true" t="shared" si="1" ref="I8:L11">SUM((D8/C8)-1)*100</f>
        <v>-36.58078150314995</v>
      </c>
      <c r="J8" s="153">
        <f t="shared" si="1"/>
        <v>42.036071108226736</v>
      </c>
      <c r="K8" s="153">
        <f>SUM((F8/E8)-1)*100</f>
        <v>85.34351258587216</v>
      </c>
      <c r="L8" s="153">
        <f>SUM((G8/F8)-1)*100</f>
        <v>7.938807568092421</v>
      </c>
      <c r="M8" s="153">
        <f>SUM(I8+J8+K8+L8)/5</f>
        <v>19.747521951808274</v>
      </c>
      <c r="N8" s="145">
        <v>178712041</v>
      </c>
      <c r="O8" s="409">
        <v>151624763</v>
      </c>
      <c r="P8" s="440">
        <v>282294972</v>
      </c>
      <c r="Q8" s="671">
        <v>312083229</v>
      </c>
      <c r="R8" s="147">
        <f>+Q8/N8</f>
        <v>1.7462910011754609</v>
      </c>
      <c r="S8" s="153">
        <f>SUM((Q8/G8)-1)*100</f>
        <v>29.200407493736535</v>
      </c>
      <c r="T8" s="153">
        <f>SUM(I8+J8+K8+S8)/5</f>
        <v>23.999841936937095</v>
      </c>
      <c r="U8" s="153">
        <f>SUM(T8-14)</f>
        <v>9.999841936937095</v>
      </c>
      <c r="V8" s="145">
        <f>SUM(Q8*U8)/100+(Q8)</f>
        <v>343291058.61168945</v>
      </c>
      <c r="W8" s="16"/>
      <c r="X8" s="16"/>
      <c r="Y8" s="16">
        <f>+V8</f>
        <v>343291058.61168945</v>
      </c>
    </row>
    <row r="9" spans="1:25" ht="12.75">
      <c r="A9" s="143">
        <v>11102</v>
      </c>
      <c r="B9" s="144" t="s">
        <v>25</v>
      </c>
      <c r="C9" s="180">
        <v>33769962</v>
      </c>
      <c r="D9" s="180">
        <v>17871091</v>
      </c>
      <c r="E9" s="180">
        <v>24553395</v>
      </c>
      <c r="F9" s="180">
        <v>35979914</v>
      </c>
      <c r="G9" s="180">
        <v>33217572</v>
      </c>
      <c r="H9" s="180">
        <v>38348210</v>
      </c>
      <c r="I9" s="153">
        <f t="shared" si="1"/>
        <v>-47.079919722740584</v>
      </c>
      <c r="J9" s="153">
        <f t="shared" si="1"/>
        <v>37.3916958959025</v>
      </c>
      <c r="K9" s="153">
        <f t="shared" si="1"/>
        <v>46.53742995622399</v>
      </c>
      <c r="L9" s="153">
        <f t="shared" si="1"/>
        <v>-7.677455816042256</v>
      </c>
      <c r="M9" s="153">
        <f>SUM(I9+J9+K9+L9)/5</f>
        <v>5.83435006266873</v>
      </c>
      <c r="N9" s="145">
        <v>33440000</v>
      </c>
      <c r="O9" s="409">
        <v>31237515</v>
      </c>
      <c r="P9" s="440">
        <v>17828658</v>
      </c>
      <c r="Q9" s="671">
        <v>35755476</v>
      </c>
      <c r="R9" s="147">
        <f>+Q9/N9</f>
        <v>1.0692427033492824</v>
      </c>
      <c r="S9" s="153">
        <f>SUM((Q9/G9)-1)*100</f>
        <v>7.640245349660124</v>
      </c>
      <c r="T9" s="153">
        <f>SUM(I9+J9+K9+S9)/5</f>
        <v>8.897890295809207</v>
      </c>
      <c r="U9" s="188">
        <v>1.05</v>
      </c>
      <c r="V9" s="145">
        <f>Q9*U9</f>
        <v>37543249.800000004</v>
      </c>
      <c r="W9" s="16">
        <f>+V9</f>
        <v>37543249.800000004</v>
      </c>
      <c r="X9" s="16"/>
      <c r="Y9" s="16"/>
    </row>
    <row r="10" spans="1:25" ht="12.75">
      <c r="A10" s="143">
        <v>11103</v>
      </c>
      <c r="B10" s="144" t="s">
        <v>26</v>
      </c>
      <c r="C10" s="180">
        <v>813260</v>
      </c>
      <c r="D10" s="180">
        <v>957496</v>
      </c>
      <c r="E10" s="180">
        <v>2436548</v>
      </c>
      <c r="F10" s="180">
        <v>4104833</v>
      </c>
      <c r="G10" s="180">
        <v>1344502</v>
      </c>
      <c r="H10" s="180">
        <v>2405467</v>
      </c>
      <c r="I10" s="153">
        <f t="shared" si="1"/>
        <v>17.735533531711866</v>
      </c>
      <c r="J10" s="153">
        <f t="shared" si="1"/>
        <v>154.47082807656636</v>
      </c>
      <c r="K10" s="153">
        <f t="shared" si="1"/>
        <v>68.46920315134362</v>
      </c>
      <c r="L10" s="153">
        <f t="shared" si="1"/>
        <v>-67.24587821234141</v>
      </c>
      <c r="M10" s="153">
        <f>SUM(I10+J10+K10+L10)/5</f>
        <v>34.685937309456094</v>
      </c>
      <c r="N10" s="145">
        <v>1149500</v>
      </c>
      <c r="O10" s="409">
        <v>1444690</v>
      </c>
      <c r="P10" s="440">
        <v>346480</v>
      </c>
      <c r="Q10" s="671">
        <v>475000</v>
      </c>
      <c r="R10" s="147">
        <f>+Q10/N10</f>
        <v>0.4132231404958678</v>
      </c>
      <c r="S10" s="153">
        <f>SUM((Q10/G10)-1)*100</f>
        <v>-64.67093392200235</v>
      </c>
      <c r="T10" s="153">
        <f>SUM(I10+J10+K10+S10)/5</f>
        <v>35.2009261675239</v>
      </c>
      <c r="U10" s="188">
        <v>1.05</v>
      </c>
      <c r="V10" s="145">
        <f>Q10*U10</f>
        <v>498750</v>
      </c>
      <c r="W10" s="16"/>
      <c r="X10" s="16"/>
      <c r="Y10" s="16">
        <f>+V10</f>
        <v>498750</v>
      </c>
    </row>
    <row r="11" spans="1:25" ht="12.75">
      <c r="A11" s="143">
        <v>11104</v>
      </c>
      <c r="B11" s="144" t="s">
        <v>27</v>
      </c>
      <c r="C11" s="180">
        <v>489224</v>
      </c>
      <c r="D11" s="180">
        <v>5648400</v>
      </c>
      <c r="E11" s="180">
        <v>701576</v>
      </c>
      <c r="F11" s="180">
        <v>583794</v>
      </c>
      <c r="G11" s="180">
        <v>804000</v>
      </c>
      <c r="H11" s="180">
        <v>600400</v>
      </c>
      <c r="I11" s="153">
        <f t="shared" si="1"/>
        <v>1054.5631448988604</v>
      </c>
      <c r="J11" s="153">
        <f t="shared" si="1"/>
        <v>-87.57920827136888</v>
      </c>
      <c r="K11" s="153">
        <f t="shared" si="1"/>
        <v>-16.788202561091026</v>
      </c>
      <c r="L11" s="153">
        <f t="shared" si="1"/>
        <v>37.71981212551003</v>
      </c>
      <c r="M11" s="153">
        <f>SUM(I11+J11+K11+L11)/5</f>
        <v>197.58310923838212</v>
      </c>
      <c r="N11" s="145">
        <v>836000</v>
      </c>
      <c r="O11" s="409">
        <v>428000</v>
      </c>
      <c r="P11" s="440">
        <v>1016192</v>
      </c>
      <c r="Q11" s="671">
        <v>1216530</v>
      </c>
      <c r="R11" s="147">
        <f>+Q11/N11</f>
        <v>1.4551794258373205</v>
      </c>
      <c r="S11" s="153">
        <f>SUM((Q11/G11)-1)*100</f>
        <v>51.30970149253731</v>
      </c>
      <c r="T11" s="153">
        <f>SUM(I11+J11+K11+S11)/5</f>
        <v>200.30108711178758</v>
      </c>
      <c r="U11" s="188">
        <v>1.05</v>
      </c>
      <c r="V11" s="145">
        <f>Q11*U11</f>
        <v>1277356.5</v>
      </c>
      <c r="W11" s="16"/>
      <c r="X11" s="16"/>
      <c r="Y11" s="16">
        <f>+V11</f>
        <v>1277356.5</v>
      </c>
    </row>
    <row r="12" spans="1:25" ht="12.75">
      <c r="A12" s="143"/>
      <c r="B12" s="144"/>
      <c r="C12" s="152"/>
      <c r="D12" s="152"/>
      <c r="E12" s="152"/>
      <c r="F12" s="152"/>
      <c r="G12" s="152"/>
      <c r="H12" s="152"/>
      <c r="I12" s="153"/>
      <c r="J12" s="153"/>
      <c r="K12" s="153"/>
      <c r="L12" s="153"/>
      <c r="M12" s="153">
        <f>SUM(I12+J12)/3</f>
        <v>0</v>
      </c>
      <c r="N12" s="145"/>
      <c r="O12" s="410"/>
      <c r="P12" s="441"/>
      <c r="Q12" s="671"/>
      <c r="R12" s="147"/>
      <c r="S12" s="147"/>
      <c r="T12" s="147"/>
      <c r="U12" s="147"/>
      <c r="V12" s="145"/>
      <c r="W12" s="16"/>
      <c r="X12" s="16"/>
      <c r="Y12" s="16"/>
    </row>
    <row r="13" spans="1:26" s="432" customFormat="1" ht="12.75">
      <c r="A13" s="423" t="s">
        <v>28</v>
      </c>
      <c r="B13" s="422" t="s">
        <v>29</v>
      </c>
      <c r="C13" s="433">
        <f>SUM(C14:C34)</f>
        <v>333259791</v>
      </c>
      <c r="D13" s="433">
        <f aca="true" t="shared" si="2" ref="D13:V13">SUM(D14:D34)</f>
        <v>365928326</v>
      </c>
      <c r="E13" s="433">
        <f t="shared" si="2"/>
        <v>333508617</v>
      </c>
      <c r="F13" s="433">
        <f t="shared" si="2"/>
        <v>342308708</v>
      </c>
      <c r="G13" s="433">
        <f t="shared" si="2"/>
        <v>505492482</v>
      </c>
      <c r="H13" s="433">
        <f>SUM(H14:H34)</f>
        <v>528574606</v>
      </c>
      <c r="I13" s="433">
        <f t="shared" si="2"/>
        <v>3577334.091243865</v>
      </c>
      <c r="J13" s="433">
        <f t="shared" si="2"/>
        <v>3656.6702062444474</v>
      </c>
      <c r="K13" s="433">
        <f t="shared" si="2"/>
        <v>852.9640756521037</v>
      </c>
      <c r="L13" s="433"/>
      <c r="M13" s="433">
        <f t="shared" si="2"/>
        <v>716787.3424277055</v>
      </c>
      <c r="N13" s="433">
        <f t="shared" si="2"/>
        <v>601281027</v>
      </c>
      <c r="O13" s="434">
        <f t="shared" si="2"/>
        <v>465745911</v>
      </c>
      <c r="P13" s="439">
        <f>SUM(P14:P34)</f>
        <v>268088095</v>
      </c>
      <c r="Q13" s="672">
        <f t="shared" si="2"/>
        <v>389319306</v>
      </c>
      <c r="R13" s="433" t="e">
        <f t="shared" si="2"/>
        <v>#DIV/0!</v>
      </c>
      <c r="S13" s="433">
        <f t="shared" si="2"/>
        <v>433.541143865799</v>
      </c>
      <c r="T13" s="433">
        <f t="shared" si="2"/>
        <v>716455.4533339252</v>
      </c>
      <c r="U13" s="433">
        <f t="shared" si="2"/>
        <v>-292.32810375225154</v>
      </c>
      <c r="V13" s="433">
        <f t="shared" si="2"/>
        <v>374137959.9387862</v>
      </c>
      <c r="W13" s="433">
        <f>SUM(W14:W31)</f>
        <v>6719127.892245084</v>
      </c>
      <c r="X13" s="433">
        <f>SUM(X14:X31)</f>
        <v>-270309.0237625956</v>
      </c>
      <c r="Y13" s="433" t="e">
        <f>SUM(Y14:Y31)</f>
        <v>#REF!</v>
      </c>
      <c r="Z13" s="433">
        <f>SUM(Z14:Z31)</f>
        <v>180.36013491307602</v>
      </c>
    </row>
    <row r="14" spans="1:28" ht="12.75">
      <c r="A14" s="143">
        <v>11201</v>
      </c>
      <c r="B14" s="144" t="s">
        <v>30</v>
      </c>
      <c r="C14" s="180">
        <v>252455075</v>
      </c>
      <c r="D14" s="180">
        <v>203335233</v>
      </c>
      <c r="E14" s="180">
        <v>189270648</v>
      </c>
      <c r="F14" s="180">
        <v>227409713</v>
      </c>
      <c r="G14" s="180">
        <v>198466657</v>
      </c>
      <c r="H14" s="180">
        <v>243105106</v>
      </c>
      <c r="I14" s="153">
        <f aca="true" t="shared" si="3" ref="I14:J18">SUM((D14/C14)-1)*100</f>
        <v>-19.456864553029884</v>
      </c>
      <c r="J14" s="153">
        <f t="shared" si="3"/>
        <v>-6.916944393989999</v>
      </c>
      <c r="K14" s="153">
        <f>SUM((F14/E14)-1)*100</f>
        <v>20.15054389204607</v>
      </c>
      <c r="L14" s="153">
        <f>SUM((G14/F14)-1)*100</f>
        <v>-12.727273438843834</v>
      </c>
      <c r="M14" s="153">
        <f aca="true" t="shared" si="4" ref="M14:M33">SUM(I14+J14+K14+L14)/5</f>
        <v>-3.790107698763529</v>
      </c>
      <c r="N14" s="145">
        <v>216236300</v>
      </c>
      <c r="O14" s="409">
        <v>208105849</v>
      </c>
      <c r="P14" s="440">
        <v>111125291</v>
      </c>
      <c r="Q14" s="671">
        <v>148102500</v>
      </c>
      <c r="R14" s="147">
        <f>+Q14/N14</f>
        <v>0.6849104428812368</v>
      </c>
      <c r="S14" s="153">
        <f>SUM((Q14/G14)-1)*100</f>
        <v>-25.376633919923385</v>
      </c>
      <c r="T14" s="153">
        <f aca="true" t="shared" si="5" ref="T14:T34">SUM(I14+J14+K14+S14)/5</f>
        <v>-6.31997979497944</v>
      </c>
      <c r="U14" s="188">
        <v>1.05</v>
      </c>
      <c r="V14" s="145">
        <f aca="true" t="shared" si="6" ref="V14:V30">Q14*U14</f>
        <v>155507625</v>
      </c>
      <c r="W14" s="140">
        <f>SUM(R14*V14)/100+(R14)</f>
        <v>1065088.6480120358</v>
      </c>
      <c r="X14" s="140">
        <f>SUM(S14*W14)/100+(S14)</f>
        <v>-270309.0237625956</v>
      </c>
      <c r="Y14" s="140">
        <f>SUM(T14*X14)/100+(T14)</f>
        <v>17077.155706007237</v>
      </c>
      <c r="Z14" s="335">
        <f>SUM(U14*Y14)/100+(U14)</f>
        <v>180.36013491307602</v>
      </c>
      <c r="AA14" s="336"/>
      <c r="AB14" s="336"/>
    </row>
    <row r="15" spans="1:25" ht="12.75">
      <c r="A15" s="143">
        <v>11202</v>
      </c>
      <c r="B15" s="144" t="s">
        <v>31</v>
      </c>
      <c r="C15" s="180">
        <v>34685939</v>
      </c>
      <c r="D15" s="180">
        <v>25640910</v>
      </c>
      <c r="E15" s="180">
        <v>18766845</v>
      </c>
      <c r="F15" s="180">
        <v>28805814</v>
      </c>
      <c r="G15" s="180">
        <v>26858077</v>
      </c>
      <c r="H15" s="180">
        <v>28886316</v>
      </c>
      <c r="I15" s="153">
        <f t="shared" si="3"/>
        <v>-26.076932788240214</v>
      </c>
      <c r="J15" s="153">
        <f t="shared" si="3"/>
        <v>-26.808974408474583</v>
      </c>
      <c r="K15" s="153">
        <f>SUM((F15/E15)-1)*100</f>
        <v>53.4931097901645</v>
      </c>
      <c r="L15" s="153">
        <f aca="true" t="shared" si="7" ref="L15:L49">SUM((G15/F15)-1)*100</f>
        <v>-6.761610694285536</v>
      </c>
      <c r="M15" s="153">
        <f t="shared" si="4"/>
        <v>-1.230881620167166</v>
      </c>
      <c r="N15" s="145">
        <v>27170000</v>
      </c>
      <c r="O15" s="409">
        <v>24445164</v>
      </c>
      <c r="P15" s="440">
        <v>13561729</v>
      </c>
      <c r="Q15" s="671">
        <v>18068250</v>
      </c>
      <c r="R15" s="147">
        <f>+Q15/N15</f>
        <v>0.6650073610599926</v>
      </c>
      <c r="S15" s="153">
        <f>SUM((Q15/G15)-1)*100</f>
        <v>-32.72694094964431</v>
      </c>
      <c r="T15" s="153">
        <f t="shared" si="5"/>
        <v>-6.4239476712389205</v>
      </c>
      <c r="U15" s="188">
        <v>1.05</v>
      </c>
      <c r="V15" s="145">
        <f t="shared" si="6"/>
        <v>18971662.5</v>
      </c>
      <c r="W15" s="16"/>
      <c r="X15" s="16"/>
      <c r="Y15" s="16">
        <f>+V15</f>
        <v>18971662.5</v>
      </c>
    </row>
    <row r="16" spans="1:25" ht="12.75">
      <c r="A16" s="143">
        <v>11203</v>
      </c>
      <c r="B16" s="144" t="s">
        <v>32</v>
      </c>
      <c r="C16" s="180">
        <v>4997803</v>
      </c>
      <c r="D16" s="180">
        <v>3392639</v>
      </c>
      <c r="E16" s="180">
        <v>3897394</v>
      </c>
      <c r="F16" s="180">
        <v>3326134</v>
      </c>
      <c r="G16" s="180">
        <v>6846976</v>
      </c>
      <c r="H16" s="180">
        <v>5430761</v>
      </c>
      <c r="I16" s="153">
        <f t="shared" si="3"/>
        <v>-32.11739238221274</v>
      </c>
      <c r="J16" s="153">
        <f t="shared" si="3"/>
        <v>14.877946047310076</v>
      </c>
      <c r="K16" s="153">
        <f>SUM((F16/E16)-1)*100</f>
        <v>-14.657486515348461</v>
      </c>
      <c r="L16" s="153">
        <f t="shared" si="7"/>
        <v>105.85388321697202</v>
      </c>
      <c r="M16" s="153">
        <f t="shared" si="4"/>
        <v>14.791390073344179</v>
      </c>
      <c r="N16" s="145">
        <v>8102500</v>
      </c>
      <c r="O16" s="409">
        <v>5403461</v>
      </c>
      <c r="P16" s="440">
        <v>5403461</v>
      </c>
      <c r="Q16" s="671">
        <v>4200000</v>
      </c>
      <c r="R16" s="147">
        <f>+Q16/N16</f>
        <v>0.5183585313174947</v>
      </c>
      <c r="S16" s="421">
        <f>SUM((Q16/G16)-1)*100</f>
        <v>-38.65905182083302</v>
      </c>
      <c r="T16" s="153">
        <f t="shared" si="5"/>
        <v>-14.11119693421683</v>
      </c>
      <c r="U16" s="188">
        <v>1.05</v>
      </c>
      <c r="V16" s="145">
        <f t="shared" si="6"/>
        <v>4410000</v>
      </c>
      <c r="W16" s="16">
        <f>+V16</f>
        <v>4410000</v>
      </c>
      <c r="X16" s="16"/>
      <c r="Y16" s="16"/>
    </row>
    <row r="17" spans="1:25" ht="12.75">
      <c r="A17" s="143">
        <v>11204</v>
      </c>
      <c r="B17" s="144" t="s">
        <v>33</v>
      </c>
      <c r="C17" s="180">
        <v>9842200</v>
      </c>
      <c r="D17" s="180">
        <v>101190000</v>
      </c>
      <c r="E17" s="180">
        <v>93672949</v>
      </c>
      <c r="F17" s="180">
        <v>12205161</v>
      </c>
      <c r="G17" s="180">
        <v>177219661</v>
      </c>
      <c r="H17" s="180">
        <v>89642000</v>
      </c>
      <c r="I17" s="153">
        <f t="shared" si="3"/>
        <v>928.1237934608116</v>
      </c>
      <c r="J17" s="153">
        <f t="shared" si="3"/>
        <v>-7.4286500642355975</v>
      </c>
      <c r="K17" s="153">
        <f>SUM((F17/E17)-1)*100</f>
        <v>-86.9704529105836</v>
      </c>
      <c r="L17" s="153">
        <f t="shared" si="7"/>
        <v>1352.0059260176904</v>
      </c>
      <c r="M17" s="153">
        <f t="shared" si="4"/>
        <v>437.1461233007365</v>
      </c>
      <c r="N17" s="145">
        <v>166650000</v>
      </c>
      <c r="O17" s="409">
        <v>68982000</v>
      </c>
      <c r="P17" s="440">
        <v>46344552</v>
      </c>
      <c r="Q17" s="671">
        <v>87150000</v>
      </c>
      <c r="R17" s="147">
        <f>+Q17/N17</f>
        <v>0.5229522952295229</v>
      </c>
      <c r="S17" s="153">
        <f>SUM((Q17/G17)-1)*100</f>
        <v>-50.82374071350921</v>
      </c>
      <c r="T17" s="153">
        <f t="shared" si="5"/>
        <v>156.58018995449663</v>
      </c>
      <c r="U17" s="188">
        <v>1.05</v>
      </c>
      <c r="V17" s="145">
        <f t="shared" si="6"/>
        <v>91507500</v>
      </c>
      <c r="X17" s="16"/>
      <c r="Y17" s="16">
        <f>+V17</f>
        <v>91507500</v>
      </c>
    </row>
    <row r="18" spans="1:25" ht="12.75">
      <c r="A18" s="143">
        <v>11205</v>
      </c>
      <c r="B18" s="144" t="s">
        <v>34</v>
      </c>
      <c r="C18" s="180">
        <v>155418</v>
      </c>
      <c r="D18" s="180">
        <v>290000</v>
      </c>
      <c r="E18" s="180">
        <v>616700</v>
      </c>
      <c r="F18" s="180">
        <v>1782700</v>
      </c>
      <c r="G18" s="180">
        <v>5825100</v>
      </c>
      <c r="H18" s="180">
        <v>3413040</v>
      </c>
      <c r="I18" s="153">
        <f t="shared" si="3"/>
        <v>86.5935734599596</v>
      </c>
      <c r="J18" s="153">
        <f t="shared" si="3"/>
        <v>112.65517241379311</v>
      </c>
      <c r="K18" s="153">
        <f>SUM((F18/E18)-1)*100</f>
        <v>189.07086103453867</v>
      </c>
      <c r="L18" s="153">
        <f t="shared" si="7"/>
        <v>226.75716609637067</v>
      </c>
      <c r="M18" s="153">
        <f t="shared" si="4"/>
        <v>123.01535460093241</v>
      </c>
      <c r="N18" s="145">
        <v>3657500</v>
      </c>
      <c r="O18" s="409">
        <v>3113040</v>
      </c>
      <c r="P18" s="440">
        <v>468000</v>
      </c>
      <c r="Q18" s="671">
        <v>1268692</v>
      </c>
      <c r="R18" s="147">
        <f>+Q18/N18</f>
        <v>0.3468740943267259</v>
      </c>
      <c r="S18" s="153">
        <f>SUM((Q18/G18)-1)*100</f>
        <v>-78.22025372954971</v>
      </c>
      <c r="T18" s="153">
        <f t="shared" si="5"/>
        <v>62.019870635748326</v>
      </c>
      <c r="U18" s="188">
        <v>1.05</v>
      </c>
      <c r="V18" s="145">
        <f t="shared" si="6"/>
        <v>1332126.6</v>
      </c>
      <c r="W18" s="16">
        <f>+V18</f>
        <v>1332126.6</v>
      </c>
      <c r="X18" s="16"/>
      <c r="Y18" s="16"/>
    </row>
    <row r="19" spans="1:25" ht="12.75">
      <c r="A19" s="143">
        <v>11206</v>
      </c>
      <c r="B19" s="144" t="s">
        <v>35</v>
      </c>
      <c r="C19" s="180">
        <v>0</v>
      </c>
      <c r="D19" s="180"/>
      <c r="E19" s="180"/>
      <c r="F19" s="180"/>
      <c r="G19" s="180"/>
      <c r="H19" s="180"/>
      <c r="I19" s="153"/>
      <c r="J19" s="153"/>
      <c r="K19" s="153"/>
      <c r="L19" s="153"/>
      <c r="M19" s="153">
        <f t="shared" si="4"/>
        <v>0</v>
      </c>
      <c r="N19" s="145"/>
      <c r="O19" s="409"/>
      <c r="P19" s="440"/>
      <c r="Q19" s="671">
        <v>0</v>
      </c>
      <c r="R19" s="147"/>
      <c r="S19" s="153"/>
      <c r="T19" s="153">
        <f t="shared" si="5"/>
        <v>0</v>
      </c>
      <c r="U19" s="188">
        <v>1.05</v>
      </c>
      <c r="V19" s="145">
        <f t="shared" si="6"/>
        <v>0</v>
      </c>
      <c r="W19" s="16">
        <f>+V19</f>
        <v>0</v>
      </c>
      <c r="X19" s="16"/>
      <c r="Y19" s="16"/>
    </row>
    <row r="20" spans="1:25" ht="12.75">
      <c r="A20" s="143">
        <v>11207</v>
      </c>
      <c r="B20" s="144" t="s">
        <v>36</v>
      </c>
      <c r="C20" s="180">
        <v>14850</v>
      </c>
      <c r="D20" s="180"/>
      <c r="E20" s="180">
        <v>180000</v>
      </c>
      <c r="F20" s="180"/>
      <c r="G20" s="180"/>
      <c r="H20" s="180">
        <v>105000</v>
      </c>
      <c r="I20" s="153">
        <f aca="true" t="shared" si="8" ref="I20:I26">SUM((D20/C20)-1)*100</f>
        <v>-100</v>
      </c>
      <c r="J20" s="153"/>
      <c r="K20" s="153">
        <f aca="true" t="shared" si="9" ref="K20:K26">SUM((F20/E20)-1)*100</f>
        <v>-100</v>
      </c>
      <c r="L20" s="153"/>
      <c r="M20" s="153">
        <f t="shared" si="4"/>
        <v>-40</v>
      </c>
      <c r="N20" s="145"/>
      <c r="O20" s="409">
        <v>105000</v>
      </c>
      <c r="P20" s="440">
        <v>0</v>
      </c>
      <c r="Q20" s="671">
        <v>0</v>
      </c>
      <c r="R20" s="147"/>
      <c r="S20" s="153"/>
      <c r="T20" s="153">
        <f t="shared" si="5"/>
        <v>-40</v>
      </c>
      <c r="U20" s="188">
        <v>1.05</v>
      </c>
      <c r="V20" s="145">
        <f t="shared" si="6"/>
        <v>0</v>
      </c>
      <c r="W20" s="16">
        <f>+V20</f>
        <v>0</v>
      </c>
      <c r="X20" s="16"/>
      <c r="Y20" s="16"/>
    </row>
    <row r="21" spans="1:25" ht="12.75">
      <c r="A21" s="143">
        <v>11208</v>
      </c>
      <c r="B21" s="144" t="s">
        <v>37</v>
      </c>
      <c r="C21" s="180">
        <v>100</v>
      </c>
      <c r="D21" s="180">
        <v>50000</v>
      </c>
      <c r="E21" s="180">
        <v>1519000</v>
      </c>
      <c r="F21" s="180">
        <v>50000</v>
      </c>
      <c r="G21" s="180">
        <v>333000</v>
      </c>
      <c r="H21" s="180">
        <v>987041</v>
      </c>
      <c r="I21" s="153">
        <f t="shared" si="8"/>
        <v>49900</v>
      </c>
      <c r="J21" s="153">
        <f aca="true" t="shared" si="10" ref="J21:J26">SUM((E21/D21)-1)*100</f>
        <v>2938</v>
      </c>
      <c r="K21" s="153">
        <f t="shared" si="9"/>
        <v>-96.70836076366031</v>
      </c>
      <c r="L21" s="153">
        <f t="shared" si="7"/>
        <v>566</v>
      </c>
      <c r="M21" s="153">
        <f t="shared" si="4"/>
        <v>10661.458327847267</v>
      </c>
      <c r="N21" s="145">
        <v>191235</v>
      </c>
      <c r="O21" s="409">
        <v>600000</v>
      </c>
      <c r="P21" s="440">
        <v>0</v>
      </c>
      <c r="Q21" s="671">
        <v>59550</v>
      </c>
      <c r="R21" s="147">
        <f aca="true" t="shared" si="11" ref="R21:R27">+Q21/N21</f>
        <v>0.31139697231155383</v>
      </c>
      <c r="S21" s="153">
        <f>SUM((Q21/F21)-1)*100</f>
        <v>19.100000000000005</v>
      </c>
      <c r="T21" s="153">
        <f t="shared" si="5"/>
        <v>10552.078327847268</v>
      </c>
      <c r="U21" s="153">
        <f>SUM(T21-10800)</f>
        <v>-247.92167215273184</v>
      </c>
      <c r="V21" s="145">
        <f>SUM(Q21*U21)/100+(Q21)</f>
        <v>-88087.3557669518</v>
      </c>
      <c r="W21" s="16">
        <f>+V21</f>
        <v>-88087.3557669518</v>
      </c>
      <c r="X21" s="16"/>
      <c r="Y21" s="16"/>
    </row>
    <row r="22" spans="1:25" ht="12.75">
      <c r="A22" s="143">
        <v>11209</v>
      </c>
      <c r="B22" s="144" t="s">
        <v>38</v>
      </c>
      <c r="C22" s="180">
        <v>100</v>
      </c>
      <c r="D22" s="180">
        <v>3526613</v>
      </c>
      <c r="E22" s="180">
        <v>514220</v>
      </c>
      <c r="F22" s="180">
        <v>1531464</v>
      </c>
      <c r="G22" s="180">
        <v>807750</v>
      </c>
      <c r="H22" s="180">
        <v>1473400</v>
      </c>
      <c r="I22" s="153">
        <f t="shared" si="8"/>
        <v>3526512.9999999995</v>
      </c>
      <c r="J22" s="153">
        <f t="shared" si="10"/>
        <v>-85.41887074084966</v>
      </c>
      <c r="K22" s="153">
        <f t="shared" si="9"/>
        <v>197.822721792229</v>
      </c>
      <c r="L22" s="153">
        <f t="shared" si="7"/>
        <v>-47.256350785914655</v>
      </c>
      <c r="M22" s="153">
        <f t="shared" si="4"/>
        <v>705315.629500053</v>
      </c>
      <c r="N22" s="145">
        <v>1467180</v>
      </c>
      <c r="O22" s="409">
        <v>830936</v>
      </c>
      <c r="P22" s="440">
        <v>5116093</v>
      </c>
      <c r="Q22" s="671">
        <v>6423613</v>
      </c>
      <c r="R22" s="147">
        <f t="shared" si="11"/>
        <v>4.37820376504587</v>
      </c>
      <c r="S22" s="153">
        <f>SUM((Q22/G22)-1)*100</f>
        <v>695.247663262148</v>
      </c>
      <c r="T22" s="153">
        <f t="shared" si="5"/>
        <v>705464.1303028626</v>
      </c>
      <c r="U22" s="188">
        <v>1.05</v>
      </c>
      <c r="V22" s="145">
        <f t="shared" si="6"/>
        <v>6744793.65</v>
      </c>
      <c r="W22" s="16"/>
      <c r="X22" s="16"/>
      <c r="Y22" s="16">
        <f>+V22</f>
        <v>6744793.65</v>
      </c>
    </row>
    <row r="23" spans="1:25" ht="12.75">
      <c r="A23" s="143">
        <v>11210</v>
      </c>
      <c r="B23" s="144" t="s">
        <v>39</v>
      </c>
      <c r="C23" s="180">
        <v>1160250</v>
      </c>
      <c r="D23" s="180">
        <v>5357670</v>
      </c>
      <c r="E23" s="180">
        <v>1779000</v>
      </c>
      <c r="F23" s="180">
        <v>4598000</v>
      </c>
      <c r="G23" s="180">
        <v>2430200</v>
      </c>
      <c r="H23" s="180"/>
      <c r="I23" s="153">
        <f t="shared" si="8"/>
        <v>361.76858435681964</v>
      </c>
      <c r="J23" s="153">
        <f t="shared" si="10"/>
        <v>-66.79526734569319</v>
      </c>
      <c r="K23" s="153">
        <f t="shared" si="9"/>
        <v>158.45980888139403</v>
      </c>
      <c r="L23" s="153">
        <f t="shared" si="7"/>
        <v>-47.14658547194433</v>
      </c>
      <c r="M23" s="153">
        <f t="shared" si="4"/>
        <v>81.25730808411524</v>
      </c>
      <c r="N23" s="145">
        <v>2194500</v>
      </c>
      <c r="O23" s="409">
        <v>1473400</v>
      </c>
      <c r="P23" s="440">
        <v>30000</v>
      </c>
      <c r="Q23" s="671">
        <v>275000</v>
      </c>
      <c r="R23" s="147">
        <f t="shared" si="11"/>
        <v>0.12531328320802004</v>
      </c>
      <c r="S23" s="153">
        <f>SUM((Q23/G23)-1)*100</f>
        <v>-88.68405892519135</v>
      </c>
      <c r="T23" s="153">
        <f t="shared" si="5"/>
        <v>72.94981339346582</v>
      </c>
      <c r="U23" s="188">
        <v>1.05</v>
      </c>
      <c r="V23" s="145">
        <f t="shared" si="6"/>
        <v>288750</v>
      </c>
      <c r="W23" s="16"/>
      <c r="X23" s="16"/>
      <c r="Y23" s="16">
        <f>+V25</f>
        <v>877800</v>
      </c>
    </row>
    <row r="24" spans="1:25" ht="12.75">
      <c r="A24" s="143">
        <v>11211</v>
      </c>
      <c r="B24" s="144" t="s">
        <v>40</v>
      </c>
      <c r="C24" s="180">
        <v>4555700</v>
      </c>
      <c r="D24" s="180">
        <v>4005580</v>
      </c>
      <c r="E24" s="180">
        <v>78861</v>
      </c>
      <c r="F24" s="180">
        <v>267930</v>
      </c>
      <c r="G24" s="180">
        <v>92000</v>
      </c>
      <c r="H24" s="180"/>
      <c r="I24" s="153">
        <f t="shared" si="8"/>
        <v>-12.075421998814672</v>
      </c>
      <c r="J24" s="153">
        <f t="shared" si="10"/>
        <v>-98.03122144608271</v>
      </c>
      <c r="K24" s="153">
        <f t="shared" si="9"/>
        <v>239.7496861566554</v>
      </c>
      <c r="L24" s="153">
        <f t="shared" si="7"/>
        <v>-65.66267308625386</v>
      </c>
      <c r="M24" s="153">
        <f t="shared" si="4"/>
        <v>12.796073925100833</v>
      </c>
      <c r="N24" s="145">
        <v>96140</v>
      </c>
      <c r="O24" s="409"/>
      <c r="P24" s="440">
        <v>0</v>
      </c>
      <c r="Q24" s="671">
        <v>0</v>
      </c>
      <c r="R24" s="147">
        <f t="shared" si="11"/>
        <v>0</v>
      </c>
      <c r="S24" s="153">
        <f>SUM((Q24/G24)-1)*100</f>
        <v>-100</v>
      </c>
      <c r="T24" s="153">
        <f t="shared" si="5"/>
        <v>5.928608542351606</v>
      </c>
      <c r="U24" s="188">
        <v>1.05</v>
      </c>
      <c r="V24" s="145">
        <f t="shared" si="6"/>
        <v>0</v>
      </c>
      <c r="W24" s="16"/>
      <c r="X24" s="16"/>
      <c r="Y24" s="16">
        <f>+V24</f>
        <v>0</v>
      </c>
    </row>
    <row r="25" spans="1:25" ht="12.75">
      <c r="A25" s="143">
        <v>11212</v>
      </c>
      <c r="B25" s="144" t="s">
        <v>41</v>
      </c>
      <c r="C25" s="180">
        <v>461940</v>
      </c>
      <c r="D25" s="180">
        <v>613050</v>
      </c>
      <c r="E25" s="180">
        <v>702000</v>
      </c>
      <c r="F25" s="180">
        <v>825600</v>
      </c>
      <c r="G25" s="180">
        <v>836400</v>
      </c>
      <c r="H25" s="180">
        <v>971800</v>
      </c>
      <c r="I25" s="153">
        <f t="shared" si="8"/>
        <v>32.71204052474348</v>
      </c>
      <c r="J25" s="153">
        <f t="shared" si="10"/>
        <v>14.509420112551986</v>
      </c>
      <c r="K25" s="153">
        <f t="shared" si="9"/>
        <v>17.606837606837612</v>
      </c>
      <c r="L25" s="153">
        <f t="shared" si="7"/>
        <v>1.3081395348837122</v>
      </c>
      <c r="M25" s="153">
        <f t="shared" si="4"/>
        <v>13.227287555803358</v>
      </c>
      <c r="N25" s="145">
        <v>836000</v>
      </c>
      <c r="O25" s="409">
        <v>799000</v>
      </c>
      <c r="P25" s="440">
        <v>639600</v>
      </c>
      <c r="Q25" s="671">
        <v>836000</v>
      </c>
      <c r="R25" s="147">
        <f t="shared" si="11"/>
        <v>1</v>
      </c>
      <c r="S25" s="153">
        <f>SUM((Q25/G25)-1)*100</f>
        <v>-0.04782400765184214</v>
      </c>
      <c r="T25" s="153">
        <f t="shared" si="5"/>
        <v>12.956094847296248</v>
      </c>
      <c r="U25" s="188">
        <v>1.05</v>
      </c>
      <c r="V25" s="145">
        <f t="shared" si="6"/>
        <v>877800</v>
      </c>
      <c r="W25" s="16"/>
      <c r="X25" s="16"/>
      <c r="Y25" s="16" t="e">
        <f>+#REF!</f>
        <v>#REF!</v>
      </c>
    </row>
    <row r="26" spans="1:25" ht="12.75">
      <c r="A26" s="143">
        <v>11213</v>
      </c>
      <c r="B26" s="144" t="s">
        <v>42</v>
      </c>
      <c r="C26" s="180">
        <v>21212150</v>
      </c>
      <c r="D26" s="180">
        <v>17893631</v>
      </c>
      <c r="E26" s="180">
        <v>16328000</v>
      </c>
      <c r="F26" s="180">
        <v>18310541</v>
      </c>
      <c r="G26" s="180">
        <v>20893700</v>
      </c>
      <c r="H26" s="180">
        <v>24947000</v>
      </c>
      <c r="I26" s="153">
        <f t="shared" si="8"/>
        <v>-15.644425482565417</v>
      </c>
      <c r="J26" s="153">
        <f t="shared" si="10"/>
        <v>-8.749655114716514</v>
      </c>
      <c r="K26" s="153">
        <f t="shared" si="9"/>
        <v>12.141970847623718</v>
      </c>
      <c r="L26" s="153">
        <f t="shared" si="7"/>
        <v>14.107496878437399</v>
      </c>
      <c r="M26" s="153">
        <f t="shared" si="4"/>
        <v>0.371077425755837</v>
      </c>
      <c r="N26" s="145">
        <v>20900000</v>
      </c>
      <c r="O26" s="409">
        <v>20988500</v>
      </c>
      <c r="P26" s="440">
        <v>17698000</v>
      </c>
      <c r="Q26" s="671">
        <v>25200000</v>
      </c>
      <c r="R26" s="147">
        <f t="shared" si="11"/>
        <v>1.2057416267942584</v>
      </c>
      <c r="S26" s="153">
        <f>SUM((Q26/G26)-1)*100</f>
        <v>20.610518960260737</v>
      </c>
      <c r="T26" s="153">
        <f t="shared" si="5"/>
        <v>1.6716818421205049</v>
      </c>
      <c r="U26" s="188">
        <v>1.05</v>
      </c>
      <c r="V26" s="145">
        <f t="shared" si="6"/>
        <v>26460000</v>
      </c>
      <c r="W26" s="16"/>
      <c r="X26" s="16"/>
      <c r="Y26" s="16">
        <f aca="true" t="shared" si="12" ref="Y26:Y32">+V26</f>
        <v>26460000</v>
      </c>
    </row>
    <row r="27" spans="1:25" ht="12.75">
      <c r="A27" s="143">
        <v>11214</v>
      </c>
      <c r="B27" s="144" t="s">
        <v>43</v>
      </c>
      <c r="C27" s="180">
        <v>0</v>
      </c>
      <c r="D27" s="180"/>
      <c r="E27" s="180"/>
      <c r="F27" s="180"/>
      <c r="G27" s="180"/>
      <c r="H27" s="180"/>
      <c r="I27" s="153"/>
      <c r="J27" s="153"/>
      <c r="K27" s="153"/>
      <c r="L27" s="153"/>
      <c r="M27" s="153">
        <f t="shared" si="4"/>
        <v>0</v>
      </c>
      <c r="N27" s="145">
        <v>0</v>
      </c>
      <c r="O27" s="409"/>
      <c r="P27" s="440"/>
      <c r="Q27" s="671">
        <v>0</v>
      </c>
      <c r="R27" s="147" t="e">
        <f t="shared" si="11"/>
        <v>#DIV/0!</v>
      </c>
      <c r="S27" s="153"/>
      <c r="T27" s="153">
        <f t="shared" si="5"/>
        <v>0</v>
      </c>
      <c r="U27" s="188"/>
      <c r="V27" s="140">
        <f t="shared" si="6"/>
        <v>0</v>
      </c>
      <c r="W27" s="16"/>
      <c r="X27" s="16"/>
      <c r="Y27" s="16">
        <f t="shared" si="12"/>
        <v>0</v>
      </c>
    </row>
    <row r="28" spans="1:25" ht="12.75">
      <c r="A28" s="143">
        <v>11215</v>
      </c>
      <c r="B28" s="144" t="s">
        <v>44</v>
      </c>
      <c r="C28" s="180">
        <v>0</v>
      </c>
      <c r="D28" s="180"/>
      <c r="E28" s="180"/>
      <c r="F28" s="180"/>
      <c r="G28" s="180"/>
      <c r="H28" s="180"/>
      <c r="I28" s="153"/>
      <c r="J28" s="153"/>
      <c r="K28" s="153"/>
      <c r="L28" s="153"/>
      <c r="M28" s="153">
        <f t="shared" si="4"/>
        <v>0</v>
      </c>
      <c r="N28" s="145"/>
      <c r="O28" s="409"/>
      <c r="P28" s="440"/>
      <c r="Q28" s="671">
        <v>0</v>
      </c>
      <c r="R28" s="147"/>
      <c r="S28" s="153"/>
      <c r="T28" s="153">
        <f t="shared" si="5"/>
        <v>0</v>
      </c>
      <c r="U28" s="188"/>
      <c r="V28" s="140">
        <f t="shared" si="6"/>
        <v>0</v>
      </c>
      <c r="W28" s="16"/>
      <c r="X28" s="16"/>
      <c r="Y28" s="16">
        <f t="shared" si="12"/>
        <v>0</v>
      </c>
    </row>
    <row r="29" spans="1:25" ht="12.75">
      <c r="A29" s="143">
        <v>11216</v>
      </c>
      <c r="B29" s="144" t="s">
        <v>45</v>
      </c>
      <c r="C29" s="180">
        <v>50738</v>
      </c>
      <c r="D29" s="180"/>
      <c r="E29" s="180"/>
      <c r="F29" s="180"/>
      <c r="G29" s="180"/>
      <c r="H29" s="180"/>
      <c r="I29" s="153">
        <f>SUM((D29/C29)-1)*100</f>
        <v>-100</v>
      </c>
      <c r="J29" s="153"/>
      <c r="K29" s="153"/>
      <c r="L29" s="153"/>
      <c r="M29" s="153">
        <f t="shared" si="4"/>
        <v>-20</v>
      </c>
      <c r="N29" s="145"/>
      <c r="O29" s="409"/>
      <c r="P29" s="440"/>
      <c r="Q29" s="671">
        <v>0</v>
      </c>
      <c r="R29" s="147"/>
      <c r="S29" s="153"/>
      <c r="T29" s="153">
        <f t="shared" si="5"/>
        <v>-20</v>
      </c>
      <c r="U29" s="188"/>
      <c r="V29" s="140">
        <f t="shared" si="6"/>
        <v>0</v>
      </c>
      <c r="W29" s="16"/>
      <c r="X29" s="16"/>
      <c r="Y29" s="16">
        <f t="shared" si="12"/>
        <v>0</v>
      </c>
    </row>
    <row r="30" spans="1:25" ht="12.75">
      <c r="A30" s="143">
        <v>11217</v>
      </c>
      <c r="B30" s="144" t="s">
        <v>46</v>
      </c>
      <c r="C30" s="180">
        <v>0</v>
      </c>
      <c r="D30" s="180"/>
      <c r="E30" s="180"/>
      <c r="F30" s="180"/>
      <c r="G30" s="180"/>
      <c r="H30" s="180"/>
      <c r="I30" s="153"/>
      <c r="J30" s="153"/>
      <c r="K30" s="153"/>
      <c r="L30" s="153"/>
      <c r="M30" s="153">
        <f t="shared" si="4"/>
        <v>0</v>
      </c>
      <c r="N30" s="145"/>
      <c r="O30" s="409"/>
      <c r="P30" s="440"/>
      <c r="Q30" s="671">
        <v>0</v>
      </c>
      <c r="R30" s="147"/>
      <c r="S30" s="153"/>
      <c r="T30" s="153">
        <f t="shared" si="5"/>
        <v>0</v>
      </c>
      <c r="U30" s="188"/>
      <c r="V30" s="140">
        <f t="shared" si="6"/>
        <v>0</v>
      </c>
      <c r="W30" s="16"/>
      <c r="X30" s="16"/>
      <c r="Y30" s="16">
        <f t="shared" si="12"/>
        <v>0</v>
      </c>
    </row>
    <row r="31" spans="1:25" ht="12.75">
      <c r="A31" s="143">
        <v>11218</v>
      </c>
      <c r="B31" s="144" t="s">
        <v>47</v>
      </c>
      <c r="C31" s="180">
        <v>1000</v>
      </c>
      <c r="D31" s="180"/>
      <c r="E31" s="180"/>
      <c r="F31" s="180"/>
      <c r="G31" s="180"/>
      <c r="H31" s="180"/>
      <c r="I31" s="153">
        <f>SUM((D31/C31)-1)*100</f>
        <v>-100</v>
      </c>
      <c r="J31" s="153"/>
      <c r="K31" s="153"/>
      <c r="L31" s="153"/>
      <c r="M31" s="153">
        <f t="shared" si="4"/>
        <v>-20</v>
      </c>
      <c r="N31" s="145"/>
      <c r="O31" s="409"/>
      <c r="P31" s="442"/>
      <c r="Q31" s="673">
        <v>0</v>
      </c>
      <c r="R31" s="147"/>
      <c r="S31" s="153"/>
      <c r="T31" s="153">
        <f t="shared" si="5"/>
        <v>-20</v>
      </c>
      <c r="U31" s="188"/>
      <c r="V31" s="140">
        <f>Q32*U31</f>
        <v>0</v>
      </c>
      <c r="W31" s="16"/>
      <c r="X31" s="16"/>
      <c r="Y31" s="16">
        <f t="shared" si="12"/>
        <v>0</v>
      </c>
    </row>
    <row r="32" spans="1:25" ht="12.75">
      <c r="A32" s="143"/>
      <c r="B32" s="144" t="s">
        <v>296</v>
      </c>
      <c r="C32" s="180"/>
      <c r="D32" s="180"/>
      <c r="E32" s="180"/>
      <c r="F32" s="180"/>
      <c r="G32" s="180"/>
      <c r="H32" s="180"/>
      <c r="I32" s="153"/>
      <c r="J32" s="153"/>
      <c r="K32" s="153"/>
      <c r="L32" s="153"/>
      <c r="M32" s="153"/>
      <c r="N32" s="145"/>
      <c r="O32" s="409">
        <v>1916719</v>
      </c>
      <c r="P32" s="440">
        <v>1916719</v>
      </c>
      <c r="Q32" s="671">
        <v>2000000</v>
      </c>
      <c r="R32" s="147"/>
      <c r="S32" s="153"/>
      <c r="T32" s="153"/>
      <c r="U32" s="188"/>
      <c r="V32" s="140"/>
      <c r="W32" s="16"/>
      <c r="X32" s="16"/>
      <c r="Y32" s="16">
        <f t="shared" si="12"/>
        <v>0</v>
      </c>
    </row>
    <row r="33" spans="1:25" ht="12.75">
      <c r="A33" s="143"/>
      <c r="B33" s="144" t="s">
        <v>62</v>
      </c>
      <c r="C33" s="180">
        <v>3666528</v>
      </c>
      <c r="D33" s="180">
        <v>633000</v>
      </c>
      <c r="E33" s="180">
        <v>6183000</v>
      </c>
      <c r="F33" s="180">
        <v>22432223</v>
      </c>
      <c r="G33" s="180">
        <v>23892223</v>
      </c>
      <c r="H33" s="180">
        <v>57483842</v>
      </c>
      <c r="I33" s="153">
        <f>SUM((D33/C33)-1)*100</f>
        <v>-82.73571073233315</v>
      </c>
      <c r="J33" s="153">
        <f>SUM((E33/D33)-1)*100</f>
        <v>876.7772511848341</v>
      </c>
      <c r="K33" s="153">
        <f>SUM((F33/E33)-1)*100</f>
        <v>262.80483584020703</v>
      </c>
      <c r="L33" s="153">
        <f t="shared" si="7"/>
        <v>6.50849449918538</v>
      </c>
      <c r="M33" s="153">
        <f t="shared" si="4"/>
        <v>212.6709741583787</v>
      </c>
      <c r="N33" s="145">
        <v>68835642</v>
      </c>
      <c r="O33" s="409">
        <v>57483842</v>
      </c>
      <c r="P33" s="440">
        <v>31619600</v>
      </c>
      <c r="Q33" s="671">
        <v>45573970</v>
      </c>
      <c r="R33" s="147">
        <f>+Q33/N33</f>
        <v>0.6620693680753351</v>
      </c>
      <c r="S33" s="153">
        <f>SUM((Q33/G33)-1)*100</f>
        <v>90.74813591016624</v>
      </c>
      <c r="T33" s="153">
        <f t="shared" si="5"/>
        <v>229.51890244057486</v>
      </c>
      <c r="U33" s="153">
        <f>SUM(T33-251)</f>
        <v>-21.481097559425137</v>
      </c>
      <c r="V33" s="145">
        <f>SUM(Q33*U33)/100+(Q33)</f>
        <v>35784181.042596854</v>
      </c>
      <c r="W33" s="16"/>
      <c r="X33" s="16"/>
      <c r="Y33" s="16"/>
    </row>
    <row r="34" spans="1:25" ht="12.75">
      <c r="A34" s="143"/>
      <c r="B34" s="144" t="s">
        <v>263</v>
      </c>
      <c r="C34" s="180"/>
      <c r="D34" s="180"/>
      <c r="E34" s="180"/>
      <c r="F34" s="180">
        <v>20763428</v>
      </c>
      <c r="G34" s="180">
        <v>40990738</v>
      </c>
      <c r="H34" s="180">
        <v>72129300</v>
      </c>
      <c r="I34" s="153"/>
      <c r="J34" s="153"/>
      <c r="K34" s="153"/>
      <c r="L34" s="153">
        <f t="shared" si="7"/>
        <v>97.41796971097452</v>
      </c>
      <c r="M34" s="153">
        <f>SUM(I34+J34+K34)/4</f>
        <v>0</v>
      </c>
      <c r="N34" s="145">
        <v>84944030</v>
      </c>
      <c r="O34" s="409">
        <v>71499000</v>
      </c>
      <c r="P34" s="440">
        <v>34165050</v>
      </c>
      <c r="Q34" s="671">
        <v>50161731</v>
      </c>
      <c r="R34" s="147">
        <f>+Q34/N34</f>
        <v>0.590526856331163</v>
      </c>
      <c r="S34" s="153">
        <f>SUM((Q34/G34)-1)*100</f>
        <v>22.373329799526907</v>
      </c>
      <c r="T34" s="153">
        <f t="shared" si="5"/>
        <v>4.474665959905382</v>
      </c>
      <c r="U34" s="153">
        <f>SUM(T34-40)</f>
        <v>-35.52533404009462</v>
      </c>
      <c r="V34" s="145">
        <f>SUM(Q34*U34)/100+(Q34)</f>
        <v>32341608.501956306</v>
      </c>
      <c r="W34" s="16"/>
      <c r="X34" s="16"/>
      <c r="Y34" s="16"/>
    </row>
    <row r="35" spans="1:25" ht="12.75">
      <c r="A35" s="143"/>
      <c r="B35" s="144"/>
      <c r="C35" s="180"/>
      <c r="D35" s="180"/>
      <c r="E35" s="180"/>
      <c r="F35" s="180"/>
      <c r="G35" s="180"/>
      <c r="H35" s="180"/>
      <c r="I35" s="153"/>
      <c r="J35" s="153"/>
      <c r="K35" s="153"/>
      <c r="L35" s="153"/>
      <c r="M35" s="153">
        <f>SUM(I35+J35)/3</f>
        <v>0</v>
      </c>
      <c r="N35" s="146"/>
      <c r="O35" s="410"/>
      <c r="P35" s="441"/>
      <c r="Q35" s="671"/>
      <c r="R35" s="147"/>
      <c r="S35" s="147"/>
      <c r="T35" s="147"/>
      <c r="U35" s="147"/>
      <c r="V35" s="146"/>
      <c r="W35" s="19"/>
      <c r="X35" s="19"/>
      <c r="Y35" s="19"/>
    </row>
    <row r="36" spans="1:25" s="18" customFormat="1" ht="12.75">
      <c r="A36" s="148">
        <v>1.2</v>
      </c>
      <c r="B36" s="158" t="s">
        <v>48</v>
      </c>
      <c r="C36" s="181"/>
      <c r="D36" s="181"/>
      <c r="E36" s="181"/>
      <c r="F36" s="181"/>
      <c r="G36" s="181"/>
      <c r="H36" s="181"/>
      <c r="I36" s="153"/>
      <c r="J36" s="153"/>
      <c r="K36" s="153"/>
      <c r="L36" s="153"/>
      <c r="M36" s="153">
        <f>SUM(I36+J36)/3</f>
        <v>0</v>
      </c>
      <c r="N36" s="150"/>
      <c r="O36" s="411"/>
      <c r="P36" s="443"/>
      <c r="Q36" s="671"/>
      <c r="R36" s="147"/>
      <c r="S36" s="147"/>
      <c r="T36" s="147"/>
      <c r="U36" s="147"/>
      <c r="V36" s="150"/>
      <c r="W36" s="17"/>
      <c r="X36" s="17"/>
      <c r="Y36" s="17"/>
    </row>
    <row r="37" spans="1:25" ht="12.75">
      <c r="A37" s="143" t="s">
        <v>49</v>
      </c>
      <c r="B37" s="144" t="s">
        <v>50</v>
      </c>
      <c r="C37" s="182">
        <f aca="true" t="shared" si="13" ref="C37:H37">SUM(C38:C50)</f>
        <v>26907545</v>
      </c>
      <c r="D37" s="182">
        <f t="shared" si="13"/>
        <v>38006764</v>
      </c>
      <c r="E37" s="182">
        <f t="shared" si="13"/>
        <v>39597449</v>
      </c>
      <c r="F37" s="182">
        <f t="shared" si="13"/>
        <v>55588783</v>
      </c>
      <c r="G37" s="182">
        <f t="shared" si="13"/>
        <v>38406763</v>
      </c>
      <c r="H37" s="182">
        <f t="shared" si="13"/>
        <v>39871692</v>
      </c>
      <c r="I37" s="182">
        <f aca="true" t="shared" si="14" ref="I37:V37">SUM(I38:I50)</f>
        <v>262138.52734920752</v>
      </c>
      <c r="J37" s="182">
        <f t="shared" si="14"/>
        <v>2840.738286083204</v>
      </c>
      <c r="K37" s="182">
        <f t="shared" si="14"/>
        <v>202.85983678051414</v>
      </c>
      <c r="L37" s="182">
        <f t="shared" si="14"/>
        <v>-330.5754251129591</v>
      </c>
      <c r="M37" s="182">
        <f t="shared" si="14"/>
        <v>52970.31000939166</v>
      </c>
      <c r="N37" s="182">
        <f t="shared" si="14"/>
        <v>38520519</v>
      </c>
      <c r="O37" s="412">
        <f t="shared" si="14"/>
        <v>31689771</v>
      </c>
      <c r="P37" s="444">
        <f>SUM(P38:P50)</f>
        <v>34698116</v>
      </c>
      <c r="Q37" s="674">
        <f t="shared" si="14"/>
        <v>39582506</v>
      </c>
      <c r="R37" s="182" t="e">
        <f t="shared" si="14"/>
        <v>#DIV/0!</v>
      </c>
      <c r="S37" s="182" t="e">
        <f t="shared" si="14"/>
        <v>#DIV/0!</v>
      </c>
      <c r="T37" s="182" t="e">
        <f t="shared" si="14"/>
        <v>#DIV/0!</v>
      </c>
      <c r="U37" s="182">
        <f t="shared" si="14"/>
        <v>-7.793095968780131</v>
      </c>
      <c r="V37" s="182">
        <f t="shared" si="14"/>
        <v>41115277.66620197</v>
      </c>
      <c r="W37" s="16"/>
      <c r="X37" s="16"/>
      <c r="Y37" s="16"/>
    </row>
    <row r="38" spans="1:25" ht="12.75">
      <c r="A38" s="143">
        <v>12101</v>
      </c>
      <c r="B38" s="144" t="s">
        <v>51</v>
      </c>
      <c r="C38" s="180">
        <v>1000</v>
      </c>
      <c r="D38" s="180"/>
      <c r="E38" s="180"/>
      <c r="F38" s="180"/>
      <c r="G38" s="180"/>
      <c r="H38" s="180">
        <v>7676014</v>
      </c>
      <c r="I38" s="153">
        <f aca="true" t="shared" si="15" ref="I38:J48">SUM((D38/C38)-1)*100</f>
        <v>-100</v>
      </c>
      <c r="J38" s="153"/>
      <c r="K38" s="153"/>
      <c r="L38" s="153"/>
      <c r="M38" s="153">
        <f aca="true" t="shared" si="16" ref="M38:M49">SUM(I38+J38+K38+L38)/5</f>
        <v>-20</v>
      </c>
      <c r="N38" s="145"/>
      <c r="O38" s="409"/>
      <c r="P38" s="440"/>
      <c r="Q38" s="671"/>
      <c r="R38" s="147"/>
      <c r="S38" s="153"/>
      <c r="T38" s="153">
        <f aca="true" t="shared" si="17" ref="T38:T50">SUM(I38+J38+K38+S38)/5</f>
        <v>-20</v>
      </c>
      <c r="U38" s="153"/>
      <c r="V38" s="145">
        <v>0</v>
      </c>
      <c r="W38" s="16"/>
      <c r="X38" s="16"/>
      <c r="Y38" s="16">
        <f aca="true" t="shared" si="18" ref="Y38:Y45">+V38</f>
        <v>0</v>
      </c>
    </row>
    <row r="39" spans="1:25" ht="12.75">
      <c r="A39" s="143">
        <v>12102</v>
      </c>
      <c r="B39" s="144" t="s">
        <v>52</v>
      </c>
      <c r="C39" s="180">
        <v>5722405</v>
      </c>
      <c r="D39" s="180">
        <v>6466900</v>
      </c>
      <c r="E39" s="180">
        <v>8187180</v>
      </c>
      <c r="F39" s="180">
        <v>8068500</v>
      </c>
      <c r="G39" s="180">
        <v>6630635</v>
      </c>
      <c r="H39" s="180"/>
      <c r="I39" s="153">
        <f t="shared" si="15"/>
        <v>13.010176665230787</v>
      </c>
      <c r="J39" s="153">
        <f t="shared" si="15"/>
        <v>26.601308200219577</v>
      </c>
      <c r="K39" s="153">
        <f>SUM((F39/E39)-1)*100</f>
        <v>-1.4495833730295393</v>
      </c>
      <c r="L39" s="153">
        <f t="shared" si="7"/>
        <v>-17.82072256305385</v>
      </c>
      <c r="M39" s="153">
        <f t="shared" si="16"/>
        <v>4.068235785873395</v>
      </c>
      <c r="N39" s="145">
        <v>5434000</v>
      </c>
      <c r="O39" s="409">
        <v>6379514</v>
      </c>
      <c r="P39" s="440">
        <v>7549474</v>
      </c>
      <c r="Q39" s="671">
        <v>8400000</v>
      </c>
      <c r="R39" s="147">
        <f>+Q39/N39</f>
        <v>1.5458225984541774</v>
      </c>
      <c r="S39" s="153">
        <f>SUM((Q39/G39)-1)*100</f>
        <v>26.684699127609957</v>
      </c>
      <c r="T39" s="153">
        <f t="shared" si="17"/>
        <v>12.969320124006156</v>
      </c>
      <c r="U39" s="188">
        <v>1.05</v>
      </c>
      <c r="V39" s="189">
        <f aca="true" t="shared" si="19" ref="V39:V48">Q39*U39</f>
        <v>8820000</v>
      </c>
      <c r="W39" s="16"/>
      <c r="X39" s="16"/>
      <c r="Y39" s="16">
        <f t="shared" si="18"/>
        <v>8820000</v>
      </c>
    </row>
    <row r="40" spans="1:25" ht="12.75">
      <c r="A40" s="143">
        <v>12103</v>
      </c>
      <c r="B40" s="144" t="s">
        <v>53</v>
      </c>
      <c r="C40" s="180">
        <v>1000</v>
      </c>
      <c r="D40" s="180">
        <v>500000</v>
      </c>
      <c r="E40" s="180"/>
      <c r="F40" s="180"/>
      <c r="G40" s="180"/>
      <c r="H40" s="180"/>
      <c r="I40" s="153">
        <f t="shared" si="15"/>
        <v>49900</v>
      </c>
      <c r="J40" s="153">
        <f t="shared" si="15"/>
        <v>-100</v>
      </c>
      <c r="K40" s="153"/>
      <c r="L40" s="153"/>
      <c r="M40" s="153">
        <f t="shared" si="16"/>
        <v>9960</v>
      </c>
      <c r="N40" s="145"/>
      <c r="O40" s="409"/>
      <c r="P40" s="440"/>
      <c r="Q40" s="671">
        <v>0</v>
      </c>
      <c r="R40" s="147"/>
      <c r="S40" s="153"/>
      <c r="T40" s="153">
        <f t="shared" si="17"/>
        <v>9960</v>
      </c>
      <c r="U40" s="188">
        <v>1.05</v>
      </c>
      <c r="V40" s="189">
        <f t="shared" si="19"/>
        <v>0</v>
      </c>
      <c r="W40" s="16"/>
      <c r="X40" s="16"/>
      <c r="Y40" s="16">
        <f t="shared" si="18"/>
        <v>0</v>
      </c>
    </row>
    <row r="41" spans="1:25" ht="12.75">
      <c r="A41" s="143">
        <v>12104</v>
      </c>
      <c r="B41" s="144" t="s">
        <v>54</v>
      </c>
      <c r="C41" s="180">
        <v>13261074</v>
      </c>
      <c r="D41" s="180">
        <v>13803377</v>
      </c>
      <c r="E41" s="180">
        <v>13931175</v>
      </c>
      <c r="F41" s="180">
        <v>23608081</v>
      </c>
      <c r="G41" s="180">
        <v>16951140</v>
      </c>
      <c r="H41" s="180">
        <v>18576093</v>
      </c>
      <c r="I41" s="153">
        <f t="shared" si="15"/>
        <v>4.089434988448137</v>
      </c>
      <c r="J41" s="153">
        <f t="shared" si="15"/>
        <v>0.9258458998837815</v>
      </c>
      <c r="K41" s="153">
        <f>SUM((F41/E41)-1)*100</f>
        <v>69.462238468758</v>
      </c>
      <c r="L41" s="153">
        <f t="shared" si="7"/>
        <v>-28.19772178856892</v>
      </c>
      <c r="M41" s="153">
        <f t="shared" si="16"/>
        <v>9.2559595137042</v>
      </c>
      <c r="N41" s="145">
        <v>14839000</v>
      </c>
      <c r="O41" s="409">
        <v>13764457</v>
      </c>
      <c r="P41" s="440">
        <v>19701856</v>
      </c>
      <c r="Q41" s="671">
        <v>21907876</v>
      </c>
      <c r="R41" s="147">
        <f aca="true" t="shared" si="20" ref="R41:R47">+Q41/N41</f>
        <v>1.4763714536019947</v>
      </c>
      <c r="S41" s="153">
        <f aca="true" t="shared" si="21" ref="S41:S47">SUM((Q41/G41)-1)*100</f>
        <v>29.241313563571538</v>
      </c>
      <c r="T41" s="153">
        <f t="shared" si="17"/>
        <v>20.743766584132292</v>
      </c>
      <c r="U41" s="188">
        <v>1.05</v>
      </c>
      <c r="V41" s="189">
        <f t="shared" si="19"/>
        <v>23003269.8</v>
      </c>
      <c r="W41" s="16"/>
      <c r="X41" s="16"/>
      <c r="Y41" s="16">
        <f t="shared" si="18"/>
        <v>23003269.8</v>
      </c>
    </row>
    <row r="42" spans="1:25" ht="12.75">
      <c r="A42" s="143">
        <v>12105</v>
      </c>
      <c r="B42" s="144" t="s">
        <v>55</v>
      </c>
      <c r="C42" s="180">
        <v>107600</v>
      </c>
      <c r="D42" s="180">
        <v>145000</v>
      </c>
      <c r="E42" s="180">
        <v>102000</v>
      </c>
      <c r="F42" s="180">
        <v>90000</v>
      </c>
      <c r="G42" s="180">
        <v>135000</v>
      </c>
      <c r="H42" s="180">
        <v>280400</v>
      </c>
      <c r="I42" s="153">
        <f t="shared" si="15"/>
        <v>34.758364312267666</v>
      </c>
      <c r="J42" s="153">
        <f t="shared" si="15"/>
        <v>-29.655172413793107</v>
      </c>
      <c r="K42" s="153">
        <f>SUM((F42/E42)-1)*100</f>
        <v>-11.764705882352944</v>
      </c>
      <c r="L42" s="153">
        <f t="shared" si="7"/>
        <v>50</v>
      </c>
      <c r="M42" s="153">
        <f t="shared" si="16"/>
        <v>8.667697203224323</v>
      </c>
      <c r="N42" s="145">
        <v>114950</v>
      </c>
      <c r="O42" s="409">
        <v>245400</v>
      </c>
      <c r="P42" s="440">
        <v>150000</v>
      </c>
      <c r="Q42" s="671">
        <v>157670</v>
      </c>
      <c r="R42" s="147">
        <f t="shared" si="20"/>
        <v>1.3716398434101784</v>
      </c>
      <c r="S42" s="153">
        <f t="shared" si="21"/>
        <v>16.792592592592605</v>
      </c>
      <c r="T42" s="153">
        <f t="shared" si="17"/>
        <v>2.0262157217428443</v>
      </c>
      <c r="U42" s="188">
        <v>1.05</v>
      </c>
      <c r="V42" s="189">
        <f t="shared" si="19"/>
        <v>165553.5</v>
      </c>
      <c r="W42" s="16"/>
      <c r="X42" s="16"/>
      <c r="Y42" s="16">
        <f t="shared" si="18"/>
        <v>165553.5</v>
      </c>
    </row>
    <row r="43" spans="1:25" ht="12.75">
      <c r="A43" s="143">
        <v>12106</v>
      </c>
      <c r="B43" s="144" t="s">
        <v>56</v>
      </c>
      <c r="C43" s="180">
        <v>1000</v>
      </c>
      <c r="D43" s="180"/>
      <c r="E43" s="180"/>
      <c r="F43" s="180">
        <v>162375</v>
      </c>
      <c r="G43" s="180"/>
      <c r="H43" s="180">
        <v>259200</v>
      </c>
      <c r="I43" s="153">
        <f t="shared" si="15"/>
        <v>-100</v>
      </c>
      <c r="J43" s="153"/>
      <c r="K43" s="153"/>
      <c r="L43" s="153">
        <f t="shared" si="7"/>
        <v>-100</v>
      </c>
      <c r="M43" s="153">
        <f t="shared" si="16"/>
        <v>-40</v>
      </c>
      <c r="N43" s="145"/>
      <c r="O43" s="409">
        <v>259200</v>
      </c>
      <c r="P43" s="440">
        <v>32000</v>
      </c>
      <c r="Q43" s="671">
        <v>42160</v>
      </c>
      <c r="R43" s="147" t="e">
        <f t="shared" si="20"/>
        <v>#DIV/0!</v>
      </c>
      <c r="S43" s="153" t="e">
        <f t="shared" si="21"/>
        <v>#DIV/0!</v>
      </c>
      <c r="T43" s="153" t="e">
        <f t="shared" si="17"/>
        <v>#DIV/0!</v>
      </c>
      <c r="U43" s="188">
        <v>1.05</v>
      </c>
      <c r="V43" s="189">
        <f t="shared" si="19"/>
        <v>44268</v>
      </c>
      <c r="W43" s="16"/>
      <c r="X43" s="16"/>
      <c r="Y43" s="16">
        <f t="shared" si="18"/>
        <v>44268</v>
      </c>
    </row>
    <row r="44" spans="1:25" ht="12.75">
      <c r="A44" s="143">
        <v>12107</v>
      </c>
      <c r="B44" s="144" t="s">
        <v>57</v>
      </c>
      <c r="C44" s="180">
        <v>6482207</v>
      </c>
      <c r="D44" s="180">
        <v>7169279</v>
      </c>
      <c r="E44" s="180">
        <v>4024162</v>
      </c>
      <c r="F44" s="180">
        <v>6978111</v>
      </c>
      <c r="G44" s="180">
        <v>5169554</v>
      </c>
      <c r="H44" s="180">
        <v>7352625</v>
      </c>
      <c r="I44" s="153">
        <f t="shared" si="15"/>
        <v>10.599352967284137</v>
      </c>
      <c r="J44" s="153">
        <f t="shared" si="15"/>
        <v>-43.869362595597124</v>
      </c>
      <c r="K44" s="153">
        <f aca="true" t="shared" si="22" ref="K44:K49">SUM((F44/E44)-1)*100</f>
        <v>73.40532016355206</v>
      </c>
      <c r="L44" s="153">
        <f t="shared" si="7"/>
        <v>-25.917572821641844</v>
      </c>
      <c r="M44" s="153">
        <f t="shared" si="16"/>
        <v>2.8435475427194454</v>
      </c>
      <c r="N44" s="145">
        <v>5434000</v>
      </c>
      <c r="O44" s="409">
        <v>6054627</v>
      </c>
      <c r="P44" s="440">
        <v>932500</v>
      </c>
      <c r="Q44" s="671">
        <v>2575000</v>
      </c>
      <c r="R44" s="147">
        <f t="shared" si="20"/>
        <v>0.4738682370261318</v>
      </c>
      <c r="S44" s="153">
        <f t="shared" si="21"/>
        <v>-50.189126566817954</v>
      </c>
      <c r="T44" s="153">
        <f t="shared" si="17"/>
        <v>-2.0107632063157768</v>
      </c>
      <c r="U44" s="188">
        <v>1.05</v>
      </c>
      <c r="V44" s="189">
        <f t="shared" si="19"/>
        <v>2703750</v>
      </c>
      <c r="W44" s="16"/>
      <c r="X44" s="16"/>
      <c r="Y44" s="16">
        <f t="shared" si="18"/>
        <v>2703750</v>
      </c>
    </row>
    <row r="45" spans="1:25" ht="12.75">
      <c r="A45" s="143">
        <v>12108</v>
      </c>
      <c r="B45" s="144" t="s">
        <v>58</v>
      </c>
      <c r="C45" s="180">
        <v>393216</v>
      </c>
      <c r="D45" s="180">
        <v>260075</v>
      </c>
      <c r="E45" s="180">
        <v>655500</v>
      </c>
      <c r="F45" s="180">
        <v>889061</v>
      </c>
      <c r="G45" s="180">
        <v>772850</v>
      </c>
      <c r="H45" s="180">
        <v>388800</v>
      </c>
      <c r="I45" s="153">
        <f t="shared" si="15"/>
        <v>-33.85950724283854</v>
      </c>
      <c r="J45" s="153">
        <f t="shared" si="15"/>
        <v>152.04267999615496</v>
      </c>
      <c r="K45" s="153">
        <f t="shared" si="22"/>
        <v>35.630968726163225</v>
      </c>
      <c r="L45" s="153">
        <f t="shared" si="7"/>
        <v>-13.071206587624474</v>
      </c>
      <c r="M45" s="153">
        <f t="shared" si="16"/>
        <v>28.148586978371032</v>
      </c>
      <c r="N45" s="145">
        <v>731500</v>
      </c>
      <c r="O45" s="409">
        <v>388800</v>
      </c>
      <c r="P45" s="440">
        <v>659800</v>
      </c>
      <c r="Q45" s="671">
        <v>659800</v>
      </c>
      <c r="R45" s="147">
        <f t="shared" si="20"/>
        <v>0.9019822282980178</v>
      </c>
      <c r="S45" s="153">
        <f t="shared" si="21"/>
        <v>-14.62767678074659</v>
      </c>
      <c r="T45" s="153">
        <f t="shared" si="17"/>
        <v>27.83729293974661</v>
      </c>
      <c r="U45" s="188">
        <v>1.05</v>
      </c>
      <c r="V45" s="189">
        <f t="shared" si="19"/>
        <v>692790</v>
      </c>
      <c r="W45" s="16"/>
      <c r="X45" s="16"/>
      <c r="Y45" s="16">
        <f t="shared" si="18"/>
        <v>692790</v>
      </c>
    </row>
    <row r="46" spans="1:25" ht="12.75">
      <c r="A46" s="143">
        <v>12109</v>
      </c>
      <c r="B46" s="144" t="s">
        <v>59</v>
      </c>
      <c r="C46" s="180">
        <v>95326</v>
      </c>
      <c r="D46" s="180">
        <v>103680</v>
      </c>
      <c r="E46" s="180">
        <v>171600</v>
      </c>
      <c r="F46" s="180">
        <v>288000</v>
      </c>
      <c r="G46" s="180"/>
      <c r="H46" s="180"/>
      <c r="I46" s="153">
        <f t="shared" si="15"/>
        <v>8.76361118687452</v>
      </c>
      <c r="J46" s="153">
        <f t="shared" si="15"/>
        <v>65.50925925925925</v>
      </c>
      <c r="K46" s="153">
        <f t="shared" si="22"/>
        <v>67.83216783216784</v>
      </c>
      <c r="L46" s="153">
        <f t="shared" si="7"/>
        <v>-100</v>
      </c>
      <c r="M46" s="153">
        <f t="shared" si="16"/>
        <v>8.421007655660322</v>
      </c>
      <c r="N46" s="145">
        <v>1781516</v>
      </c>
      <c r="O46" s="409"/>
      <c r="P46" s="440"/>
      <c r="Q46" s="671"/>
      <c r="R46" s="147">
        <f t="shared" si="20"/>
        <v>0</v>
      </c>
      <c r="S46" s="153" t="e">
        <f t="shared" si="21"/>
        <v>#DIV/0!</v>
      </c>
      <c r="T46" s="153" t="e">
        <f t="shared" si="17"/>
        <v>#DIV/0!</v>
      </c>
      <c r="U46" s="188">
        <v>1.05</v>
      </c>
      <c r="V46" s="190">
        <f t="shared" si="19"/>
        <v>0</v>
      </c>
      <c r="W46" s="16">
        <f>+V46</f>
        <v>0</v>
      </c>
      <c r="X46" s="16"/>
      <c r="Y46" s="16"/>
    </row>
    <row r="47" spans="1:25" ht="12.75">
      <c r="A47" s="143">
        <v>12110</v>
      </c>
      <c r="B47" s="144" t="s">
        <v>60</v>
      </c>
      <c r="C47" s="180">
        <v>57617</v>
      </c>
      <c r="D47" s="180">
        <v>7298963</v>
      </c>
      <c r="E47" s="180">
        <v>4632847</v>
      </c>
      <c r="F47" s="180">
        <v>8076855</v>
      </c>
      <c r="G47" s="180">
        <v>4313084</v>
      </c>
      <c r="H47" s="180">
        <v>5338560</v>
      </c>
      <c r="I47" s="153">
        <f t="shared" si="15"/>
        <v>12568.071923217105</v>
      </c>
      <c r="J47" s="153">
        <f t="shared" si="15"/>
        <v>-36.52732586807195</v>
      </c>
      <c r="K47" s="153">
        <f t="shared" si="22"/>
        <v>74.33891082524417</v>
      </c>
      <c r="L47" s="153">
        <f t="shared" si="7"/>
        <v>-46.59946229070597</v>
      </c>
      <c r="M47" s="153">
        <f t="shared" si="16"/>
        <v>2511.8568091767147</v>
      </c>
      <c r="N47" s="145">
        <v>5865000</v>
      </c>
      <c r="O47" s="409">
        <v>4597773</v>
      </c>
      <c r="P47" s="440">
        <v>5039486</v>
      </c>
      <c r="Q47" s="671">
        <v>5040000</v>
      </c>
      <c r="R47" s="147">
        <f t="shared" si="20"/>
        <v>0.8593350383631714</v>
      </c>
      <c r="S47" s="153">
        <f t="shared" si="21"/>
        <v>16.853740849934763</v>
      </c>
      <c r="T47" s="153">
        <f t="shared" si="17"/>
        <v>2524.5474498048425</v>
      </c>
      <c r="U47" s="188">
        <v>1.05</v>
      </c>
      <c r="V47" s="189">
        <f t="shared" si="19"/>
        <v>5292000</v>
      </c>
      <c r="W47" s="16"/>
      <c r="X47" s="16"/>
      <c r="Y47" s="16">
        <f>+V47</f>
        <v>5292000</v>
      </c>
    </row>
    <row r="48" spans="1:25" ht="12.75">
      <c r="A48" s="143">
        <v>12111</v>
      </c>
      <c r="B48" s="144" t="s">
        <v>61</v>
      </c>
      <c r="C48" s="180">
        <v>1000</v>
      </c>
      <c r="D48" s="180">
        <v>2000000</v>
      </c>
      <c r="E48" s="180">
        <v>107400</v>
      </c>
      <c r="F48" s="180"/>
      <c r="G48" s="180">
        <v>300000</v>
      </c>
      <c r="H48" s="180"/>
      <c r="I48" s="153">
        <f t="shared" si="15"/>
        <v>199900</v>
      </c>
      <c r="J48" s="153">
        <f t="shared" si="15"/>
        <v>-94.63000000000001</v>
      </c>
      <c r="K48" s="153">
        <f t="shared" si="22"/>
        <v>-100</v>
      </c>
      <c r="L48" s="153"/>
      <c r="M48" s="153">
        <f t="shared" si="16"/>
        <v>39941.074</v>
      </c>
      <c r="N48" s="145">
        <v>0</v>
      </c>
      <c r="O48" s="409"/>
      <c r="P48" s="440"/>
      <c r="Q48" s="671"/>
      <c r="R48" s="147"/>
      <c r="S48" s="153"/>
      <c r="T48" s="153">
        <f t="shared" si="17"/>
        <v>39941.074</v>
      </c>
      <c r="U48" s="188">
        <v>1.05</v>
      </c>
      <c r="V48" s="145">
        <f t="shared" si="19"/>
        <v>0</v>
      </c>
      <c r="W48" s="16"/>
      <c r="X48" s="16"/>
      <c r="Y48" s="16">
        <f>+V48</f>
        <v>0</v>
      </c>
    </row>
    <row r="49" spans="2:25" ht="12.75">
      <c r="B49" s="144" t="s">
        <v>79</v>
      </c>
      <c r="C49" s="180">
        <v>784100</v>
      </c>
      <c r="D49" s="180">
        <v>259490</v>
      </c>
      <c r="E49" s="180">
        <v>7785585</v>
      </c>
      <c r="F49" s="180">
        <v>7427800</v>
      </c>
      <c r="G49" s="180">
        <v>3790500</v>
      </c>
      <c r="H49" s="180"/>
      <c r="I49" s="153">
        <f>SUM((D49/C49)-1)*100</f>
        <v>-66.90600688687667</v>
      </c>
      <c r="J49" s="153">
        <f>SUM((E49/D49)-1)*100</f>
        <v>2900.3410536051488</v>
      </c>
      <c r="K49" s="153">
        <f t="shared" si="22"/>
        <v>-4.595479979988659</v>
      </c>
      <c r="L49" s="153">
        <f t="shared" si="7"/>
        <v>-48.96873906136406</v>
      </c>
      <c r="M49" s="153">
        <f t="shared" si="16"/>
        <v>555.9741655353839</v>
      </c>
      <c r="N49" s="145">
        <v>3961073</v>
      </c>
      <c r="O49" s="409"/>
      <c r="P49" s="440">
        <v>33000</v>
      </c>
      <c r="Q49" s="675">
        <v>200000</v>
      </c>
      <c r="R49" s="147">
        <f>+Q49/N49</f>
        <v>0.05049136938400277</v>
      </c>
      <c r="S49" s="153">
        <f>SUM((Q49/G49)-1)*100</f>
        <v>-94.72365123334653</v>
      </c>
      <c r="T49" s="153">
        <f t="shared" si="17"/>
        <v>546.8231831009873</v>
      </c>
      <c r="U49" s="153">
        <f>SUM(T49-550)</f>
        <v>-3.1768168990126924</v>
      </c>
      <c r="V49" s="145">
        <f>SUM(Q49*U49)/100+(Q49)</f>
        <v>193646.36620197463</v>
      </c>
      <c r="W49" s="16"/>
      <c r="X49" s="16"/>
      <c r="Y49" s="16"/>
    </row>
    <row r="50" spans="2:25" ht="12.75">
      <c r="B50" s="135" t="s">
        <v>266</v>
      </c>
      <c r="C50" s="183"/>
      <c r="D50" s="183"/>
      <c r="E50" s="183"/>
      <c r="F50" s="183"/>
      <c r="G50" s="183">
        <v>344000</v>
      </c>
      <c r="H50" s="183"/>
      <c r="K50" s="153"/>
      <c r="L50" s="153"/>
      <c r="N50" s="187">
        <v>359480</v>
      </c>
      <c r="O50" s="413"/>
      <c r="P50" s="413">
        <v>600000</v>
      </c>
      <c r="Q50" s="676">
        <v>600000</v>
      </c>
      <c r="R50" s="147">
        <f>+Q50/N50</f>
        <v>1.6690775564704574</v>
      </c>
      <c r="S50" s="153">
        <f>SUM((Q50/G50)-1)*100</f>
        <v>74.4186046511628</v>
      </c>
      <c r="T50" s="153">
        <f t="shared" si="17"/>
        <v>14.88372093023256</v>
      </c>
      <c r="U50" s="153">
        <f>SUM(T50-30)</f>
        <v>-15.11627906976744</v>
      </c>
      <c r="V50" s="145">
        <v>200000</v>
      </c>
      <c r="W50" s="16"/>
      <c r="X50" s="16"/>
      <c r="Y50" s="16"/>
    </row>
    <row r="51" spans="1:25" ht="12.75">
      <c r="A51" s="143"/>
      <c r="B51" s="144"/>
      <c r="C51" s="180"/>
      <c r="D51" s="180"/>
      <c r="E51" s="180"/>
      <c r="F51" s="180"/>
      <c r="G51" s="180"/>
      <c r="H51" s="180"/>
      <c r="I51" s="153"/>
      <c r="J51" s="153"/>
      <c r="K51" s="153"/>
      <c r="L51" s="153"/>
      <c r="M51" s="153"/>
      <c r="N51" s="145"/>
      <c r="O51" s="410"/>
      <c r="P51" s="441"/>
      <c r="Q51" s="671"/>
      <c r="R51" s="147"/>
      <c r="S51" s="147"/>
      <c r="T51" s="147"/>
      <c r="U51" s="147"/>
      <c r="V51" s="145">
        <f>SUM(V39:V49)</f>
        <v>40915277.66620197</v>
      </c>
      <c r="W51" s="16"/>
      <c r="X51" s="16"/>
      <c r="Y51" s="16"/>
    </row>
    <row r="52" spans="1:25" ht="12.75">
      <c r="A52" s="143" t="s">
        <v>63</v>
      </c>
      <c r="B52" s="155" t="s">
        <v>64</v>
      </c>
      <c r="C52" s="184">
        <f aca="true" t="shared" si="23" ref="C52:H52">SUM(C53:C54)</f>
        <v>12000</v>
      </c>
      <c r="D52" s="184">
        <f t="shared" si="23"/>
        <v>0</v>
      </c>
      <c r="E52" s="184">
        <f t="shared" si="23"/>
        <v>0</v>
      </c>
      <c r="F52" s="184">
        <f t="shared" si="23"/>
        <v>0</v>
      </c>
      <c r="G52" s="184">
        <f t="shared" si="23"/>
        <v>0</v>
      </c>
      <c r="H52" s="184">
        <f t="shared" si="23"/>
        <v>1866000</v>
      </c>
      <c r="I52" s="138">
        <f>SUM(I53:I54)</f>
        <v>-100</v>
      </c>
      <c r="J52" s="138">
        <f>SUM(J53:J54)</f>
        <v>0</v>
      </c>
      <c r="K52" s="138">
        <f>SUM(K53:K54)</f>
        <v>0</v>
      </c>
      <c r="L52" s="138">
        <f>SUM(L53:L54)</f>
        <v>0</v>
      </c>
      <c r="M52" s="138">
        <f>SUM(M53:M54)</f>
        <v>-20</v>
      </c>
      <c r="N52" s="138">
        <f aca="true" t="shared" si="24" ref="N52:T52">SUM(N53:N54)</f>
        <v>0</v>
      </c>
      <c r="O52" s="414">
        <f t="shared" si="24"/>
        <v>1866000</v>
      </c>
      <c r="P52" s="445">
        <f>SUM(P53:P54)</f>
        <v>0</v>
      </c>
      <c r="Q52" s="677">
        <f t="shared" si="24"/>
        <v>0</v>
      </c>
      <c r="R52" s="138">
        <f t="shared" si="24"/>
        <v>0</v>
      </c>
      <c r="S52" s="138">
        <f t="shared" si="24"/>
        <v>0</v>
      </c>
      <c r="T52" s="138">
        <f t="shared" si="24"/>
        <v>-20</v>
      </c>
      <c r="U52" s="138"/>
      <c r="V52" s="138">
        <f>SUM(V53:V54)</f>
        <v>0</v>
      </c>
      <c r="W52" s="19"/>
      <c r="X52" s="19"/>
      <c r="Y52" s="19"/>
    </row>
    <row r="53" spans="1:25" ht="12.75">
      <c r="A53" s="143">
        <v>12201</v>
      </c>
      <c r="B53" s="144" t="s">
        <v>65</v>
      </c>
      <c r="C53" s="180">
        <v>12000</v>
      </c>
      <c r="D53" s="180"/>
      <c r="E53" s="180"/>
      <c r="F53" s="180"/>
      <c r="G53" s="180"/>
      <c r="H53" s="180">
        <v>1866000</v>
      </c>
      <c r="I53" s="153">
        <f>SUM((D53/C53)-1)*100</f>
        <v>-100</v>
      </c>
      <c r="J53" s="153"/>
      <c r="K53" s="153"/>
      <c r="L53" s="153"/>
      <c r="M53" s="153">
        <f>SUM(I53+J53+K53+L53)/5</f>
        <v>-20</v>
      </c>
      <c r="N53" s="145"/>
      <c r="O53" s="409">
        <v>1866000</v>
      </c>
      <c r="P53" s="440">
        <v>0</v>
      </c>
      <c r="Q53" s="671">
        <v>0</v>
      </c>
      <c r="R53" s="147"/>
      <c r="S53" s="153"/>
      <c r="T53" s="153">
        <f>SUM(I53+J53+K53+S53)/5</f>
        <v>-20</v>
      </c>
      <c r="U53" s="153"/>
      <c r="V53" s="145"/>
      <c r="W53" s="19"/>
      <c r="X53" s="19"/>
      <c r="Y53" s="16">
        <f>+V53</f>
        <v>0</v>
      </c>
    </row>
    <row r="54" spans="1:25" ht="12.75">
      <c r="A54" s="143"/>
      <c r="B54" s="144"/>
      <c r="C54" s="180"/>
      <c r="D54" s="180"/>
      <c r="E54" s="180"/>
      <c r="F54" s="180"/>
      <c r="G54" s="180"/>
      <c r="H54" s="180"/>
      <c r="I54" s="153"/>
      <c r="J54" s="153"/>
      <c r="K54" s="153"/>
      <c r="L54" s="153"/>
      <c r="M54" s="153"/>
      <c r="N54" s="145"/>
      <c r="O54" s="409"/>
      <c r="P54" s="440"/>
      <c r="Q54" s="671"/>
      <c r="R54" s="147"/>
      <c r="S54" s="153"/>
      <c r="T54" s="153"/>
      <c r="U54" s="153"/>
      <c r="V54" s="145"/>
      <c r="W54" s="19">
        <f>+V54</f>
        <v>0</v>
      </c>
      <c r="X54" s="19"/>
      <c r="Y54" s="16"/>
    </row>
    <row r="55" spans="1:25" ht="12.75">
      <c r="A55" s="143"/>
      <c r="B55" s="144"/>
      <c r="C55" s="180"/>
      <c r="D55" s="180"/>
      <c r="E55" s="180"/>
      <c r="F55" s="180"/>
      <c r="G55" s="180"/>
      <c r="H55" s="180"/>
      <c r="I55" s="153"/>
      <c r="J55" s="153"/>
      <c r="K55" s="153"/>
      <c r="L55" s="153"/>
      <c r="M55" s="153">
        <f>SUM(I55+J55)/3</f>
        <v>0</v>
      </c>
      <c r="N55" s="146"/>
      <c r="O55" s="410"/>
      <c r="P55" s="441"/>
      <c r="Q55" s="671"/>
      <c r="R55" s="147"/>
      <c r="S55" s="147"/>
      <c r="T55" s="147"/>
      <c r="U55" s="147"/>
      <c r="V55" s="146"/>
      <c r="W55" s="19"/>
      <c r="X55" s="19"/>
      <c r="Y55" s="19"/>
    </row>
    <row r="56" spans="1:25" s="432" customFormat="1" ht="12.75">
      <c r="A56" s="423" t="s">
        <v>67</v>
      </c>
      <c r="B56" s="422" t="s">
        <v>68</v>
      </c>
      <c r="C56" s="424"/>
      <c r="D56" s="425">
        <f aca="true" t="shared" si="25" ref="D56:M56">SUM(D57:D62)</f>
        <v>0</v>
      </c>
      <c r="E56" s="425">
        <f t="shared" si="25"/>
        <v>0</v>
      </c>
      <c r="F56" s="425">
        <f>SUM(F57:F62)</f>
        <v>3437865013</v>
      </c>
      <c r="G56" s="425"/>
      <c r="H56" s="425"/>
      <c r="I56" s="425">
        <f t="shared" si="25"/>
        <v>0</v>
      </c>
      <c r="J56" s="425">
        <f t="shared" si="25"/>
        <v>0</v>
      </c>
      <c r="K56" s="426"/>
      <c r="L56" s="426"/>
      <c r="M56" s="425">
        <f t="shared" si="25"/>
        <v>0</v>
      </c>
      <c r="N56" s="425">
        <f>SUM(N57:N68)</f>
        <v>3321954109</v>
      </c>
      <c r="O56" s="427">
        <f>SUM(O57:O68)</f>
        <v>2499324621</v>
      </c>
      <c r="P56" s="446">
        <f>SUM(P57:P68)</f>
        <v>2282665554</v>
      </c>
      <c r="Q56" s="678">
        <f>SUM(Q57:Q68)</f>
        <v>3161704789</v>
      </c>
      <c r="R56" s="428">
        <f aca="true" t="shared" si="26" ref="R56:R67">+Q56/N56</f>
        <v>0.9517605256599286</v>
      </c>
      <c r="S56" s="429">
        <f>SUM(S57:S62)</f>
        <v>0</v>
      </c>
      <c r="T56" s="429">
        <f>SUM(T57:T62)</f>
        <v>0</v>
      </c>
      <c r="U56" s="429">
        <f>SUM(U57:U62)</f>
        <v>0</v>
      </c>
      <c r="V56" s="430">
        <f>SUM(V57:V62)</f>
        <v>2858464858</v>
      </c>
      <c r="W56" s="431"/>
      <c r="X56" s="431"/>
      <c r="Y56" s="431"/>
    </row>
    <row r="57" spans="1:25" ht="12.75">
      <c r="A57" s="143">
        <v>12301</v>
      </c>
      <c r="B57" s="144" t="s">
        <v>69</v>
      </c>
      <c r="C57" s="180"/>
      <c r="D57" s="180"/>
      <c r="E57" s="180"/>
      <c r="F57" s="180">
        <v>265331352</v>
      </c>
      <c r="G57" s="180">
        <v>251301523</v>
      </c>
      <c r="H57" s="180">
        <v>248704973</v>
      </c>
      <c r="I57" s="153"/>
      <c r="J57" s="153"/>
      <c r="K57" s="153"/>
      <c r="L57" s="153"/>
      <c r="M57" s="153">
        <f aca="true" t="shared" si="27" ref="M57:M67">SUM(I57+J57+K57)/4</f>
        <v>0</v>
      </c>
      <c r="N57" s="15">
        <v>248704973</v>
      </c>
      <c r="O57" s="410">
        <v>186391279</v>
      </c>
      <c r="P57" s="447">
        <v>207694881</v>
      </c>
      <c r="Q57" s="676">
        <f>V57</f>
        <v>301792223</v>
      </c>
      <c r="R57" s="147">
        <f t="shared" si="26"/>
        <v>1.2134547184949132</v>
      </c>
      <c r="S57" s="147"/>
      <c r="T57" s="147"/>
      <c r="U57" s="147"/>
      <c r="V57" s="146">
        <v>301792223</v>
      </c>
      <c r="W57" s="173">
        <f>SUM(V57)</f>
        <v>301792223</v>
      </c>
      <c r="X57" s="19"/>
      <c r="Y57" s="19"/>
    </row>
    <row r="58" spans="1:25" ht="12.75">
      <c r="A58" s="143">
        <v>12302</v>
      </c>
      <c r="B58" s="144" t="s">
        <v>70</v>
      </c>
      <c r="C58" s="180"/>
      <c r="D58" s="180"/>
      <c r="E58" s="180"/>
      <c r="F58" s="180">
        <v>525947924</v>
      </c>
      <c r="G58" s="180">
        <v>279255713</v>
      </c>
      <c r="H58" s="180">
        <v>496614206</v>
      </c>
      <c r="I58" s="153"/>
      <c r="J58" s="153"/>
      <c r="K58" s="153"/>
      <c r="L58" s="153"/>
      <c r="M58" s="153">
        <f t="shared" si="27"/>
        <v>0</v>
      </c>
      <c r="N58" s="162">
        <v>473186205</v>
      </c>
      <c r="O58" s="410">
        <v>357379661</v>
      </c>
      <c r="P58" s="448">
        <v>382759056</v>
      </c>
      <c r="Q58" s="676">
        <f aca="true" t="shared" si="28" ref="Q58:Q63">V58</f>
        <v>507304729</v>
      </c>
      <c r="R58" s="147">
        <f t="shared" si="26"/>
        <v>1.0721038010818595</v>
      </c>
      <c r="S58" s="147"/>
      <c r="T58" s="147"/>
      <c r="U58" s="147"/>
      <c r="V58" s="146">
        <v>507304729</v>
      </c>
      <c r="W58" s="159"/>
      <c r="X58" s="16"/>
      <c r="Y58" s="16">
        <f>+V58</f>
        <v>507304729</v>
      </c>
    </row>
    <row r="59" spans="1:25" ht="12.75">
      <c r="A59" s="143">
        <v>12303</v>
      </c>
      <c r="B59" s="144" t="s">
        <v>71</v>
      </c>
      <c r="C59" s="180"/>
      <c r="D59" s="180"/>
      <c r="E59" s="180"/>
      <c r="F59" s="180">
        <v>372118794</v>
      </c>
      <c r="G59" s="180">
        <v>390144250</v>
      </c>
      <c r="H59" s="180">
        <v>402722945</v>
      </c>
      <c r="I59" s="153"/>
      <c r="J59" s="153"/>
      <c r="K59" s="153"/>
      <c r="L59" s="153"/>
      <c r="M59" s="153">
        <f t="shared" si="27"/>
        <v>0</v>
      </c>
      <c r="N59" s="162">
        <v>402722945</v>
      </c>
      <c r="O59" s="410">
        <v>301791134</v>
      </c>
      <c r="P59" s="448">
        <v>335916270</v>
      </c>
      <c r="Q59" s="676">
        <f t="shared" si="28"/>
        <v>369507902</v>
      </c>
      <c r="R59" s="147">
        <f t="shared" si="26"/>
        <v>0.9175238376348286</v>
      </c>
      <c r="S59" s="147"/>
      <c r="T59" s="147"/>
      <c r="U59" s="147"/>
      <c r="V59" s="146">
        <v>369507902</v>
      </c>
      <c r="W59" s="159">
        <f>SUM(V59)</f>
        <v>369507902</v>
      </c>
      <c r="X59" s="16"/>
      <c r="Y59" s="16"/>
    </row>
    <row r="60" spans="1:25" ht="12.75">
      <c r="A60" s="143"/>
      <c r="B60" s="144" t="s">
        <v>255</v>
      </c>
      <c r="C60" s="180"/>
      <c r="D60" s="180"/>
      <c r="E60" s="180"/>
      <c r="F60" s="180">
        <v>999724601</v>
      </c>
      <c r="G60" s="180">
        <v>1034961381</v>
      </c>
      <c r="H60" s="180">
        <v>1050476458</v>
      </c>
      <c r="I60" s="153"/>
      <c r="J60" s="153"/>
      <c r="K60" s="153"/>
      <c r="L60" s="153"/>
      <c r="M60" s="153">
        <f t="shared" si="27"/>
        <v>0</v>
      </c>
      <c r="N60" s="15">
        <v>1050476458</v>
      </c>
      <c r="O60" s="410">
        <v>787579888</v>
      </c>
      <c r="P60" s="447">
        <v>815313780</v>
      </c>
      <c r="Q60" s="676">
        <f t="shared" si="28"/>
        <v>896845164</v>
      </c>
      <c r="R60" s="147">
        <f t="shared" si="26"/>
        <v>0.8537508453140413</v>
      </c>
      <c r="S60" s="147"/>
      <c r="T60" s="147"/>
      <c r="U60" s="147"/>
      <c r="V60" s="146">
        <v>896845164</v>
      </c>
      <c r="W60" s="159"/>
      <c r="X60" s="16"/>
      <c r="Y60" s="16"/>
    </row>
    <row r="61" spans="1:25" ht="12.75">
      <c r="A61" s="143">
        <v>12304</v>
      </c>
      <c r="B61" s="144" t="s">
        <v>72</v>
      </c>
      <c r="C61" s="180"/>
      <c r="D61" s="180"/>
      <c r="E61" s="180"/>
      <c r="F61" s="180">
        <v>1217193768</v>
      </c>
      <c r="G61" s="180">
        <v>1340563223</v>
      </c>
      <c r="H61" s="180">
        <v>1149307156</v>
      </c>
      <c r="I61" s="153"/>
      <c r="J61" s="153"/>
      <c r="K61" s="153"/>
      <c r="L61" s="153"/>
      <c r="M61" s="153">
        <f t="shared" si="27"/>
        <v>0</v>
      </c>
      <c r="N61" s="15">
        <v>1095088076</v>
      </c>
      <c r="O61" s="410">
        <v>827078642</v>
      </c>
      <c r="P61" s="447">
        <v>487934595</v>
      </c>
      <c r="Q61" s="676">
        <f t="shared" si="28"/>
        <v>724663168</v>
      </c>
      <c r="R61" s="147">
        <f t="shared" si="26"/>
        <v>0.6617396206586036</v>
      </c>
      <c r="S61" s="147"/>
      <c r="T61" s="147"/>
      <c r="U61" s="147"/>
      <c r="V61" s="146">
        <f>43346555+32509917+648806696</f>
        <v>724663168</v>
      </c>
      <c r="W61" s="159">
        <f>SUM(V61)</f>
        <v>724663168</v>
      </c>
      <c r="X61" s="16"/>
      <c r="Y61" s="16"/>
    </row>
    <row r="62" spans="1:25" ht="12.75">
      <c r="A62" s="143">
        <v>12305</v>
      </c>
      <c r="B62" s="144" t="s">
        <v>73</v>
      </c>
      <c r="C62" s="180"/>
      <c r="D62" s="180"/>
      <c r="E62" s="180"/>
      <c r="F62" s="180">
        <v>57548574</v>
      </c>
      <c r="G62" s="180">
        <v>63381446</v>
      </c>
      <c r="H62" s="180">
        <v>54338913</v>
      </c>
      <c r="I62" s="153"/>
      <c r="J62" s="153"/>
      <c r="K62" s="153"/>
      <c r="L62" s="153"/>
      <c r="M62" s="153">
        <f t="shared" si="27"/>
        <v>0</v>
      </c>
      <c r="N62" s="15">
        <v>51775452</v>
      </c>
      <c r="O62" s="410">
        <v>39104017</v>
      </c>
      <c r="P62" s="447">
        <v>53046972</v>
      </c>
      <c r="Q62" s="676">
        <f t="shared" si="28"/>
        <v>58351672</v>
      </c>
      <c r="R62" s="147">
        <f t="shared" si="26"/>
        <v>1.1270142460562198</v>
      </c>
      <c r="S62" s="147"/>
      <c r="T62" s="147"/>
      <c r="U62" s="147"/>
      <c r="V62" s="146">
        <v>58351672</v>
      </c>
      <c r="W62" s="159">
        <f>SUM(V62)</f>
        <v>58351672</v>
      </c>
      <c r="X62" s="16"/>
      <c r="Y62" s="16"/>
    </row>
    <row r="63" spans="1:25" ht="12.75">
      <c r="A63" s="143"/>
      <c r="B63" s="144" t="s">
        <v>402</v>
      </c>
      <c r="C63" s="180"/>
      <c r="D63" s="180"/>
      <c r="E63" s="180"/>
      <c r="F63" s="145"/>
      <c r="G63" s="145"/>
      <c r="H63" s="145"/>
      <c r="I63" s="153"/>
      <c r="J63" s="153"/>
      <c r="K63" s="153"/>
      <c r="L63" s="153"/>
      <c r="M63" s="153">
        <f t="shared" si="27"/>
        <v>0</v>
      </c>
      <c r="N63" s="145"/>
      <c r="O63" s="415"/>
      <c r="P63" s="449"/>
      <c r="Q63" s="676">
        <f t="shared" si="28"/>
        <v>303239931</v>
      </c>
      <c r="R63" s="147" t="e">
        <f t="shared" si="26"/>
        <v>#DIV/0!</v>
      </c>
      <c r="S63" s="147"/>
      <c r="T63" s="147"/>
      <c r="U63" s="147"/>
      <c r="V63" s="145">
        <v>303239931</v>
      </c>
      <c r="W63" s="159"/>
      <c r="X63" s="16"/>
      <c r="Y63" s="16"/>
    </row>
    <row r="64" spans="1:25" ht="12.75">
      <c r="A64" s="143"/>
      <c r="B64" s="144"/>
      <c r="C64" s="180"/>
      <c r="D64" s="180"/>
      <c r="E64" s="180"/>
      <c r="F64" s="145"/>
      <c r="G64" s="145"/>
      <c r="H64" s="145"/>
      <c r="I64" s="153"/>
      <c r="J64" s="153"/>
      <c r="K64" s="153"/>
      <c r="L64" s="153"/>
      <c r="M64" s="153">
        <f t="shared" si="27"/>
        <v>0</v>
      </c>
      <c r="N64" s="145"/>
      <c r="O64" s="415"/>
      <c r="P64" s="449"/>
      <c r="Q64" s="679"/>
      <c r="R64" s="147" t="e">
        <f t="shared" si="26"/>
        <v>#DIV/0!</v>
      </c>
      <c r="S64" s="147"/>
      <c r="T64" s="147"/>
      <c r="U64" s="147"/>
      <c r="V64" s="145"/>
      <c r="W64" s="159"/>
      <c r="X64" s="16"/>
      <c r="Y64" s="16"/>
    </row>
    <row r="65" spans="1:25" ht="12.75">
      <c r="A65" s="143"/>
      <c r="B65" s="144"/>
      <c r="C65" s="180"/>
      <c r="D65" s="180"/>
      <c r="E65" s="180"/>
      <c r="F65" s="145"/>
      <c r="G65" s="145"/>
      <c r="H65" s="145"/>
      <c r="I65" s="153"/>
      <c r="J65" s="153"/>
      <c r="K65" s="153"/>
      <c r="L65" s="153"/>
      <c r="M65" s="153">
        <f t="shared" si="27"/>
        <v>0</v>
      </c>
      <c r="N65" s="145"/>
      <c r="O65" s="415"/>
      <c r="P65" s="449"/>
      <c r="Q65" s="679"/>
      <c r="R65" s="147" t="e">
        <f t="shared" si="26"/>
        <v>#DIV/0!</v>
      </c>
      <c r="S65" s="147"/>
      <c r="T65" s="147"/>
      <c r="U65" s="147"/>
      <c r="V65" s="145"/>
      <c r="W65" s="159"/>
      <c r="X65" s="16"/>
      <c r="Y65" s="16"/>
    </row>
    <row r="66" spans="1:25" ht="12.75">
      <c r="A66" s="143"/>
      <c r="B66" s="144"/>
      <c r="C66" s="180"/>
      <c r="D66" s="180"/>
      <c r="E66" s="180"/>
      <c r="F66" s="145"/>
      <c r="G66" s="145"/>
      <c r="H66" s="145"/>
      <c r="I66" s="153"/>
      <c r="J66" s="153"/>
      <c r="K66" s="153"/>
      <c r="L66" s="153"/>
      <c r="M66" s="153">
        <f t="shared" si="27"/>
        <v>0</v>
      </c>
      <c r="N66" s="145"/>
      <c r="O66" s="415"/>
      <c r="P66" s="449"/>
      <c r="Q66" s="679"/>
      <c r="R66" s="147" t="e">
        <f t="shared" si="26"/>
        <v>#DIV/0!</v>
      </c>
      <c r="S66" s="147"/>
      <c r="T66" s="147"/>
      <c r="U66" s="147"/>
      <c r="V66" s="145"/>
      <c r="W66" s="159"/>
      <c r="X66" s="16"/>
      <c r="Y66" s="16"/>
    </row>
    <row r="67" spans="1:25" ht="12.75">
      <c r="A67" s="143"/>
      <c r="B67" s="144"/>
      <c r="C67" s="180"/>
      <c r="D67" s="180"/>
      <c r="E67" s="180"/>
      <c r="F67" s="145"/>
      <c r="G67" s="145"/>
      <c r="H67" s="145"/>
      <c r="I67" s="153"/>
      <c r="J67" s="153"/>
      <c r="K67" s="153"/>
      <c r="L67" s="153"/>
      <c r="M67" s="153">
        <f t="shared" si="27"/>
        <v>0</v>
      </c>
      <c r="N67" s="145"/>
      <c r="O67" s="415"/>
      <c r="P67" s="449"/>
      <c r="Q67" s="679"/>
      <c r="R67" s="147" t="e">
        <f t="shared" si="26"/>
        <v>#DIV/0!</v>
      </c>
      <c r="S67" s="147"/>
      <c r="T67" s="147"/>
      <c r="U67" s="147"/>
      <c r="V67" s="145"/>
      <c r="W67" s="159"/>
      <c r="X67" s="16"/>
      <c r="Y67" s="16"/>
    </row>
    <row r="68" spans="1:25" ht="12.75">
      <c r="A68" s="143"/>
      <c r="B68" s="144"/>
      <c r="C68" s="180"/>
      <c r="D68" s="180"/>
      <c r="E68" s="180"/>
      <c r="F68" s="145"/>
      <c r="G68" s="145"/>
      <c r="H68" s="145"/>
      <c r="I68" s="153"/>
      <c r="J68" s="153"/>
      <c r="K68" s="153"/>
      <c r="L68" s="153"/>
      <c r="M68" s="153"/>
      <c r="N68" s="145"/>
      <c r="O68" s="415"/>
      <c r="P68" s="449"/>
      <c r="Q68" s="679"/>
      <c r="R68" s="147">
        <f>+Q57/N57</f>
        <v>1.2134547184949132</v>
      </c>
      <c r="S68" s="147"/>
      <c r="T68" s="147"/>
      <c r="U68" s="147"/>
      <c r="V68" s="174"/>
      <c r="W68" s="159"/>
      <c r="X68" s="16"/>
      <c r="Y68" s="16"/>
    </row>
    <row r="69" spans="1:25" s="14" customFormat="1" ht="12.75">
      <c r="A69" s="143">
        <v>2</v>
      </c>
      <c r="B69" s="155" t="s">
        <v>74</v>
      </c>
      <c r="C69" s="184">
        <f aca="true" t="shared" si="29" ref="C69:M69">C70</f>
        <v>6314428</v>
      </c>
      <c r="D69" s="184">
        <f t="shared" si="29"/>
        <v>5101304</v>
      </c>
      <c r="E69" s="184">
        <f t="shared" si="29"/>
        <v>46944883</v>
      </c>
      <c r="F69" s="184"/>
      <c r="G69" s="184"/>
      <c r="H69" s="184"/>
      <c r="I69" s="138">
        <f t="shared" si="29"/>
        <v>-19.211938120127424</v>
      </c>
      <c r="J69" s="138">
        <f t="shared" si="29"/>
        <v>820.2526060003482</v>
      </c>
      <c r="K69" s="153">
        <f>SUM((F69/E69)-1)*100</f>
        <v>-100</v>
      </c>
      <c r="L69" s="153"/>
      <c r="M69" s="138">
        <f t="shared" si="29"/>
        <v>167.7097923002564</v>
      </c>
      <c r="N69" s="138">
        <f aca="true" t="shared" si="30" ref="N69:T69">N70</f>
        <v>53813338</v>
      </c>
      <c r="O69" s="414">
        <f t="shared" si="30"/>
        <v>61377832</v>
      </c>
      <c r="P69" s="445">
        <f t="shared" si="30"/>
        <v>42174042</v>
      </c>
      <c r="Q69" s="677">
        <f>Q70</f>
        <v>88953851</v>
      </c>
      <c r="R69" s="138">
        <f t="shared" si="30"/>
        <v>0.9175238376348286</v>
      </c>
      <c r="S69" s="138">
        <f t="shared" si="30"/>
        <v>34.620749887593895</v>
      </c>
      <c r="T69" s="138">
        <f t="shared" si="30"/>
        <v>169.8433803093052</v>
      </c>
      <c r="U69" s="138"/>
      <c r="V69" s="138">
        <f>V70</f>
        <v>93401543.55</v>
      </c>
      <c r="W69" s="20"/>
      <c r="X69" s="20"/>
      <c r="Y69" s="20"/>
    </row>
    <row r="70" spans="1:25" ht="12.75">
      <c r="A70" s="143">
        <v>201</v>
      </c>
      <c r="B70" s="144" t="s">
        <v>75</v>
      </c>
      <c r="C70" s="180">
        <v>6314428</v>
      </c>
      <c r="D70" s="180">
        <v>5101304</v>
      </c>
      <c r="E70" s="180">
        <v>46944883</v>
      </c>
      <c r="F70" s="180">
        <v>53308489</v>
      </c>
      <c r="G70" s="180">
        <v>66077370</v>
      </c>
      <c r="H70" s="180">
        <v>74252097</v>
      </c>
      <c r="I70" s="153">
        <f>SUM((D70/C70)-1)*100</f>
        <v>-19.211938120127424</v>
      </c>
      <c r="J70" s="153">
        <f>SUM((E70/D70)-1)*100</f>
        <v>820.2526060003482</v>
      </c>
      <c r="K70" s="153">
        <f>SUM((F70/E70)-1)*100</f>
        <v>13.555483778711297</v>
      </c>
      <c r="L70" s="153">
        <f>SUM((G70/F70)-1)*100</f>
        <v>23.952809842349865</v>
      </c>
      <c r="M70" s="153">
        <f>SUM(I70+J70+K70+L70)/5</f>
        <v>167.7097923002564</v>
      </c>
      <c r="N70" s="145">
        <v>53813338</v>
      </c>
      <c r="O70" s="409">
        <v>61377832</v>
      </c>
      <c r="P70" s="440">
        <v>42174042</v>
      </c>
      <c r="Q70" s="677">
        <v>88953851</v>
      </c>
      <c r="R70" s="147">
        <f>+Q59/N59</f>
        <v>0.9175238376348286</v>
      </c>
      <c r="S70" s="153">
        <f>SUM((Q70/G70)-1)*100</f>
        <v>34.620749887593895</v>
      </c>
      <c r="T70" s="153">
        <f>SUM(I70+J70+K70+S70)/5</f>
        <v>169.8433803093052</v>
      </c>
      <c r="U70" s="188">
        <v>1.05</v>
      </c>
      <c r="V70" s="145">
        <f>Q70*U70</f>
        <v>93401543.55</v>
      </c>
      <c r="W70" s="19">
        <f>+V77</f>
        <v>0</v>
      </c>
      <c r="X70" s="19"/>
      <c r="Y70" s="16"/>
    </row>
    <row r="71" spans="1:25" ht="12.75">
      <c r="A71" s="143"/>
      <c r="B71" s="144"/>
      <c r="C71" s="152"/>
      <c r="D71" s="152"/>
      <c r="E71" s="152"/>
      <c r="F71" s="152"/>
      <c r="G71" s="152"/>
      <c r="H71" s="152"/>
      <c r="I71" s="153"/>
      <c r="J71" s="153"/>
      <c r="K71" s="153"/>
      <c r="L71" s="153"/>
      <c r="M71" s="153"/>
      <c r="N71" s="145"/>
      <c r="O71" s="409"/>
      <c r="P71" s="440"/>
      <c r="Q71" s="671"/>
      <c r="R71" s="147"/>
      <c r="S71" s="147"/>
      <c r="T71" s="147"/>
      <c r="U71" s="147"/>
      <c r="V71" s="146"/>
      <c r="W71" s="19"/>
      <c r="X71" s="19"/>
      <c r="Y71" s="19"/>
    </row>
    <row r="72" spans="1:25" ht="12.75">
      <c r="A72" s="143"/>
      <c r="B72" s="144"/>
      <c r="C72" s="152"/>
      <c r="D72" s="152"/>
      <c r="E72" s="152"/>
      <c r="F72" s="152"/>
      <c r="G72" s="152"/>
      <c r="H72" s="152"/>
      <c r="I72" s="153"/>
      <c r="J72" s="153"/>
      <c r="K72" s="153"/>
      <c r="L72" s="153"/>
      <c r="M72" s="153"/>
      <c r="N72" s="145"/>
      <c r="O72" s="409"/>
      <c r="P72" s="440"/>
      <c r="Q72" s="671"/>
      <c r="R72" s="147"/>
      <c r="S72" s="147"/>
      <c r="T72" s="147"/>
      <c r="U72" s="147"/>
      <c r="V72" s="146"/>
      <c r="W72" s="19"/>
      <c r="X72" s="19"/>
      <c r="Y72" s="19"/>
    </row>
    <row r="73" spans="1:25" ht="12.75">
      <c r="A73" s="143"/>
      <c r="B73" s="144"/>
      <c r="C73" s="152"/>
      <c r="D73" s="152"/>
      <c r="E73" s="152"/>
      <c r="F73" s="152"/>
      <c r="G73" s="152"/>
      <c r="H73" s="152"/>
      <c r="I73" s="153"/>
      <c r="J73" s="153"/>
      <c r="K73" s="153"/>
      <c r="L73" s="153"/>
      <c r="M73" s="153"/>
      <c r="N73" s="145"/>
      <c r="O73" s="409"/>
      <c r="P73" s="440"/>
      <c r="Q73" s="671"/>
      <c r="R73" s="147"/>
      <c r="S73" s="147"/>
      <c r="T73" s="147"/>
      <c r="U73" s="147"/>
      <c r="V73" s="146"/>
      <c r="W73" s="19"/>
      <c r="X73" s="19"/>
      <c r="Y73" s="19"/>
    </row>
    <row r="74" spans="1:25" ht="12.75">
      <c r="A74" s="143"/>
      <c r="B74" s="144"/>
      <c r="C74" s="152"/>
      <c r="D74" s="152"/>
      <c r="E74" s="152"/>
      <c r="F74" s="152"/>
      <c r="G74" s="152"/>
      <c r="H74" s="152"/>
      <c r="I74" s="153"/>
      <c r="J74" s="153"/>
      <c r="K74" s="153"/>
      <c r="L74" s="153"/>
      <c r="M74" s="153"/>
      <c r="N74" s="145"/>
      <c r="O74" s="409"/>
      <c r="P74" s="440"/>
      <c r="Q74" s="671"/>
      <c r="R74" s="147"/>
      <c r="S74" s="147"/>
      <c r="T74" s="147"/>
      <c r="U74" s="147"/>
      <c r="V74" s="146"/>
      <c r="W74" s="19"/>
      <c r="X74" s="19"/>
      <c r="Y74" s="19"/>
    </row>
    <row r="75" spans="1:25" ht="12.75">
      <c r="A75" s="1" t="s">
        <v>0</v>
      </c>
      <c r="B75" s="2" t="s">
        <v>1</v>
      </c>
      <c r="C75" s="2" t="s">
        <v>2</v>
      </c>
      <c r="D75" s="2" t="s">
        <v>2</v>
      </c>
      <c r="E75" s="2" t="s">
        <v>2</v>
      </c>
      <c r="F75" s="2"/>
      <c r="G75" s="2"/>
      <c r="H75" s="2"/>
      <c r="I75" s="2" t="s">
        <v>254</v>
      </c>
      <c r="J75" s="2" t="s">
        <v>3</v>
      </c>
      <c r="K75" s="153" t="s">
        <v>3</v>
      </c>
      <c r="L75" s="2" t="s">
        <v>3</v>
      </c>
      <c r="M75" s="2" t="s">
        <v>4</v>
      </c>
      <c r="N75" s="3" t="s">
        <v>5</v>
      </c>
      <c r="O75" s="405" t="s">
        <v>6</v>
      </c>
      <c r="P75" s="435" t="s">
        <v>6</v>
      </c>
      <c r="Q75" s="669" t="s">
        <v>7</v>
      </c>
      <c r="R75" s="4" t="s">
        <v>8</v>
      </c>
      <c r="S75" s="2" t="s">
        <v>3</v>
      </c>
      <c r="T75" s="2" t="s">
        <v>9</v>
      </c>
      <c r="U75" s="2" t="s">
        <v>83</v>
      </c>
      <c r="V75" s="3" t="s">
        <v>5</v>
      </c>
      <c r="W75" s="19"/>
      <c r="X75" s="19"/>
      <c r="Y75" s="19"/>
    </row>
    <row r="76" spans="1:25" ht="12.75">
      <c r="A76" s="7"/>
      <c r="B76" s="8"/>
      <c r="C76" s="9">
        <v>2002</v>
      </c>
      <c r="D76" s="9">
        <v>2003</v>
      </c>
      <c r="E76" s="9">
        <v>2004</v>
      </c>
      <c r="F76" s="9"/>
      <c r="G76" s="9"/>
      <c r="H76" s="9"/>
      <c r="I76" s="9" t="s">
        <v>277</v>
      </c>
      <c r="J76" s="9" t="s">
        <v>278</v>
      </c>
      <c r="K76" s="153" t="s">
        <v>15</v>
      </c>
      <c r="L76" s="9" t="s">
        <v>283</v>
      </c>
      <c r="M76" s="9" t="s">
        <v>13</v>
      </c>
      <c r="N76" s="10" t="s">
        <v>284</v>
      </c>
      <c r="O76" s="406" t="s">
        <v>285</v>
      </c>
      <c r="P76" s="436" t="s">
        <v>285</v>
      </c>
      <c r="Q76" s="670" t="s">
        <v>311</v>
      </c>
      <c r="R76" s="11" t="s">
        <v>14</v>
      </c>
      <c r="S76" s="9" t="s">
        <v>286</v>
      </c>
      <c r="T76" s="9" t="s">
        <v>16</v>
      </c>
      <c r="U76" s="9" t="s">
        <v>84</v>
      </c>
      <c r="V76" s="10" t="s">
        <v>301</v>
      </c>
      <c r="W76" s="19"/>
      <c r="X76" s="19"/>
      <c r="Y76" s="19"/>
    </row>
    <row r="77" spans="1:25" ht="12.75">
      <c r="A77" s="143"/>
      <c r="B77" s="144"/>
      <c r="C77" s="152"/>
      <c r="D77" s="152"/>
      <c r="E77" s="152"/>
      <c r="F77" s="152"/>
      <c r="G77" s="152"/>
      <c r="H77" s="152"/>
      <c r="I77" s="153"/>
      <c r="J77" s="153"/>
      <c r="K77" s="153"/>
      <c r="L77" s="153"/>
      <c r="M77" s="153"/>
      <c r="N77" s="146"/>
      <c r="O77" s="410"/>
      <c r="P77" s="441"/>
      <c r="Q77" s="671"/>
      <c r="R77" s="147"/>
      <c r="S77" s="147"/>
      <c r="T77" s="147"/>
      <c r="U77" s="147"/>
      <c r="V77" s="145"/>
      <c r="W77" s="16"/>
      <c r="X77" s="16"/>
      <c r="Y77" s="16"/>
    </row>
    <row r="78" spans="1:25" s="14" customFormat="1" ht="12.75">
      <c r="A78" s="143">
        <v>3</v>
      </c>
      <c r="B78" s="155" t="s">
        <v>76</v>
      </c>
      <c r="C78" s="184">
        <f aca="true" t="shared" si="31" ref="C78:M78">SUM(C79:C83)</f>
        <v>9923470</v>
      </c>
      <c r="D78" s="184">
        <f t="shared" si="31"/>
        <v>19683041</v>
      </c>
      <c r="E78" s="184">
        <f t="shared" si="31"/>
        <v>12886280</v>
      </c>
      <c r="F78" s="184"/>
      <c r="G78" s="184"/>
      <c r="H78" s="184"/>
      <c r="I78" s="138">
        <f t="shared" si="31"/>
        <v>18.44103429948271</v>
      </c>
      <c r="J78" s="138">
        <f t="shared" si="31"/>
        <v>-204.69395261890895</v>
      </c>
      <c r="K78" s="138">
        <f t="shared" si="31"/>
        <v>-216.6535212932959</v>
      </c>
      <c r="L78" s="138">
        <f t="shared" si="31"/>
        <v>-22.91963123779095</v>
      </c>
      <c r="M78" s="138">
        <f t="shared" si="31"/>
        <v>-85.16521417010262</v>
      </c>
      <c r="N78" s="138">
        <f aca="true" t="shared" si="32" ref="N78:T78">SUM(N79:N83)</f>
        <v>8005944</v>
      </c>
      <c r="O78" s="414">
        <f t="shared" si="32"/>
        <v>12515743</v>
      </c>
      <c r="P78" s="445">
        <f>SUM(P79:P83)</f>
        <v>15225818</v>
      </c>
      <c r="Q78" s="677">
        <f>SUM(Q79:Q83)</f>
        <v>15225818</v>
      </c>
      <c r="R78" s="138">
        <f t="shared" si="32"/>
        <v>3.3060149883287298</v>
      </c>
      <c r="S78" s="138">
        <f t="shared" si="32"/>
        <v>-9.626492866972256</v>
      </c>
      <c r="T78" s="138">
        <f t="shared" si="32"/>
        <v>-82.50658649593889</v>
      </c>
      <c r="U78" s="138"/>
      <c r="V78" s="138">
        <f>SUM(V79:V83)</f>
        <v>16401041.272908237</v>
      </c>
      <c r="W78" s="20"/>
      <c r="X78" s="20"/>
      <c r="Y78" s="20"/>
    </row>
    <row r="79" spans="1:25" ht="12.75">
      <c r="A79" s="143">
        <v>301</v>
      </c>
      <c r="B79" s="144" t="s">
        <v>77</v>
      </c>
      <c r="C79" s="180"/>
      <c r="D79" s="185"/>
      <c r="E79" s="185"/>
      <c r="F79" s="185"/>
      <c r="G79" s="185"/>
      <c r="H79" s="185"/>
      <c r="I79" s="153"/>
      <c r="J79" s="153"/>
      <c r="K79" s="153"/>
      <c r="L79" s="153"/>
      <c r="M79" s="153">
        <f>SUM(I79+J79)/3</f>
        <v>0</v>
      </c>
      <c r="N79" s="141"/>
      <c r="O79" s="409"/>
      <c r="P79" s="440"/>
      <c r="Q79" s="671"/>
      <c r="R79" s="147"/>
      <c r="S79" s="147"/>
      <c r="T79" s="147"/>
      <c r="U79" s="147"/>
      <c r="V79" s="146"/>
      <c r="W79" s="19"/>
      <c r="X79" s="19"/>
      <c r="Y79" s="19"/>
    </row>
    <row r="80" spans="1:25" ht="12.75">
      <c r="A80" s="143">
        <v>302</v>
      </c>
      <c r="B80" s="144" t="s">
        <v>78</v>
      </c>
      <c r="C80" s="180">
        <v>7734370</v>
      </c>
      <c r="D80" s="180">
        <v>14717232</v>
      </c>
      <c r="E80" s="180">
        <v>12449247</v>
      </c>
      <c r="F80" s="180">
        <v>10376009</v>
      </c>
      <c r="G80" s="180">
        <v>7997866</v>
      </c>
      <c r="H80" s="180"/>
      <c r="I80" s="153">
        <f>SUM((D80/C80)-1)*100</f>
        <v>90.28352664793641</v>
      </c>
      <c r="J80" s="153">
        <f>SUM((E80/D80)-1)*100</f>
        <v>-15.410404619564332</v>
      </c>
      <c r="K80" s="153">
        <f>SUM((F80/E80)-1)*100</f>
        <v>-16.653521293295892</v>
      </c>
      <c r="L80" s="153">
        <f>SUM((G80/F80)-1)*100</f>
        <v>-22.91963123779095</v>
      </c>
      <c r="M80" s="153">
        <f>SUM(I80+J80+K80+L80)/5</f>
        <v>7.059993899457046</v>
      </c>
      <c r="N80" s="145">
        <v>8005944</v>
      </c>
      <c r="O80" s="409">
        <v>12515743</v>
      </c>
      <c r="P80" s="440">
        <v>15225818</v>
      </c>
      <c r="Q80" s="675">
        <v>15225818</v>
      </c>
      <c r="R80" s="147">
        <f>+Q69/N69</f>
        <v>1.6530074941643649</v>
      </c>
      <c r="S80" s="153">
        <f>SUM((Q80/G80)-1)*100</f>
        <v>90.37350713302774</v>
      </c>
      <c r="T80" s="153">
        <f>SUM(I80+J80+K80+S80)/5</f>
        <v>29.718621573620783</v>
      </c>
      <c r="U80" s="153">
        <f>SUM(T80-22)</f>
        <v>7.7186215736207835</v>
      </c>
      <c r="V80" s="145">
        <f>SUM(Q80*U80)/100+(Q80)</f>
        <v>16401041.272908237</v>
      </c>
      <c r="W80" s="21"/>
      <c r="X80" s="19">
        <f>+V82</f>
        <v>0</v>
      </c>
      <c r="Y80" s="19"/>
    </row>
    <row r="81" spans="1:25" ht="12.75">
      <c r="A81" s="143">
        <v>303</v>
      </c>
      <c r="K81" s="153"/>
      <c r="L81" s="136"/>
      <c r="R81" s="147">
        <f>+Q70/N70</f>
        <v>1.6530074941643649</v>
      </c>
      <c r="W81" s="21"/>
      <c r="X81" s="19">
        <f>+V83</f>
        <v>0</v>
      </c>
      <c r="Y81" s="19"/>
    </row>
    <row r="82" spans="1:25" ht="12.75">
      <c r="A82" s="143">
        <v>304</v>
      </c>
      <c r="B82" s="144" t="s">
        <v>85</v>
      </c>
      <c r="C82" s="180"/>
      <c r="D82" s="180">
        <v>4349413</v>
      </c>
      <c r="E82" s="180">
        <v>432233</v>
      </c>
      <c r="F82" s="180"/>
      <c r="G82" s="180">
        <v>978980</v>
      </c>
      <c r="H82" s="180"/>
      <c r="I82" s="153"/>
      <c r="J82" s="153">
        <f>SUM((E82/D82)-1)*100</f>
        <v>-90.06226817273964</v>
      </c>
      <c r="K82" s="153">
        <f>SUM((F82/E82)-1)*100</f>
        <v>-100</v>
      </c>
      <c r="L82" s="153"/>
      <c r="M82" s="153">
        <f>SUM(I82+J82+K82+L82)/5</f>
        <v>-38.012453634547924</v>
      </c>
      <c r="N82" s="145"/>
      <c r="O82" s="409"/>
      <c r="P82" s="440"/>
      <c r="Q82" s="675"/>
      <c r="R82" s="147"/>
      <c r="S82" s="153">
        <f>SUM((Q82/G82)-1)*100</f>
        <v>-100</v>
      </c>
      <c r="T82" s="153">
        <f>SUM(I82+J82+K82+S82)/5</f>
        <v>-58.01245363454793</v>
      </c>
      <c r="U82" s="145"/>
      <c r="V82" s="145">
        <v>0</v>
      </c>
      <c r="W82" s="21"/>
      <c r="X82" s="19">
        <f>+V84</f>
        <v>3766131095.3395863</v>
      </c>
      <c r="Y82" s="19"/>
    </row>
    <row r="83" spans="1:25" ht="12.75">
      <c r="A83" s="143">
        <v>305</v>
      </c>
      <c r="B83" s="144" t="s">
        <v>80</v>
      </c>
      <c r="C83" s="180">
        <v>2189100</v>
      </c>
      <c r="D83" s="180">
        <v>616396</v>
      </c>
      <c r="E83" s="180">
        <v>4800</v>
      </c>
      <c r="F83" s="180"/>
      <c r="G83" s="180"/>
      <c r="H83" s="180"/>
      <c r="I83" s="153">
        <f>SUM((D83/C83)-1)*100</f>
        <v>-71.8424923484537</v>
      </c>
      <c r="J83" s="153">
        <f>SUM((E83/D83)-1)*100</f>
        <v>-99.22127982660498</v>
      </c>
      <c r="K83" s="153">
        <f>SUM((F83/E83)-1)*100</f>
        <v>-100</v>
      </c>
      <c r="L83" s="153"/>
      <c r="M83" s="153">
        <f>SUM(I83+J83+K83+L83)/5</f>
        <v>-54.212754435011746</v>
      </c>
      <c r="N83" s="145"/>
      <c r="O83" s="409"/>
      <c r="P83" s="440"/>
      <c r="Q83" s="675"/>
      <c r="R83" s="147"/>
      <c r="S83" s="153"/>
      <c r="T83" s="153">
        <f>SUM(I83+J83+K83+S83)/5</f>
        <v>-54.212754435011746</v>
      </c>
      <c r="U83" s="145"/>
      <c r="V83" s="145"/>
      <c r="W83" s="16"/>
      <c r="X83" s="16"/>
      <c r="Y83" s="16"/>
    </row>
    <row r="84" spans="1:25" s="24" customFormat="1" ht="12.75">
      <c r="A84" s="154"/>
      <c r="B84" s="155" t="s">
        <v>81</v>
      </c>
      <c r="C84" s="22">
        <f>C7+C13+C37+C52+C56+C69+C78</f>
        <v>545528935</v>
      </c>
      <c r="D84" s="22">
        <f>D7+D13+D37+D52+D56+D69+D78</f>
        <v>538203070</v>
      </c>
      <c r="E84" s="22">
        <f>E7+E13+E37+E52+E56+E69+E78</f>
        <v>581368851</v>
      </c>
      <c r="F84" s="22"/>
      <c r="G84" s="22"/>
      <c r="H84" s="22"/>
      <c r="I84" s="22"/>
      <c r="J84" s="22"/>
      <c r="K84" s="153"/>
      <c r="L84" s="153"/>
      <c r="M84" s="22"/>
      <c r="N84" s="22">
        <f>N7+N13+N37+N52+N56+N69+N78</f>
        <v>4237712478</v>
      </c>
      <c r="O84" s="417">
        <f>O7+O13+O37+O52+O56+O69+O78</f>
        <v>3257254846</v>
      </c>
      <c r="P84" s="451">
        <f>P7+P13+P37+P52+P56+P69+P78</f>
        <v>2944337927</v>
      </c>
      <c r="Q84" s="680">
        <f>Q7+Q13+Q37+Q52+Q56+Q69+Q78</f>
        <v>4044316505</v>
      </c>
      <c r="R84" s="22"/>
      <c r="S84" s="22"/>
      <c r="T84" s="22"/>
      <c r="U84" s="22"/>
      <c r="V84" s="22">
        <f>V7+V13+V37+V52+V56+V69+V78</f>
        <v>3766131095.3395863</v>
      </c>
      <c r="W84" s="23">
        <f>SUM(W5:W83)</f>
        <v>1505296470.5844903</v>
      </c>
      <c r="X84" s="23">
        <f>SUM(X5:X83)</f>
        <v>3765590477.292061</v>
      </c>
      <c r="Y84" s="23" t="e">
        <f>SUM(Y5:Y83)</f>
        <v>#REF!</v>
      </c>
    </row>
    <row r="85" spans="1:25" s="24" customFormat="1" ht="12.75">
      <c r="A85" s="25"/>
      <c r="B85" s="26"/>
      <c r="C85" s="26"/>
      <c r="D85" s="32"/>
      <c r="E85" s="27"/>
      <c r="F85" s="27"/>
      <c r="G85" s="27"/>
      <c r="H85" s="27"/>
      <c r="I85" s="136"/>
      <c r="J85" s="136"/>
      <c r="K85" s="136"/>
      <c r="L85" s="136"/>
      <c r="M85" s="136"/>
      <c r="N85" s="33"/>
      <c r="O85" s="418"/>
      <c r="P85" s="452"/>
      <c r="Q85" s="681"/>
      <c r="R85" s="28"/>
      <c r="S85" s="28"/>
      <c r="T85" s="28"/>
      <c r="U85" s="28"/>
      <c r="V85" s="29"/>
      <c r="W85" s="30"/>
      <c r="X85" s="30"/>
      <c r="Y85" s="30"/>
    </row>
    <row r="86" spans="1:25" s="24" customFormat="1" ht="12.75">
      <c r="A86" s="25"/>
      <c r="B86" s="26"/>
      <c r="C86" s="26"/>
      <c r="D86" s="27"/>
      <c r="E86" s="27"/>
      <c r="F86" s="27"/>
      <c r="G86" s="27"/>
      <c r="H86" s="27"/>
      <c r="I86" s="26"/>
      <c r="J86" s="26"/>
      <c r="K86" s="26"/>
      <c r="L86" s="26"/>
      <c r="M86" s="136"/>
      <c r="N86" s="27"/>
      <c r="O86" s="418"/>
      <c r="P86" s="452"/>
      <c r="Q86" s="681"/>
      <c r="R86" s="28"/>
      <c r="S86" s="28"/>
      <c r="T86" s="28"/>
      <c r="U86" s="28"/>
      <c r="V86" s="29"/>
      <c r="W86" s="30"/>
      <c r="X86" s="30"/>
      <c r="Y86" s="30"/>
    </row>
    <row r="87" spans="1:25" s="24" customFormat="1" ht="12.75">
      <c r="A87" s="25"/>
      <c r="B87" s="26" t="s">
        <v>257</v>
      </c>
      <c r="C87" s="26"/>
      <c r="D87" s="27"/>
      <c r="E87" s="27"/>
      <c r="F87" s="27"/>
      <c r="G87" s="27"/>
      <c r="H87" s="27"/>
      <c r="I87" s="26"/>
      <c r="J87" s="26"/>
      <c r="K87" s="26"/>
      <c r="L87" s="26"/>
      <c r="M87" s="136"/>
      <c r="N87" s="27"/>
      <c r="O87" s="418"/>
      <c r="P87" s="452"/>
      <c r="Q87" s="681"/>
      <c r="R87" s="28"/>
      <c r="S87" s="28"/>
      <c r="T87" s="28"/>
      <c r="U87" s="28"/>
      <c r="V87" s="29"/>
      <c r="W87" s="30"/>
      <c r="X87" s="30"/>
      <c r="Y87" s="30"/>
    </row>
    <row r="88" spans="1:25" s="24" customFormat="1" ht="12.75">
      <c r="A88" s="25"/>
      <c r="B88" s="420" t="s">
        <v>308</v>
      </c>
      <c r="C88" s="178"/>
      <c r="D88" s="27"/>
      <c r="E88" s="27"/>
      <c r="F88" s="27"/>
      <c r="G88" s="27"/>
      <c r="H88" s="27"/>
      <c r="I88" s="26"/>
      <c r="J88" s="26"/>
      <c r="K88" s="26"/>
      <c r="L88" s="26"/>
      <c r="M88" s="136"/>
      <c r="N88" s="27"/>
      <c r="O88" s="418"/>
      <c r="P88" s="452"/>
      <c r="Q88" s="673"/>
      <c r="R88" s="28"/>
      <c r="S88" s="28"/>
      <c r="T88" s="28"/>
      <c r="U88" s="28"/>
      <c r="V88"/>
      <c r="W88" s="30"/>
      <c r="X88" s="30"/>
      <c r="Y88" s="30"/>
    </row>
    <row r="89" spans="1:25" s="24" customFormat="1" ht="12.75">
      <c r="A89" s="31"/>
      <c r="B89" s="420" t="s">
        <v>309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136"/>
      <c r="N89" s="33"/>
      <c r="O89" s="418"/>
      <c r="P89" s="452"/>
      <c r="Q89" s="673"/>
      <c r="R89" s="28"/>
      <c r="S89" s="28"/>
      <c r="T89" s="28"/>
      <c r="U89" s="28"/>
      <c r="V89"/>
      <c r="W89" s="30"/>
      <c r="X89" s="30"/>
      <c r="Y89" s="30"/>
    </row>
    <row r="90" spans="4:16" ht="12.75">
      <c r="D90" s="26"/>
      <c r="E90" s="26"/>
      <c r="F90" s="26"/>
      <c r="G90" s="26"/>
      <c r="H90" s="26"/>
      <c r="I90" s="26"/>
      <c r="J90" s="26"/>
      <c r="K90" s="26"/>
      <c r="L90" s="26"/>
      <c r="M90" s="136"/>
      <c r="N90" s="33"/>
      <c r="O90" s="419"/>
      <c r="P90" s="453"/>
    </row>
    <row r="91" spans="4:14" ht="12.75">
      <c r="D91" s="26"/>
      <c r="E91" s="26"/>
      <c r="F91" s="26"/>
      <c r="G91" s="26"/>
      <c r="H91" s="26"/>
      <c r="I91" s="26"/>
      <c r="J91" s="26"/>
      <c r="K91" s="26"/>
      <c r="L91" s="26"/>
      <c r="M91" s="136"/>
      <c r="N91" s="27"/>
    </row>
    <row r="92" ht="12.75">
      <c r="M92" s="136"/>
    </row>
    <row r="93" ht="12.75">
      <c r="M93" s="136"/>
    </row>
    <row r="94" ht="12.75">
      <c r="M94" s="136"/>
    </row>
    <row r="95" spans="2:13" ht="12.75">
      <c r="B95" s="161"/>
      <c r="M95" s="136"/>
    </row>
    <row r="96" ht="12.75">
      <c r="M96" s="136"/>
    </row>
    <row r="97" ht="12.75">
      <c r="M97" s="136"/>
    </row>
    <row r="98" ht="12.75">
      <c r="M98" s="136"/>
    </row>
    <row r="99" ht="12.75">
      <c r="M99" s="136"/>
    </row>
    <row r="100" ht="12.75">
      <c r="M100" s="136"/>
    </row>
    <row r="101" ht="12.75">
      <c r="M101" s="136"/>
    </row>
    <row r="102" ht="12.75">
      <c r="M102" s="136"/>
    </row>
    <row r="103" ht="12.75">
      <c r="M103" s="136"/>
    </row>
    <row r="104" ht="12.75">
      <c r="M104" s="136"/>
    </row>
    <row r="105" ht="12.75">
      <c r="M105" s="136"/>
    </row>
    <row r="106" ht="12.75">
      <c r="M106" s="136"/>
    </row>
    <row r="107" ht="12.75">
      <c r="M107" s="136"/>
    </row>
    <row r="108" ht="12.75">
      <c r="M108" s="136"/>
    </row>
    <row r="109" ht="12.75">
      <c r="M109" s="136"/>
    </row>
    <row r="110" ht="12.75">
      <c r="M110" s="136"/>
    </row>
    <row r="111" ht="12.75">
      <c r="M111" s="136"/>
    </row>
    <row r="112" ht="12.75">
      <c r="M112" s="136"/>
    </row>
    <row r="113" ht="12.75">
      <c r="M113" s="136"/>
    </row>
    <row r="114" ht="12.75">
      <c r="M114" s="136"/>
    </row>
    <row r="115" ht="12.75">
      <c r="M115" s="136"/>
    </row>
    <row r="116" ht="12.75">
      <c r="M116" s="136"/>
    </row>
    <row r="117" ht="12.75">
      <c r="M117" s="136"/>
    </row>
    <row r="118" ht="12.75">
      <c r="M118" s="136"/>
    </row>
    <row r="119" ht="12.75">
      <c r="M119" s="136"/>
    </row>
    <row r="120" ht="12.75">
      <c r="M120" s="136"/>
    </row>
    <row r="121" ht="12.75">
      <c r="M121" s="136"/>
    </row>
    <row r="122" ht="12.75">
      <c r="M122" s="136"/>
    </row>
    <row r="123" ht="12.75">
      <c r="M123" s="136"/>
    </row>
    <row r="124" ht="12.75">
      <c r="M124" s="136"/>
    </row>
    <row r="125" ht="12.75">
      <c r="M125" s="136"/>
    </row>
    <row r="126" ht="12.75">
      <c r="M126" s="136"/>
    </row>
    <row r="127" ht="12.75">
      <c r="M127" s="136"/>
    </row>
    <row r="128" ht="12.75">
      <c r="M128" s="136"/>
    </row>
    <row r="129" ht="12.75">
      <c r="M129" s="136"/>
    </row>
    <row r="130" ht="12.75">
      <c r="M130" s="136"/>
    </row>
    <row r="131" ht="12.75">
      <c r="M131" s="136"/>
    </row>
    <row r="132" ht="12.75">
      <c r="M132" s="136"/>
    </row>
    <row r="133" ht="12.75">
      <c r="M133" s="136"/>
    </row>
    <row r="134" ht="12.75">
      <c r="M134" s="136"/>
    </row>
    <row r="135" ht="12.75">
      <c r="M135" s="136"/>
    </row>
    <row r="136" ht="12.75">
      <c r="M136" s="136"/>
    </row>
    <row r="137" ht="12.75">
      <c r="M137" s="136"/>
    </row>
    <row r="138" ht="12.75">
      <c r="M138" s="136"/>
    </row>
    <row r="139" ht="12.75">
      <c r="M139" s="136"/>
    </row>
    <row r="140" ht="12.75">
      <c r="M140" s="136"/>
    </row>
    <row r="141" ht="12.75">
      <c r="M141" s="136"/>
    </row>
    <row r="142" ht="12.75">
      <c r="M142" s="136"/>
    </row>
    <row r="143" ht="12.75">
      <c r="M143" s="136"/>
    </row>
    <row r="144" ht="12.75">
      <c r="M144" s="136"/>
    </row>
    <row r="145" ht="12.75">
      <c r="M145" s="136"/>
    </row>
    <row r="146" ht="12.75">
      <c r="M146" s="136"/>
    </row>
    <row r="147" ht="12.75">
      <c r="M147" s="136"/>
    </row>
    <row r="148" ht="12.75">
      <c r="M148" s="136"/>
    </row>
    <row r="149" ht="12.75">
      <c r="M149" s="136"/>
    </row>
    <row r="150" ht="12.75">
      <c r="M150" s="136"/>
    </row>
    <row r="151" ht="12.75">
      <c r="M151" s="136"/>
    </row>
    <row r="152" ht="12.75">
      <c r="M152" s="136"/>
    </row>
    <row r="153" ht="12.75">
      <c r="M153" s="136"/>
    </row>
    <row r="154" ht="12.75">
      <c r="M154" s="136"/>
    </row>
    <row r="155" ht="12.75">
      <c r="M155" s="136"/>
    </row>
    <row r="156" ht="12.75">
      <c r="M156" s="136"/>
    </row>
    <row r="157" ht="12.75">
      <c r="M157" s="136"/>
    </row>
    <row r="158" ht="12.75">
      <c r="M158" s="136"/>
    </row>
    <row r="159" ht="12.75">
      <c r="M159" s="136"/>
    </row>
    <row r="160" ht="12.75">
      <c r="M160" s="136"/>
    </row>
    <row r="161" ht="12.75">
      <c r="M161" s="136"/>
    </row>
    <row r="162" ht="12.75">
      <c r="M162" s="136"/>
    </row>
    <row r="163" ht="12.75">
      <c r="M163" s="136"/>
    </row>
    <row r="164" ht="12.75">
      <c r="M164" s="136"/>
    </row>
    <row r="165" ht="12.75">
      <c r="M165" s="136"/>
    </row>
    <row r="166" ht="12.75">
      <c r="M166" s="136"/>
    </row>
    <row r="167" ht="12.75">
      <c r="M167" s="136"/>
    </row>
    <row r="168" ht="12.75">
      <c r="M168" s="136"/>
    </row>
    <row r="169" ht="12.75">
      <c r="M169" s="136"/>
    </row>
    <row r="170" ht="12.75">
      <c r="M170" s="136"/>
    </row>
    <row r="171" ht="12.75">
      <c r="M171" s="136"/>
    </row>
    <row r="172" ht="12.75">
      <c r="M172" s="136"/>
    </row>
    <row r="173" ht="12.75">
      <c r="M173" s="136"/>
    </row>
    <row r="174" ht="12.75">
      <c r="M174" s="136"/>
    </row>
    <row r="175" ht="12.75">
      <c r="M175" s="136"/>
    </row>
    <row r="176" ht="12.75">
      <c r="M176" s="136"/>
    </row>
    <row r="177" ht="12.75">
      <c r="M177" s="136"/>
    </row>
    <row r="178" ht="12.75">
      <c r="M178" s="136"/>
    </row>
    <row r="179" ht="12.75">
      <c r="M179" s="136"/>
    </row>
    <row r="180" ht="12.75">
      <c r="M180" s="136"/>
    </row>
    <row r="181" ht="12.75">
      <c r="M181" s="136"/>
    </row>
    <row r="182" ht="12.75">
      <c r="M182" s="136"/>
    </row>
    <row r="183" ht="12.75">
      <c r="M183" s="136"/>
    </row>
    <row r="184" ht="12.75">
      <c r="M184" s="136"/>
    </row>
    <row r="185" ht="12.75">
      <c r="M185" s="136"/>
    </row>
    <row r="186" ht="12.75">
      <c r="M186" s="136"/>
    </row>
    <row r="187" ht="12.75">
      <c r="M187" s="136"/>
    </row>
    <row r="188" ht="12.75">
      <c r="M188" s="136"/>
    </row>
    <row r="189" ht="12.75">
      <c r="M189" s="136"/>
    </row>
    <row r="190" ht="12.75">
      <c r="M190" s="136"/>
    </row>
    <row r="191" ht="12.75">
      <c r="M191" s="136"/>
    </row>
    <row r="192" ht="12.75">
      <c r="M192" s="136"/>
    </row>
    <row r="193" ht="12.75">
      <c r="M193" s="136"/>
    </row>
    <row r="194" ht="12.75">
      <c r="M194" s="136"/>
    </row>
    <row r="195" ht="12.75">
      <c r="M195" s="136"/>
    </row>
    <row r="196" ht="12.75">
      <c r="M196" s="136"/>
    </row>
    <row r="197" ht="12.75">
      <c r="M197" s="136"/>
    </row>
    <row r="198" ht="12.75">
      <c r="M198" s="136"/>
    </row>
    <row r="199" ht="12.75">
      <c r="M199" s="136"/>
    </row>
    <row r="200" ht="12.75">
      <c r="M200" s="136"/>
    </row>
    <row r="201" ht="12.75">
      <c r="M201" s="136"/>
    </row>
    <row r="202" ht="12.75">
      <c r="M202" s="136"/>
    </row>
    <row r="203" ht="12.75">
      <c r="M203" s="136"/>
    </row>
    <row r="204" ht="12.75">
      <c r="M204" s="136"/>
    </row>
    <row r="205" ht="12.75">
      <c r="M205" s="136"/>
    </row>
    <row r="206" ht="12.75">
      <c r="M206" s="136"/>
    </row>
    <row r="207" ht="12.75">
      <c r="M207" s="136"/>
    </row>
    <row r="208" ht="12.75">
      <c r="M208" s="136"/>
    </row>
    <row r="209" ht="12.75">
      <c r="M209" s="136"/>
    </row>
    <row r="210" ht="12.75">
      <c r="M210" s="136"/>
    </row>
    <row r="211" ht="12.75">
      <c r="M211" s="136"/>
    </row>
    <row r="212" ht="12.75">
      <c r="M212" s="136"/>
    </row>
    <row r="213" ht="12.75">
      <c r="M213" s="136"/>
    </row>
    <row r="214" ht="12.75">
      <c r="M214" s="136"/>
    </row>
    <row r="215" ht="12.75">
      <c r="M215" s="136"/>
    </row>
    <row r="216" ht="12.75">
      <c r="M216" s="136"/>
    </row>
    <row r="217" ht="12.75">
      <c r="M217" s="136"/>
    </row>
    <row r="218" ht="12.75">
      <c r="M218" s="136"/>
    </row>
    <row r="219" ht="12.75">
      <c r="M219" s="136"/>
    </row>
    <row r="220" ht="12.75">
      <c r="M220" s="136"/>
    </row>
    <row r="221" ht="12.75">
      <c r="M221" s="136"/>
    </row>
    <row r="222" ht="12.75">
      <c r="M222" s="136"/>
    </row>
    <row r="223" ht="12.75">
      <c r="M223" s="136"/>
    </row>
    <row r="224" ht="12.75">
      <c r="M224" s="136"/>
    </row>
    <row r="225" ht="12.75">
      <c r="M225" s="136"/>
    </row>
    <row r="226" ht="12.75">
      <c r="M226" s="136"/>
    </row>
    <row r="227" ht="12.75">
      <c r="M227" s="136"/>
    </row>
    <row r="228" ht="12.75">
      <c r="M228" s="136"/>
    </row>
    <row r="229" ht="12.75">
      <c r="M229" s="136"/>
    </row>
    <row r="230" ht="12.75">
      <c r="M230" s="136"/>
    </row>
    <row r="231" ht="12.75">
      <c r="M231" s="136"/>
    </row>
    <row r="232" ht="12.75">
      <c r="M232" s="136"/>
    </row>
    <row r="233" ht="12.75">
      <c r="M233" s="136"/>
    </row>
    <row r="234" ht="12.75">
      <c r="M234" s="136"/>
    </row>
    <row r="235" ht="12.75">
      <c r="M235" s="136"/>
    </row>
    <row r="236" ht="12.75">
      <c r="M236" s="136"/>
    </row>
    <row r="237" ht="12.75">
      <c r="M237" s="136"/>
    </row>
    <row r="238" ht="12.75">
      <c r="M238" s="136"/>
    </row>
    <row r="239" ht="12.75">
      <c r="M239" s="136"/>
    </row>
    <row r="240" ht="12.75">
      <c r="M240" s="136"/>
    </row>
    <row r="241" ht="12.75">
      <c r="M241" s="136"/>
    </row>
    <row r="242" ht="12.75">
      <c r="M242" s="136"/>
    </row>
    <row r="243" ht="12.75">
      <c r="M243" s="136"/>
    </row>
    <row r="244" ht="12.75">
      <c r="M244" s="136"/>
    </row>
    <row r="245" ht="12.75">
      <c r="M245" s="136"/>
    </row>
    <row r="246" ht="12.75">
      <c r="M246" s="136"/>
    </row>
    <row r="247" ht="12.75">
      <c r="M247" s="136"/>
    </row>
    <row r="248" ht="12.75">
      <c r="M248" s="136"/>
    </row>
    <row r="249" ht="12.75">
      <c r="M249" s="136"/>
    </row>
    <row r="250" ht="12.75">
      <c r="M250" s="136"/>
    </row>
    <row r="251" ht="12.75">
      <c r="M251" s="136"/>
    </row>
    <row r="252" ht="12.75">
      <c r="M252" s="136"/>
    </row>
    <row r="253" ht="12.75">
      <c r="M253" s="136"/>
    </row>
    <row r="254" ht="12.75">
      <c r="M254" s="136"/>
    </row>
    <row r="255" ht="12.75">
      <c r="M255" s="136"/>
    </row>
    <row r="256" ht="12.75">
      <c r="M256" s="136"/>
    </row>
    <row r="257" ht="12.75">
      <c r="M257" s="136"/>
    </row>
    <row r="258" ht="12.75">
      <c r="M258" s="136"/>
    </row>
    <row r="259" ht="12.75">
      <c r="M259" s="136"/>
    </row>
    <row r="260" ht="12.75">
      <c r="M260" s="136"/>
    </row>
    <row r="261" ht="12.75">
      <c r="M261" s="136"/>
    </row>
    <row r="262" ht="12.75">
      <c r="M262" s="136"/>
    </row>
    <row r="263" ht="12.75">
      <c r="M263" s="136"/>
    </row>
    <row r="264" ht="12.75">
      <c r="M264" s="136"/>
    </row>
    <row r="265" ht="12.75">
      <c r="M265" s="136"/>
    </row>
    <row r="266" ht="12.75">
      <c r="M266" s="136"/>
    </row>
    <row r="267" ht="12.75">
      <c r="M267" s="136"/>
    </row>
    <row r="268" ht="12.75">
      <c r="M268" s="136"/>
    </row>
    <row r="269" ht="12.75">
      <c r="M269" s="136"/>
    </row>
    <row r="270" ht="12.75">
      <c r="M270" s="136"/>
    </row>
    <row r="271" ht="12.75">
      <c r="M271" s="136"/>
    </row>
    <row r="272" ht="12.75">
      <c r="M272" s="136"/>
    </row>
    <row r="273" ht="12.75">
      <c r="M273" s="136"/>
    </row>
    <row r="274" ht="12.75">
      <c r="M274" s="136"/>
    </row>
    <row r="275" ht="12.75">
      <c r="M275" s="136"/>
    </row>
    <row r="276" ht="12.75">
      <c r="M276" s="136"/>
    </row>
    <row r="277" ht="12.75">
      <c r="M277" s="136"/>
    </row>
    <row r="278" ht="12.75">
      <c r="M278" s="136"/>
    </row>
    <row r="279" ht="12.75">
      <c r="M279" s="136"/>
    </row>
    <row r="280" ht="12.75">
      <c r="M280" s="136"/>
    </row>
    <row r="281" ht="12.75">
      <c r="M281" s="136"/>
    </row>
    <row r="282" ht="12.75">
      <c r="M282" s="136"/>
    </row>
    <row r="283" ht="12.75">
      <c r="M283" s="136"/>
    </row>
    <row r="284" ht="12.75">
      <c r="M284" s="136"/>
    </row>
    <row r="285" ht="12.75">
      <c r="M285" s="136"/>
    </row>
    <row r="286" ht="12.75">
      <c r="M286" s="136"/>
    </row>
    <row r="287" ht="12.75">
      <c r="M287" s="136"/>
    </row>
    <row r="288" ht="12.75">
      <c r="M288" s="136"/>
    </row>
    <row r="289" ht="12.75">
      <c r="M289" s="136"/>
    </row>
    <row r="290" ht="12.75">
      <c r="M290" s="136"/>
    </row>
    <row r="291" ht="12.75">
      <c r="M291" s="136"/>
    </row>
    <row r="292" ht="12.75">
      <c r="M292" s="136"/>
    </row>
    <row r="293" ht="12.75">
      <c r="M293" s="136"/>
    </row>
    <row r="294" ht="12.75">
      <c r="M294" s="136"/>
    </row>
    <row r="295" ht="12.75">
      <c r="M295" s="136"/>
    </row>
    <row r="296" ht="12.75">
      <c r="M296" s="136"/>
    </row>
    <row r="297" ht="12.75">
      <c r="M297" s="136"/>
    </row>
    <row r="298" ht="12.75">
      <c r="M298" s="136"/>
    </row>
    <row r="299" ht="12.75">
      <c r="M299" s="136"/>
    </row>
    <row r="300" ht="12.75">
      <c r="M300" s="136"/>
    </row>
    <row r="301" ht="12.75">
      <c r="M301" s="136"/>
    </row>
    <row r="302" ht="12.75">
      <c r="M302" s="136"/>
    </row>
    <row r="303" ht="12.75">
      <c r="M303" s="136"/>
    </row>
    <row r="304" ht="12.75">
      <c r="M304" s="136"/>
    </row>
    <row r="305" ht="12.75">
      <c r="M305" s="136"/>
    </row>
    <row r="306" ht="12.75">
      <c r="M306" s="136"/>
    </row>
    <row r="307" ht="12.75">
      <c r="M307" s="136"/>
    </row>
    <row r="308" ht="12.75">
      <c r="M308" s="136"/>
    </row>
    <row r="309" ht="12.75">
      <c r="M309" s="136"/>
    </row>
    <row r="310" ht="12.75">
      <c r="M310" s="136"/>
    </row>
    <row r="311" ht="12.75">
      <c r="M311" s="136"/>
    </row>
    <row r="312" ht="12.75">
      <c r="M312" s="136"/>
    </row>
    <row r="313" ht="12.75">
      <c r="M313" s="136"/>
    </row>
    <row r="314" ht="12.75">
      <c r="M314" s="136"/>
    </row>
    <row r="315" ht="12.75">
      <c r="M315" s="136"/>
    </row>
    <row r="316" ht="12.75">
      <c r="M316" s="136"/>
    </row>
    <row r="317" ht="12.75">
      <c r="M317" s="136"/>
    </row>
    <row r="318" ht="12.75">
      <c r="M318" s="136"/>
    </row>
    <row r="319" ht="12.75">
      <c r="M319" s="136"/>
    </row>
    <row r="320" ht="12.75">
      <c r="M320" s="136"/>
    </row>
    <row r="321" ht="12.75">
      <c r="M321" s="136"/>
    </row>
    <row r="322" ht="12.75">
      <c r="M322" s="136"/>
    </row>
    <row r="323" ht="12.75">
      <c r="M323" s="136"/>
    </row>
    <row r="324" ht="12.75">
      <c r="M324" s="136"/>
    </row>
    <row r="325" ht="12.75">
      <c r="M325" s="136"/>
    </row>
    <row r="326" ht="12.75">
      <c r="M326" s="136"/>
    </row>
    <row r="327" ht="12.75">
      <c r="M327" s="136"/>
    </row>
    <row r="328" ht="12.75">
      <c r="M328" s="136"/>
    </row>
    <row r="329" ht="12.75">
      <c r="M329" s="136"/>
    </row>
    <row r="330" ht="12.75">
      <c r="M330" s="136"/>
    </row>
    <row r="331" ht="12.75">
      <c r="M331" s="136"/>
    </row>
    <row r="332" ht="12.75">
      <c r="M332" s="136"/>
    </row>
    <row r="333" ht="12.75">
      <c r="M333" s="136"/>
    </row>
    <row r="334" ht="12.75">
      <c r="M334" s="136"/>
    </row>
    <row r="335" ht="12.75">
      <c r="M335" s="136"/>
    </row>
    <row r="336" ht="12.75">
      <c r="M336" s="136"/>
    </row>
    <row r="337" ht="12.75">
      <c r="M337" s="136"/>
    </row>
    <row r="338" ht="12.75">
      <c r="M338" s="136"/>
    </row>
    <row r="339" ht="12.75">
      <c r="M339" s="136"/>
    </row>
    <row r="340" ht="12.75">
      <c r="M340" s="136"/>
    </row>
    <row r="341" ht="12.75">
      <c r="M341" s="136"/>
    </row>
    <row r="342" ht="12.75">
      <c r="M342" s="136"/>
    </row>
    <row r="343" ht="12.75">
      <c r="M343" s="136"/>
    </row>
    <row r="344" ht="12.75">
      <c r="M344" s="136"/>
    </row>
    <row r="345" ht="12.75">
      <c r="M345" s="136"/>
    </row>
    <row r="346" ht="12.75">
      <c r="M346" s="136"/>
    </row>
    <row r="347" ht="12.75">
      <c r="M347" s="136"/>
    </row>
    <row r="348" ht="12.75">
      <c r="M348" s="136"/>
    </row>
    <row r="349" ht="12.75">
      <c r="M349" s="136"/>
    </row>
    <row r="350" ht="12.75">
      <c r="M350" s="136"/>
    </row>
    <row r="351" ht="12.75">
      <c r="M351" s="136"/>
    </row>
    <row r="352" ht="12.75">
      <c r="M352" s="136"/>
    </row>
    <row r="353" ht="12.75">
      <c r="M353" s="136"/>
    </row>
    <row r="354" ht="12.75">
      <c r="M354" s="136"/>
    </row>
    <row r="355" ht="12.75">
      <c r="M355" s="136"/>
    </row>
    <row r="356" ht="12.75">
      <c r="M356" s="136"/>
    </row>
    <row r="357" ht="12.75">
      <c r="M357" s="136"/>
    </row>
    <row r="358" ht="12.75">
      <c r="M358" s="136"/>
    </row>
    <row r="359" ht="12.75">
      <c r="M359" s="136"/>
    </row>
    <row r="360" ht="12.75">
      <c r="M360" s="136"/>
    </row>
    <row r="361" ht="12.75">
      <c r="M361" s="136"/>
    </row>
    <row r="362" ht="12.75">
      <c r="M362" s="136"/>
    </row>
    <row r="363" ht="12.75">
      <c r="M363" s="136"/>
    </row>
    <row r="364" ht="12.75">
      <c r="M364" s="136"/>
    </row>
    <row r="365" ht="12.75">
      <c r="M365" s="136"/>
    </row>
    <row r="366" ht="12.75">
      <c r="M366" s="136"/>
    </row>
    <row r="367" ht="12.75">
      <c r="M367" s="136"/>
    </row>
    <row r="368" ht="12.75">
      <c r="M368" s="136"/>
    </row>
    <row r="369" ht="12.75">
      <c r="M369" s="136"/>
    </row>
    <row r="370" ht="12.75">
      <c r="M370" s="136"/>
    </row>
    <row r="371" ht="12.75">
      <c r="M371" s="136"/>
    </row>
    <row r="372" ht="12.75">
      <c r="M372" s="136"/>
    </row>
    <row r="373" ht="12.75">
      <c r="M373" s="136"/>
    </row>
    <row r="374" ht="12.75">
      <c r="M374" s="136"/>
    </row>
    <row r="375" ht="12.75">
      <c r="M375" s="136"/>
    </row>
    <row r="376" ht="12.75">
      <c r="M376" s="136"/>
    </row>
    <row r="377" ht="12.75">
      <c r="M377" s="136"/>
    </row>
    <row r="378" ht="12.75">
      <c r="M378" s="136"/>
    </row>
    <row r="379" ht="12.75">
      <c r="M379" s="136"/>
    </row>
    <row r="380" ht="12.75">
      <c r="M380" s="136"/>
    </row>
    <row r="381" ht="12.75">
      <c r="M381" s="136"/>
    </row>
    <row r="382" ht="12.75">
      <c r="M382" s="136"/>
    </row>
    <row r="383" ht="12.75">
      <c r="M383" s="136"/>
    </row>
    <row r="384" ht="12.75">
      <c r="M384" s="136"/>
    </row>
    <row r="385" ht="12.75">
      <c r="M385" s="136"/>
    </row>
    <row r="386" ht="12.75">
      <c r="M386" s="136"/>
    </row>
    <row r="387" ht="12.75">
      <c r="M387" s="136"/>
    </row>
    <row r="388" ht="12.75">
      <c r="M388" s="136"/>
    </row>
    <row r="389" ht="12.75">
      <c r="M389" s="136"/>
    </row>
    <row r="390" ht="12.75">
      <c r="M390" s="136"/>
    </row>
    <row r="391" ht="12.75">
      <c r="M391" s="136"/>
    </row>
    <row r="392" ht="12.75">
      <c r="M392" s="136"/>
    </row>
    <row r="393" ht="12.75">
      <c r="M393" s="136"/>
    </row>
    <row r="394" ht="12.75">
      <c r="M394" s="136"/>
    </row>
    <row r="395" ht="12.75">
      <c r="M395" s="136"/>
    </row>
    <row r="396" ht="12.75">
      <c r="M396" s="136"/>
    </row>
    <row r="397" ht="12.75">
      <c r="M397" s="136"/>
    </row>
    <row r="398" ht="12.75">
      <c r="M398" s="136"/>
    </row>
    <row r="399" ht="12.75">
      <c r="M399" s="136"/>
    </row>
    <row r="400" ht="12.75">
      <c r="M400" s="136"/>
    </row>
    <row r="401" ht="12.75">
      <c r="M401" s="136"/>
    </row>
    <row r="402" ht="12.75">
      <c r="M402" s="136"/>
    </row>
    <row r="403" ht="12.75">
      <c r="M403" s="136"/>
    </row>
    <row r="404" ht="12.75">
      <c r="M404" s="136"/>
    </row>
    <row r="405" ht="12.75">
      <c r="M405" s="136"/>
    </row>
    <row r="406" ht="12.75">
      <c r="M406" s="136"/>
    </row>
    <row r="407" ht="12.75">
      <c r="M407" s="136"/>
    </row>
    <row r="408" ht="12.75">
      <c r="M408" s="136"/>
    </row>
    <row r="409" ht="12.75">
      <c r="M409" s="136"/>
    </row>
    <row r="410" ht="12.75">
      <c r="M410" s="136"/>
    </row>
    <row r="411" ht="12.75">
      <c r="M411" s="136"/>
    </row>
    <row r="412" ht="12.75">
      <c r="M412" s="136"/>
    </row>
    <row r="413" ht="12.75">
      <c r="M413" s="136"/>
    </row>
    <row r="414" ht="12.75">
      <c r="M414" s="136"/>
    </row>
    <row r="415" ht="12.75">
      <c r="M415" s="136"/>
    </row>
    <row r="416" ht="12.75">
      <c r="M416" s="136"/>
    </row>
    <row r="417" ht="12.75">
      <c r="M417" s="136"/>
    </row>
    <row r="418" ht="12.75">
      <c r="M418" s="136"/>
    </row>
    <row r="419" ht="12.75">
      <c r="M419" s="136"/>
    </row>
    <row r="420" ht="12.75">
      <c r="M420" s="136"/>
    </row>
    <row r="421" ht="12.75">
      <c r="M421" s="136"/>
    </row>
    <row r="422" ht="12.75">
      <c r="M422" s="136"/>
    </row>
    <row r="423" ht="12.75">
      <c r="M423" s="136"/>
    </row>
    <row r="424" ht="12.75">
      <c r="M424" s="136"/>
    </row>
    <row r="425" ht="12.75">
      <c r="M425" s="136"/>
    </row>
    <row r="426" ht="12.75">
      <c r="M426" s="136"/>
    </row>
    <row r="427" ht="12.75">
      <c r="M427" s="136"/>
    </row>
    <row r="428" ht="12.75">
      <c r="M428" s="136"/>
    </row>
    <row r="429" ht="12.75">
      <c r="M429" s="136"/>
    </row>
    <row r="430" ht="12.75">
      <c r="M430" s="136"/>
    </row>
    <row r="431" ht="12.75">
      <c r="M431" s="136"/>
    </row>
    <row r="432" ht="12.75">
      <c r="M432" s="136"/>
    </row>
    <row r="433" ht="12.75">
      <c r="M433" s="136"/>
    </row>
    <row r="434" ht="12.75">
      <c r="M434" s="136"/>
    </row>
    <row r="435" ht="12.75">
      <c r="M435" s="136"/>
    </row>
    <row r="436" ht="12.75">
      <c r="M436" s="136"/>
    </row>
    <row r="437" ht="12.75">
      <c r="M437" s="136"/>
    </row>
    <row r="438" ht="12.75">
      <c r="M438" s="136"/>
    </row>
    <row r="439" ht="12.75">
      <c r="M439" s="136"/>
    </row>
    <row r="440" ht="12.75">
      <c r="M440" s="136"/>
    </row>
    <row r="441" ht="12.75">
      <c r="M441" s="136"/>
    </row>
    <row r="442" ht="12.75">
      <c r="M442" s="136"/>
    </row>
    <row r="443" ht="12.75">
      <c r="M443" s="136"/>
    </row>
    <row r="444" ht="12.75">
      <c r="M444" s="136"/>
    </row>
    <row r="445" ht="12.75">
      <c r="M445" s="136"/>
    </row>
    <row r="446" ht="12.75">
      <c r="M446" s="136"/>
    </row>
    <row r="447" ht="12.75">
      <c r="M447" s="136"/>
    </row>
    <row r="448" ht="12.75">
      <c r="M448" s="136"/>
    </row>
    <row r="449" ht="12.75">
      <c r="M449" s="136"/>
    </row>
    <row r="450" ht="12.75">
      <c r="M450" s="136"/>
    </row>
    <row r="451" ht="12.75">
      <c r="M451" s="136"/>
    </row>
    <row r="452" ht="12.75">
      <c r="M452" s="136"/>
    </row>
    <row r="453" ht="12.75">
      <c r="M453" s="136"/>
    </row>
    <row r="454" ht="12.75">
      <c r="M454" s="136"/>
    </row>
    <row r="455" ht="12.75">
      <c r="M455" s="136"/>
    </row>
    <row r="456" ht="12.75">
      <c r="M456" s="136"/>
    </row>
    <row r="457" ht="12.75">
      <c r="M457" s="136"/>
    </row>
    <row r="458" ht="12.75">
      <c r="M458" s="136"/>
    </row>
    <row r="459" ht="12.75">
      <c r="M459" s="136"/>
    </row>
    <row r="460" ht="12.75">
      <c r="M460" s="136"/>
    </row>
    <row r="461" ht="12.75">
      <c r="M461" s="136"/>
    </row>
    <row r="462" ht="12.75">
      <c r="M462" s="136"/>
    </row>
    <row r="463" ht="12.75">
      <c r="M463" s="136"/>
    </row>
    <row r="464" ht="12.75">
      <c r="M464" s="136"/>
    </row>
    <row r="465" ht="12.75">
      <c r="M465" s="136"/>
    </row>
    <row r="466" ht="12.75">
      <c r="M466" s="136"/>
    </row>
    <row r="467" ht="12.75">
      <c r="M467" s="136"/>
    </row>
    <row r="468" ht="12.75">
      <c r="M468" s="136"/>
    </row>
    <row r="469" ht="12.75">
      <c r="M469" s="136"/>
    </row>
    <row r="470" ht="12.75">
      <c r="M470" s="136"/>
    </row>
    <row r="471" ht="12.75">
      <c r="M471" s="136"/>
    </row>
    <row r="472" ht="12.75">
      <c r="M472" s="136"/>
    </row>
    <row r="473" ht="12.75">
      <c r="M473" s="136"/>
    </row>
    <row r="474" ht="12.75">
      <c r="M474" s="136"/>
    </row>
    <row r="475" ht="12.75">
      <c r="M475" s="136"/>
    </row>
    <row r="476" ht="12.75">
      <c r="M476" s="136"/>
    </row>
    <row r="477" ht="12.75">
      <c r="M477" s="136"/>
    </row>
    <row r="478" ht="12.75">
      <c r="M478" s="136"/>
    </row>
    <row r="479" ht="12.75">
      <c r="M479" s="136"/>
    </row>
    <row r="480" ht="12.75">
      <c r="M480" s="136"/>
    </row>
    <row r="481" ht="12.75">
      <c r="M481" s="136"/>
    </row>
    <row r="482" ht="12.75">
      <c r="M482" s="136"/>
    </row>
    <row r="483" ht="12.75">
      <c r="M483" s="136"/>
    </row>
    <row r="484" ht="12.75">
      <c r="M484" s="136"/>
    </row>
    <row r="485" ht="12.75">
      <c r="M485" s="136"/>
    </row>
    <row r="486" ht="12.75">
      <c r="M486" s="136"/>
    </row>
    <row r="487" ht="12.75">
      <c r="M487" s="136"/>
    </row>
    <row r="488" ht="12.75">
      <c r="M488" s="136"/>
    </row>
    <row r="489" ht="12.75">
      <c r="M489" s="136"/>
    </row>
    <row r="490" ht="12.75">
      <c r="M490" s="136"/>
    </row>
    <row r="491" ht="12.75">
      <c r="M491" s="136"/>
    </row>
    <row r="492" ht="12.75">
      <c r="M492" s="136"/>
    </row>
    <row r="493" ht="12.75">
      <c r="M493" s="136"/>
    </row>
    <row r="494" ht="12.75">
      <c r="M494" s="136"/>
    </row>
    <row r="495" ht="12.75">
      <c r="M495" s="136"/>
    </row>
    <row r="496" ht="12.75">
      <c r="M496" s="136"/>
    </row>
    <row r="497" ht="12.75">
      <c r="M497" s="136"/>
    </row>
    <row r="498" ht="12.75">
      <c r="M498" s="136"/>
    </row>
    <row r="499" ht="12.75">
      <c r="M499" s="136"/>
    </row>
    <row r="500" ht="12.75">
      <c r="M500" s="136"/>
    </row>
    <row r="501" ht="12.75">
      <c r="M501" s="136"/>
    </row>
    <row r="502" ht="12.75">
      <c r="M502" s="136"/>
    </row>
    <row r="503" ht="12.75">
      <c r="M503" s="136"/>
    </row>
    <row r="504" ht="12.75">
      <c r="M504" s="136"/>
    </row>
    <row r="505" ht="12.75">
      <c r="M505" s="136"/>
    </row>
    <row r="506" ht="12.75">
      <c r="M506" s="136"/>
    </row>
    <row r="507" ht="12.75">
      <c r="M507" s="136"/>
    </row>
    <row r="508" ht="12.75">
      <c r="M508" s="136"/>
    </row>
    <row r="509" ht="12.75">
      <c r="M509" s="136"/>
    </row>
    <row r="510" ht="12.75">
      <c r="M510" s="136"/>
    </row>
    <row r="511" ht="12.75">
      <c r="M511" s="136"/>
    </row>
    <row r="512" ht="12.75">
      <c r="M512" s="136"/>
    </row>
    <row r="513" ht="12.75">
      <c r="M513" s="136"/>
    </row>
    <row r="514" ht="12.75">
      <c r="M514" s="136"/>
    </row>
    <row r="515" ht="12.75">
      <c r="M515" s="136"/>
    </row>
    <row r="516" ht="12.75">
      <c r="M516" s="136"/>
    </row>
    <row r="517" ht="12.75">
      <c r="M517" s="136"/>
    </row>
    <row r="518" ht="12.75">
      <c r="M518" s="136"/>
    </row>
    <row r="519" ht="12.75">
      <c r="M519" s="136"/>
    </row>
    <row r="520" ht="12.75">
      <c r="M520" s="136"/>
    </row>
    <row r="521" ht="12.75">
      <c r="M521" s="136"/>
    </row>
    <row r="522" ht="12.75">
      <c r="M522" s="136"/>
    </row>
    <row r="523" ht="12.75">
      <c r="M523" s="136"/>
    </row>
    <row r="524" ht="12.75">
      <c r="M524" s="136"/>
    </row>
    <row r="525" ht="12.75">
      <c r="M525" s="136"/>
    </row>
    <row r="526" ht="12.75">
      <c r="M526" s="136"/>
    </row>
    <row r="527" ht="12.75">
      <c r="M527" s="136"/>
    </row>
    <row r="528" ht="12.75">
      <c r="M528" s="136"/>
    </row>
    <row r="529" ht="12.75">
      <c r="M529" s="136"/>
    </row>
    <row r="530" ht="12.75">
      <c r="M530" s="136"/>
    </row>
    <row r="531" ht="12.75">
      <c r="M531" s="136"/>
    </row>
    <row r="532" ht="12.75">
      <c r="M532" s="136"/>
    </row>
    <row r="533" ht="12.75">
      <c r="M533" s="136"/>
    </row>
    <row r="534" ht="12.75">
      <c r="M534" s="136"/>
    </row>
    <row r="535" ht="12.75">
      <c r="M535" s="136"/>
    </row>
    <row r="536" ht="12.75">
      <c r="M536" s="136"/>
    </row>
    <row r="537" ht="12.75">
      <c r="M537" s="136"/>
    </row>
    <row r="538" ht="12.75">
      <c r="M538" s="136"/>
    </row>
    <row r="539" ht="12.75">
      <c r="M539" s="136"/>
    </row>
    <row r="540" ht="12.75">
      <c r="M540" s="136"/>
    </row>
    <row r="541" ht="12.75">
      <c r="M541" s="136"/>
    </row>
    <row r="542" ht="12.75">
      <c r="M542" s="136"/>
    </row>
    <row r="543" ht="12.75">
      <c r="M543" s="136"/>
    </row>
    <row r="544" ht="12.75">
      <c r="M544" s="136"/>
    </row>
    <row r="545" ht="12.75">
      <c r="M545" s="136"/>
    </row>
    <row r="546" ht="12.75">
      <c r="M546" s="136"/>
    </row>
    <row r="547" ht="12.75">
      <c r="M547" s="136"/>
    </row>
    <row r="548" ht="12.75">
      <c r="M548" s="136"/>
    </row>
    <row r="549" ht="12.75">
      <c r="M549" s="136"/>
    </row>
    <row r="550" ht="12.75">
      <c r="M550" s="136"/>
    </row>
    <row r="551" ht="12.75">
      <c r="M551" s="136"/>
    </row>
    <row r="552" ht="12.75">
      <c r="M552" s="136"/>
    </row>
    <row r="553" ht="12.75">
      <c r="M553" s="136"/>
    </row>
    <row r="554" ht="12.75">
      <c r="M554" s="136"/>
    </row>
    <row r="555" ht="12.75">
      <c r="M555" s="136"/>
    </row>
    <row r="556" ht="12.75">
      <c r="M556" s="136"/>
    </row>
    <row r="557" ht="12.75">
      <c r="M557" s="136"/>
    </row>
    <row r="558" ht="12.75">
      <c r="M558" s="136"/>
    </row>
    <row r="559" ht="12.75">
      <c r="M559" s="136"/>
    </row>
    <row r="560" ht="12.75">
      <c r="M560" s="136"/>
    </row>
    <row r="561" ht="12.75">
      <c r="M561" s="136"/>
    </row>
    <row r="562" ht="12.75">
      <c r="M562" s="136"/>
    </row>
    <row r="563" ht="12.75">
      <c r="M563" s="136"/>
    </row>
    <row r="564" ht="12.75">
      <c r="M564" s="136"/>
    </row>
    <row r="565" ht="12.75">
      <c r="M565" s="136"/>
    </row>
    <row r="566" ht="12.75">
      <c r="M566" s="136"/>
    </row>
    <row r="567" ht="12.75">
      <c r="M567" s="136"/>
    </row>
    <row r="568" ht="12.75">
      <c r="M568" s="136"/>
    </row>
    <row r="569" ht="12.75">
      <c r="M569" s="136"/>
    </row>
    <row r="570" ht="12.75">
      <c r="M570" s="136"/>
    </row>
    <row r="571" ht="12.75">
      <c r="M571" s="136"/>
    </row>
    <row r="572" ht="12.75">
      <c r="M572" s="136"/>
    </row>
    <row r="573" ht="12.75">
      <c r="M573" s="136"/>
    </row>
    <row r="574" ht="12.75">
      <c r="M574" s="136"/>
    </row>
    <row r="575" ht="12.75">
      <c r="M575" s="136"/>
    </row>
    <row r="576" ht="12.75">
      <c r="M576" s="136"/>
    </row>
    <row r="577" ht="12.75">
      <c r="M577" s="136"/>
    </row>
    <row r="578" ht="12.75">
      <c r="M578" s="136"/>
    </row>
    <row r="579" ht="12.75">
      <c r="M579" s="136"/>
    </row>
    <row r="580" ht="12.75">
      <c r="M580" s="136"/>
    </row>
    <row r="581" ht="12.75">
      <c r="M581" s="136"/>
    </row>
    <row r="582" ht="12.75">
      <c r="M582" s="136"/>
    </row>
    <row r="583" ht="12.75">
      <c r="M583" s="136"/>
    </row>
    <row r="584" ht="12.75">
      <c r="M584" s="136"/>
    </row>
    <row r="585" ht="12.75">
      <c r="M585" s="136"/>
    </row>
    <row r="586" ht="12.75">
      <c r="M586" s="136"/>
    </row>
    <row r="587" ht="12.75">
      <c r="M587" s="136"/>
    </row>
    <row r="588" ht="12.75">
      <c r="M588" s="136"/>
    </row>
    <row r="589" ht="12.75">
      <c r="M589" s="136"/>
    </row>
    <row r="590" ht="12.75">
      <c r="M590" s="136"/>
    </row>
    <row r="591" ht="12.75">
      <c r="M591" s="136"/>
    </row>
    <row r="592" ht="12.75">
      <c r="M592" s="136"/>
    </row>
    <row r="593" ht="12.75">
      <c r="M593" s="136"/>
    </row>
    <row r="594" ht="12.75">
      <c r="M594" s="136"/>
    </row>
    <row r="595" ht="12.75">
      <c r="M595" s="136"/>
    </row>
    <row r="596" ht="12.75">
      <c r="M596" s="136"/>
    </row>
    <row r="597" ht="12.75">
      <c r="M597" s="136"/>
    </row>
    <row r="598" ht="12.75">
      <c r="M598" s="136"/>
    </row>
    <row r="599" ht="12.75">
      <c r="M599" s="136"/>
    </row>
    <row r="600" ht="12.75">
      <c r="M600" s="136"/>
    </row>
    <row r="601" ht="12.75">
      <c r="M601" s="136"/>
    </row>
    <row r="602" ht="12.75">
      <c r="M602" s="136"/>
    </row>
    <row r="603" ht="12.75">
      <c r="M603" s="136"/>
    </row>
    <row r="604" ht="12.75">
      <c r="M604" s="136"/>
    </row>
    <row r="605" ht="12.75">
      <c r="M605" s="136"/>
    </row>
    <row r="606" ht="12.75">
      <c r="M606" s="136"/>
    </row>
    <row r="607" ht="12.75">
      <c r="M607" s="136"/>
    </row>
    <row r="608" ht="12.75">
      <c r="M608" s="136"/>
    </row>
    <row r="609" ht="12.75">
      <c r="M609" s="136"/>
    </row>
    <row r="610" ht="12.75">
      <c r="M610" s="136"/>
    </row>
    <row r="611" ht="12.75">
      <c r="M611" s="136"/>
    </row>
    <row r="612" ht="12.75">
      <c r="M612" s="136"/>
    </row>
    <row r="613" ht="12.75">
      <c r="M613" s="136"/>
    </row>
    <row r="614" ht="12.75">
      <c r="M614" s="136"/>
    </row>
    <row r="615" ht="12.75">
      <c r="M615" s="136"/>
    </row>
    <row r="616" ht="12.75">
      <c r="M616" s="136"/>
    </row>
    <row r="617" ht="12.75">
      <c r="M617" s="136"/>
    </row>
    <row r="618" ht="12.75">
      <c r="M618" s="136"/>
    </row>
    <row r="619" ht="12.75">
      <c r="M619" s="136"/>
    </row>
    <row r="620" ht="12.75">
      <c r="M620" s="136"/>
    </row>
    <row r="621" ht="12.75">
      <c r="M621" s="136"/>
    </row>
    <row r="622" ht="12.75">
      <c r="M622" s="136"/>
    </row>
    <row r="623" ht="12.75">
      <c r="M623" s="136"/>
    </row>
    <row r="624" ht="12.75">
      <c r="M624" s="136"/>
    </row>
    <row r="625" ht="12.75">
      <c r="M625" s="136"/>
    </row>
    <row r="626" ht="12.75">
      <c r="M626" s="136"/>
    </row>
    <row r="627" ht="12.75">
      <c r="M627" s="136"/>
    </row>
    <row r="628" ht="12.75">
      <c r="M628" s="136"/>
    </row>
    <row r="629" ht="12.75">
      <c r="M629" s="136"/>
    </row>
    <row r="630" ht="12.75">
      <c r="M630" s="136"/>
    </row>
    <row r="631" ht="12.75">
      <c r="M631" s="136"/>
    </row>
    <row r="632" ht="12.75">
      <c r="M632" s="136"/>
    </row>
    <row r="633" ht="12.75">
      <c r="M633" s="136"/>
    </row>
    <row r="634" ht="12.75">
      <c r="M634" s="136"/>
    </row>
    <row r="635" ht="12.75">
      <c r="M635" s="136"/>
    </row>
    <row r="636" ht="12.75">
      <c r="M636" s="136"/>
    </row>
    <row r="637" ht="12.75">
      <c r="M637" s="136"/>
    </row>
    <row r="638" ht="12.75">
      <c r="M638" s="136"/>
    </row>
    <row r="639" ht="12.75">
      <c r="M639" s="136"/>
    </row>
    <row r="640" ht="12.75">
      <c r="M640" s="136"/>
    </row>
    <row r="641" ht="12.75">
      <c r="M641" s="136"/>
    </row>
    <row r="642" ht="12.75">
      <c r="M642" s="136"/>
    </row>
    <row r="643" ht="12.75">
      <c r="M643" s="136"/>
    </row>
    <row r="644" ht="12.75">
      <c r="M644" s="136"/>
    </row>
    <row r="645" ht="12.75">
      <c r="M645" s="136"/>
    </row>
    <row r="646" ht="12.75">
      <c r="M646" s="136"/>
    </row>
    <row r="647" ht="12.75">
      <c r="M647" s="136"/>
    </row>
    <row r="648" ht="12.75">
      <c r="M648" s="136"/>
    </row>
    <row r="649" ht="12.75">
      <c r="M649" s="136"/>
    </row>
    <row r="650" ht="12.75">
      <c r="M650" s="136"/>
    </row>
    <row r="651" ht="12.75">
      <c r="M651" s="136"/>
    </row>
    <row r="652" ht="12.75">
      <c r="M652" s="136"/>
    </row>
    <row r="653" ht="12.75">
      <c r="M653" s="136"/>
    </row>
    <row r="654" ht="12.75">
      <c r="M654" s="136"/>
    </row>
    <row r="655" ht="12.75">
      <c r="M655" s="136"/>
    </row>
    <row r="656" ht="12.75">
      <c r="M656" s="136"/>
    </row>
    <row r="657" ht="12.75">
      <c r="M657" s="136"/>
    </row>
    <row r="658" ht="12.75">
      <c r="M658" s="136"/>
    </row>
    <row r="659" ht="12.75">
      <c r="M659" s="136"/>
    </row>
    <row r="660" ht="12.75">
      <c r="M660" s="136"/>
    </row>
    <row r="661" ht="12.75">
      <c r="M661" s="136"/>
    </row>
    <row r="662" ht="12.75">
      <c r="M662" s="136"/>
    </row>
    <row r="663" ht="12.75">
      <c r="M663" s="136"/>
    </row>
    <row r="664" ht="12.75">
      <c r="M664" s="136"/>
    </row>
    <row r="665" ht="12.75">
      <c r="M665" s="136"/>
    </row>
    <row r="666" ht="12.75">
      <c r="M666" s="136"/>
    </row>
    <row r="667" ht="12.75">
      <c r="M667" s="136"/>
    </row>
    <row r="668" ht="12.75">
      <c r="M668" s="136"/>
    </row>
    <row r="669" ht="12.75">
      <c r="M669" s="136"/>
    </row>
    <row r="670" ht="12.75">
      <c r="M670" s="136"/>
    </row>
    <row r="671" ht="12.75">
      <c r="M671" s="136"/>
    </row>
    <row r="672" ht="12.75">
      <c r="M672" s="136"/>
    </row>
    <row r="673" ht="12.75">
      <c r="M673" s="136"/>
    </row>
    <row r="674" ht="12.75">
      <c r="M674" s="136"/>
    </row>
    <row r="675" ht="12.75">
      <c r="M675" s="136"/>
    </row>
    <row r="676" ht="12.75">
      <c r="M676" s="136"/>
    </row>
    <row r="677" ht="12.75">
      <c r="M677" s="136"/>
    </row>
    <row r="678" ht="12.75">
      <c r="M678" s="136"/>
    </row>
    <row r="679" ht="12.75">
      <c r="M679" s="136"/>
    </row>
    <row r="680" ht="12.75">
      <c r="M680" s="136"/>
    </row>
    <row r="681" ht="12.75">
      <c r="M681" s="136"/>
    </row>
    <row r="682" ht="12.75">
      <c r="M682" s="136"/>
    </row>
    <row r="683" ht="12.75">
      <c r="M683" s="136"/>
    </row>
    <row r="684" ht="12.75">
      <c r="M684" s="136"/>
    </row>
    <row r="685" ht="12.75">
      <c r="M685" s="136"/>
    </row>
    <row r="686" ht="12.75">
      <c r="M686" s="136"/>
    </row>
    <row r="687" ht="12.75">
      <c r="M687" s="136"/>
    </row>
    <row r="688" ht="12.75">
      <c r="M688" s="136"/>
    </row>
    <row r="689" ht="12.75">
      <c r="M689" s="136"/>
    </row>
    <row r="690" ht="12.75">
      <c r="M690" s="136"/>
    </row>
    <row r="691" ht="12.75">
      <c r="M691" s="136"/>
    </row>
    <row r="692" ht="12.75">
      <c r="M692" s="136"/>
    </row>
    <row r="693" ht="12.75">
      <c r="M693" s="136"/>
    </row>
    <row r="694" ht="12.75">
      <c r="M694" s="136"/>
    </row>
    <row r="695" ht="12.75">
      <c r="M695" s="136"/>
    </row>
    <row r="696" ht="12.75">
      <c r="M696" s="136"/>
    </row>
    <row r="697" ht="12.75">
      <c r="M697" s="136"/>
    </row>
    <row r="698" ht="12.75">
      <c r="M698" s="136"/>
    </row>
    <row r="699" ht="12.75">
      <c r="M699" s="136"/>
    </row>
    <row r="700" ht="12.75">
      <c r="M700" s="136"/>
    </row>
    <row r="701" ht="12.75">
      <c r="M701" s="136"/>
    </row>
    <row r="702" ht="12.75">
      <c r="M702" s="136"/>
    </row>
    <row r="703" ht="12.75">
      <c r="M703" s="136"/>
    </row>
    <row r="704" ht="12.75">
      <c r="M704" s="136"/>
    </row>
    <row r="705" ht="12.75">
      <c r="M705" s="136"/>
    </row>
    <row r="706" ht="12.75">
      <c r="M706" s="136"/>
    </row>
    <row r="707" ht="12.75">
      <c r="M707" s="136"/>
    </row>
    <row r="708" ht="12.75">
      <c r="M708" s="136"/>
    </row>
    <row r="709" ht="12.75">
      <c r="M709" s="136"/>
    </row>
    <row r="710" ht="12.75">
      <c r="M710" s="136"/>
    </row>
    <row r="711" ht="12.75">
      <c r="M711" s="136"/>
    </row>
    <row r="712" ht="12.75">
      <c r="M712" s="136"/>
    </row>
    <row r="713" ht="12.75">
      <c r="M713" s="136"/>
    </row>
    <row r="714" ht="12.75">
      <c r="M714" s="136"/>
    </row>
    <row r="715" ht="12.75">
      <c r="M715" s="136"/>
    </row>
    <row r="716" ht="12.75">
      <c r="M716" s="136"/>
    </row>
    <row r="717" ht="12.75">
      <c r="M717" s="136"/>
    </row>
    <row r="718" ht="12.75">
      <c r="M718" s="136"/>
    </row>
    <row r="719" ht="12.75">
      <c r="M719" s="136"/>
    </row>
    <row r="720" ht="12.75">
      <c r="M720" s="136"/>
    </row>
    <row r="721" ht="12.75">
      <c r="M721" s="136"/>
    </row>
    <row r="722" ht="12.75">
      <c r="M722" s="136"/>
    </row>
    <row r="723" ht="12.75">
      <c r="M723" s="136"/>
    </row>
    <row r="724" ht="12.75">
      <c r="M724" s="136"/>
    </row>
    <row r="725" ht="12.75">
      <c r="M725" s="136"/>
    </row>
    <row r="726" ht="12.75">
      <c r="M726" s="136"/>
    </row>
    <row r="727" ht="12.75">
      <c r="M727" s="136"/>
    </row>
    <row r="728" ht="12.75">
      <c r="M728" s="136"/>
    </row>
    <row r="729" ht="12.75">
      <c r="M729" s="136"/>
    </row>
    <row r="730" ht="12.75">
      <c r="M730" s="136"/>
    </row>
    <row r="731" ht="12.75">
      <c r="M731" s="136"/>
    </row>
    <row r="732" ht="12.75">
      <c r="M732" s="136"/>
    </row>
    <row r="733" ht="12.75">
      <c r="M733" s="136"/>
    </row>
    <row r="734" ht="12.75">
      <c r="M734" s="136"/>
    </row>
    <row r="735" ht="12.75">
      <c r="M735" s="136"/>
    </row>
    <row r="736" ht="12.75">
      <c r="M736" s="136"/>
    </row>
    <row r="737" ht="12.75">
      <c r="M737" s="136"/>
    </row>
    <row r="738" ht="12.75">
      <c r="M738" s="136"/>
    </row>
    <row r="739" ht="12.75">
      <c r="M739" s="136"/>
    </row>
    <row r="740" ht="12.75">
      <c r="M740" s="136"/>
    </row>
    <row r="741" ht="12.75">
      <c r="M741" s="136"/>
    </row>
    <row r="742" ht="12.75">
      <c r="M742" s="136"/>
    </row>
    <row r="743" ht="12.75">
      <c r="M743" s="136"/>
    </row>
    <row r="744" ht="12.75">
      <c r="M744" s="136"/>
    </row>
    <row r="745" ht="12.75">
      <c r="M745" s="136"/>
    </row>
    <row r="746" ht="12.75">
      <c r="M746" s="136"/>
    </row>
    <row r="747" ht="12.75">
      <c r="M747" s="136"/>
    </row>
    <row r="748" ht="12.75">
      <c r="M748" s="136"/>
    </row>
    <row r="749" ht="12.75">
      <c r="M749" s="136"/>
    </row>
    <row r="750" ht="12.75">
      <c r="M750" s="136"/>
    </row>
    <row r="751" ht="12.75">
      <c r="M751" s="136"/>
    </row>
    <row r="752" ht="12.75">
      <c r="M752" s="136"/>
    </row>
    <row r="753" ht="12.75">
      <c r="M753" s="136"/>
    </row>
    <row r="754" ht="12.75">
      <c r="M754" s="136"/>
    </row>
    <row r="755" ht="12.75">
      <c r="M755" s="136"/>
    </row>
    <row r="756" ht="12.75">
      <c r="M756" s="136"/>
    </row>
    <row r="757" ht="12.75">
      <c r="M757" s="136"/>
    </row>
    <row r="758" ht="12.75">
      <c r="M758" s="136"/>
    </row>
    <row r="759" ht="12.75">
      <c r="M759" s="136"/>
    </row>
    <row r="760" ht="12.75">
      <c r="M760" s="136"/>
    </row>
    <row r="761" ht="12.75">
      <c r="M761" s="136"/>
    </row>
    <row r="762" ht="12.75">
      <c r="M762" s="136"/>
    </row>
    <row r="763" ht="12.75">
      <c r="M763" s="136"/>
    </row>
    <row r="764" ht="12.75">
      <c r="M764" s="136"/>
    </row>
    <row r="765" ht="12.75">
      <c r="M765" s="136"/>
    </row>
    <row r="766" ht="12.75">
      <c r="M766" s="136"/>
    </row>
    <row r="767" ht="12.75">
      <c r="M767" s="136"/>
    </row>
    <row r="768" ht="12.75">
      <c r="M768" s="136"/>
    </row>
    <row r="769" ht="12.75">
      <c r="M769" s="136"/>
    </row>
    <row r="770" ht="12.75">
      <c r="M770" s="136"/>
    </row>
    <row r="771" ht="12.75">
      <c r="M771" s="136"/>
    </row>
    <row r="772" ht="12.75">
      <c r="M772" s="136"/>
    </row>
    <row r="773" ht="12.75">
      <c r="M773" s="136"/>
    </row>
    <row r="774" ht="12.75">
      <c r="M774" s="136"/>
    </row>
    <row r="775" ht="12.75">
      <c r="M775" s="136"/>
    </row>
    <row r="776" ht="12.75">
      <c r="M776" s="136"/>
    </row>
    <row r="777" ht="12.75">
      <c r="M777" s="136"/>
    </row>
    <row r="778" ht="12.75">
      <c r="M778" s="136"/>
    </row>
    <row r="779" ht="12.75">
      <c r="M779" s="136"/>
    </row>
    <row r="780" ht="12.75">
      <c r="M780" s="136"/>
    </row>
    <row r="781" ht="12.75">
      <c r="M781" s="136"/>
    </row>
    <row r="782" ht="12.75">
      <c r="M782" s="136"/>
    </row>
    <row r="783" ht="12.75">
      <c r="M783" s="136"/>
    </row>
    <row r="784" ht="12.75">
      <c r="M784" s="136"/>
    </row>
    <row r="785" ht="12.75">
      <c r="M785" s="136"/>
    </row>
    <row r="786" ht="12.75">
      <c r="M786" s="136"/>
    </row>
    <row r="787" ht="12.75">
      <c r="M787" s="136"/>
    </row>
    <row r="788" ht="12.75">
      <c r="M788" s="136"/>
    </row>
    <row r="789" ht="12.75">
      <c r="M789" s="136"/>
    </row>
    <row r="790" ht="12.75">
      <c r="M790" s="136"/>
    </row>
    <row r="791" ht="12.75">
      <c r="M791" s="136"/>
    </row>
    <row r="792" ht="12.75">
      <c r="M792" s="136"/>
    </row>
    <row r="793" ht="12.75">
      <c r="M793" s="136"/>
    </row>
    <row r="794" ht="12.75">
      <c r="M794" s="136"/>
    </row>
    <row r="795" ht="12.75">
      <c r="M795" s="136"/>
    </row>
    <row r="796" ht="12.75">
      <c r="M796" s="136"/>
    </row>
    <row r="797" ht="12.75">
      <c r="M797" s="136"/>
    </row>
    <row r="798" ht="12.75">
      <c r="M798" s="136"/>
    </row>
    <row r="799" ht="12.75">
      <c r="M799" s="136"/>
    </row>
    <row r="800" ht="12.75">
      <c r="M800" s="136"/>
    </row>
    <row r="801" ht="12.75">
      <c r="M801" s="136"/>
    </row>
    <row r="802" ht="12.75">
      <c r="M802" s="136"/>
    </row>
    <row r="803" ht="12.75">
      <c r="M803" s="136"/>
    </row>
    <row r="804" ht="12.75">
      <c r="M804" s="136"/>
    </row>
    <row r="805" ht="12.75">
      <c r="M805" s="136"/>
    </row>
    <row r="806" ht="12.75">
      <c r="M806" s="136"/>
    </row>
    <row r="807" ht="12.75">
      <c r="M807" s="136"/>
    </row>
    <row r="808" ht="12.75">
      <c r="M808" s="136"/>
    </row>
    <row r="809" ht="12.75">
      <c r="M809" s="136"/>
    </row>
    <row r="810" ht="12.75">
      <c r="M810" s="136"/>
    </row>
    <row r="811" ht="12.75">
      <c r="M811" s="136"/>
    </row>
    <row r="812" ht="12.75">
      <c r="M812" s="136"/>
    </row>
    <row r="813" ht="12.75">
      <c r="M813" s="136"/>
    </row>
    <row r="814" ht="12.75">
      <c r="M814" s="136"/>
    </row>
    <row r="815" ht="12.75">
      <c r="M815" s="136"/>
    </row>
    <row r="816" ht="12.75">
      <c r="M816" s="136"/>
    </row>
    <row r="817" ht="12.75">
      <c r="M817" s="136"/>
    </row>
    <row r="818" ht="12.75">
      <c r="M818" s="136"/>
    </row>
    <row r="819" ht="12.75">
      <c r="M819" s="136"/>
    </row>
    <row r="820" ht="12.75">
      <c r="M820" s="136"/>
    </row>
    <row r="821" ht="12.75">
      <c r="M821" s="136"/>
    </row>
    <row r="822" ht="12.75">
      <c r="M822" s="136"/>
    </row>
    <row r="823" ht="12.75">
      <c r="M823" s="136"/>
    </row>
    <row r="824" ht="12.75">
      <c r="M824" s="136"/>
    </row>
    <row r="825" ht="12.75">
      <c r="M825" s="136"/>
    </row>
    <row r="826" ht="12.75">
      <c r="M826" s="136"/>
    </row>
    <row r="827" ht="12.75">
      <c r="M827" s="136"/>
    </row>
    <row r="828" ht="12.75">
      <c r="M828" s="136"/>
    </row>
    <row r="829" ht="12.75">
      <c r="M829" s="136"/>
    </row>
    <row r="830" ht="12.75">
      <c r="M830" s="136"/>
    </row>
    <row r="831" ht="12.75">
      <c r="M831" s="136"/>
    </row>
    <row r="832" ht="12.75">
      <c r="M832" s="136"/>
    </row>
    <row r="833" ht="12.75">
      <c r="M833" s="136"/>
    </row>
    <row r="834" ht="12.75">
      <c r="M834" s="136"/>
    </row>
    <row r="835" ht="12.75">
      <c r="M835" s="136"/>
    </row>
    <row r="836" ht="12.75">
      <c r="M836" s="136"/>
    </row>
    <row r="837" ht="12.75">
      <c r="M837" s="136"/>
    </row>
    <row r="838" ht="12.75">
      <c r="M838" s="136"/>
    </row>
    <row r="839" ht="12.75">
      <c r="M839" s="136"/>
    </row>
    <row r="840" ht="12.75">
      <c r="M840" s="136"/>
    </row>
    <row r="841" ht="12.75">
      <c r="M841" s="136"/>
    </row>
    <row r="842" ht="12.75">
      <c r="M842" s="136"/>
    </row>
    <row r="843" ht="12.75">
      <c r="M843" s="136"/>
    </row>
    <row r="844" ht="12.75">
      <c r="M844" s="136"/>
    </row>
    <row r="845" ht="12.75">
      <c r="M845" s="136"/>
    </row>
    <row r="846" ht="12.75">
      <c r="M846" s="136"/>
    </row>
    <row r="847" ht="12.75">
      <c r="M847" s="136"/>
    </row>
    <row r="848" ht="12.75">
      <c r="M848" s="136"/>
    </row>
    <row r="849" ht="12.75">
      <c r="M849" s="136"/>
    </row>
    <row r="850" ht="12.75">
      <c r="M850" s="136"/>
    </row>
    <row r="851" ht="12.75">
      <c r="M851" s="136"/>
    </row>
    <row r="852" ht="12.75">
      <c r="M852" s="136"/>
    </row>
    <row r="853" ht="12.75">
      <c r="M853" s="136"/>
    </row>
    <row r="854" ht="12.75">
      <c r="M854" s="136"/>
    </row>
    <row r="855" ht="12.75">
      <c r="M855" s="136"/>
    </row>
    <row r="856" ht="12.75">
      <c r="M856" s="136"/>
    </row>
    <row r="857" ht="12.75">
      <c r="M857" s="136"/>
    </row>
    <row r="858" ht="12.75">
      <c r="M858" s="136"/>
    </row>
    <row r="859" ht="12.75">
      <c r="M859" s="136"/>
    </row>
    <row r="860" ht="12.75">
      <c r="M860" s="136"/>
    </row>
    <row r="861" ht="12.75">
      <c r="M861" s="136"/>
    </row>
    <row r="862" ht="12.75">
      <c r="M862" s="136"/>
    </row>
    <row r="863" ht="12.75">
      <c r="M863" s="136"/>
    </row>
    <row r="864" ht="12.75">
      <c r="M864" s="136"/>
    </row>
    <row r="865" ht="12.75">
      <c r="M865" s="137"/>
    </row>
    <row r="866" ht="12.75">
      <c r="M866" s="137"/>
    </row>
    <row r="867" ht="12.75">
      <c r="M867" s="137"/>
    </row>
    <row r="868" ht="12.75">
      <c r="M868" s="137"/>
    </row>
    <row r="869" ht="12.75">
      <c r="M869" s="137"/>
    </row>
    <row r="870" ht="12.75">
      <c r="M870" s="137"/>
    </row>
    <row r="871" ht="12.75">
      <c r="M871" s="137"/>
    </row>
    <row r="872" ht="12.75">
      <c r="M872" s="137"/>
    </row>
    <row r="873" ht="12.75">
      <c r="M873" s="137"/>
    </row>
    <row r="874" ht="12.75">
      <c r="M874" s="137"/>
    </row>
    <row r="875" ht="12.75">
      <c r="M875" s="137"/>
    </row>
    <row r="876" ht="12.75">
      <c r="M876" s="137"/>
    </row>
    <row r="877" ht="12.75">
      <c r="M877" s="137"/>
    </row>
    <row r="878" ht="12.75">
      <c r="M878" s="137"/>
    </row>
    <row r="879" ht="12.75">
      <c r="M879" s="137"/>
    </row>
    <row r="880" ht="12.75">
      <c r="M880" s="137"/>
    </row>
    <row r="881" ht="12.75">
      <c r="M881" s="137"/>
    </row>
    <row r="882" ht="12.75">
      <c r="M882" s="137"/>
    </row>
    <row r="883" ht="12.75">
      <c r="M883" s="137"/>
    </row>
    <row r="884" ht="12.75">
      <c r="M884" s="137"/>
    </row>
    <row r="885" ht="12.75">
      <c r="M885" s="137"/>
    </row>
    <row r="886" ht="12.75">
      <c r="M886" s="137"/>
    </row>
    <row r="887" ht="12.75">
      <c r="M887" s="137"/>
    </row>
    <row r="888" ht="12.75">
      <c r="M888" s="137"/>
    </row>
    <row r="889" ht="12.75">
      <c r="M889" s="137"/>
    </row>
    <row r="890" ht="12.75">
      <c r="M890" s="137"/>
    </row>
    <row r="891" ht="12.75">
      <c r="M891" s="137"/>
    </row>
    <row r="892" ht="12.75">
      <c r="M892" s="137"/>
    </row>
    <row r="893" ht="12.75">
      <c r="M893" s="137"/>
    </row>
    <row r="894" ht="12.75">
      <c r="M894" s="137"/>
    </row>
    <row r="895" ht="12.75">
      <c r="M895" s="137"/>
    </row>
    <row r="896" ht="12.75">
      <c r="M896" s="137"/>
    </row>
    <row r="897" ht="12.75">
      <c r="M897" s="137"/>
    </row>
    <row r="898" ht="12.75">
      <c r="M898" s="137"/>
    </row>
    <row r="899" ht="12.75">
      <c r="M899" s="137"/>
    </row>
    <row r="900" ht="12.75">
      <c r="M900" s="137"/>
    </row>
    <row r="901" ht="12.75">
      <c r="M901" s="137"/>
    </row>
    <row r="902" ht="12.75">
      <c r="M902" s="137"/>
    </row>
    <row r="903" ht="12.75">
      <c r="M903" s="137"/>
    </row>
    <row r="904" ht="12.75">
      <c r="M904" s="137"/>
    </row>
    <row r="905" ht="12.75">
      <c r="M905" s="137"/>
    </row>
    <row r="906" ht="12.75">
      <c r="M906" s="137"/>
    </row>
    <row r="907" ht="12.75">
      <c r="M907" s="137"/>
    </row>
    <row r="908" ht="12.75">
      <c r="M908" s="137"/>
    </row>
    <row r="909" ht="12.75">
      <c r="M909" s="137"/>
    </row>
    <row r="910" ht="12.75">
      <c r="M910" s="137"/>
    </row>
    <row r="911" ht="12.75">
      <c r="M911" s="137"/>
    </row>
    <row r="912" ht="12.75">
      <c r="M912" s="137"/>
    </row>
    <row r="913" ht="12.75">
      <c r="M913" s="137"/>
    </row>
    <row r="914" ht="12.75">
      <c r="M914" s="137"/>
    </row>
    <row r="915" ht="12.75">
      <c r="M915" s="137"/>
    </row>
    <row r="916" ht="12.75">
      <c r="M916" s="137"/>
    </row>
    <row r="917" ht="12.75">
      <c r="M917" s="137"/>
    </row>
    <row r="918" ht="12.75">
      <c r="M918" s="137"/>
    </row>
    <row r="919" ht="12.75">
      <c r="M919" s="137"/>
    </row>
    <row r="920" ht="12.75">
      <c r="M920" s="137"/>
    </row>
    <row r="921" ht="12.75">
      <c r="M921" s="137"/>
    </row>
    <row r="922" ht="12.75">
      <c r="M922" s="137"/>
    </row>
    <row r="923" ht="12.75">
      <c r="M923" s="137"/>
    </row>
    <row r="924" ht="12.75">
      <c r="M924" s="137"/>
    </row>
    <row r="925" ht="12.75">
      <c r="M925" s="137"/>
    </row>
    <row r="926" ht="12.75">
      <c r="M926" s="137"/>
    </row>
    <row r="927" ht="12.75">
      <c r="M927" s="137"/>
    </row>
    <row r="928" ht="12.75">
      <c r="M928" s="137"/>
    </row>
    <row r="929" ht="12.75">
      <c r="M929" s="137"/>
    </row>
    <row r="930" ht="12.75">
      <c r="M930" s="137"/>
    </row>
    <row r="931" ht="12.75">
      <c r="M931" s="137"/>
    </row>
    <row r="932" ht="12.75">
      <c r="M932" s="137"/>
    </row>
    <row r="933" ht="12.75">
      <c r="M933" s="137"/>
    </row>
    <row r="934" ht="12.75">
      <c r="M934" s="137"/>
    </row>
    <row r="935" ht="12.75">
      <c r="M935" s="137"/>
    </row>
    <row r="936" ht="12.75">
      <c r="M936" s="137"/>
    </row>
    <row r="937" ht="12.75">
      <c r="M937" s="137"/>
    </row>
    <row r="938" ht="12.75">
      <c r="M938" s="137"/>
    </row>
    <row r="939" ht="12.75">
      <c r="M939" s="137"/>
    </row>
    <row r="940" ht="12.75">
      <c r="M940" s="137"/>
    </row>
    <row r="941" ht="12.75">
      <c r="M941" s="137"/>
    </row>
    <row r="942" ht="12.75">
      <c r="M942" s="137"/>
    </row>
    <row r="943" ht="12.75">
      <c r="M943" s="137"/>
    </row>
    <row r="944" ht="12.75">
      <c r="M944" s="137"/>
    </row>
    <row r="945" ht="12.75">
      <c r="M945" s="137"/>
    </row>
    <row r="946" ht="12.75">
      <c r="M946" s="137"/>
    </row>
    <row r="947" ht="12.75">
      <c r="M947" s="137"/>
    </row>
    <row r="948" ht="12.75">
      <c r="M948" s="137"/>
    </row>
    <row r="949" ht="12.75">
      <c r="M949" s="137"/>
    </row>
    <row r="950" ht="12.75">
      <c r="M950" s="137"/>
    </row>
    <row r="951" ht="12.75">
      <c r="M951" s="137"/>
    </row>
    <row r="952" ht="12.75">
      <c r="M952" s="137"/>
    </row>
    <row r="953" ht="12.75">
      <c r="M953" s="137"/>
    </row>
    <row r="954" ht="12.75">
      <c r="M954" s="137"/>
    </row>
    <row r="955" ht="12.75">
      <c r="M955" s="137"/>
    </row>
    <row r="956" ht="12.75">
      <c r="M956" s="137"/>
    </row>
    <row r="957" ht="12.75">
      <c r="M957" s="137"/>
    </row>
    <row r="958" ht="12.75">
      <c r="M958" s="137"/>
    </row>
    <row r="959" ht="12.75">
      <c r="M959" s="137"/>
    </row>
    <row r="960" ht="12.75">
      <c r="M960" s="137"/>
    </row>
    <row r="961" ht="12.75">
      <c r="M961" s="137"/>
    </row>
    <row r="962" ht="12.75">
      <c r="M962" s="137"/>
    </row>
    <row r="963" ht="12.75">
      <c r="M963" s="137"/>
    </row>
    <row r="964" ht="12.75">
      <c r="M964" s="137"/>
    </row>
    <row r="965" ht="12.75">
      <c r="M965" s="137"/>
    </row>
    <row r="966" ht="12.75">
      <c r="M966" s="137"/>
    </row>
    <row r="967" ht="12.75">
      <c r="M967" s="137"/>
    </row>
    <row r="968" ht="12.75">
      <c r="M968" s="137"/>
    </row>
    <row r="969" ht="12.75">
      <c r="M969" s="137"/>
    </row>
    <row r="970" ht="12.75">
      <c r="M970" s="137"/>
    </row>
    <row r="971" ht="12.75">
      <c r="M971" s="137"/>
    </row>
    <row r="972" ht="12.75">
      <c r="M972" s="137"/>
    </row>
    <row r="973" ht="12.75">
      <c r="M973" s="137"/>
    </row>
    <row r="974" ht="12.75">
      <c r="M974" s="137"/>
    </row>
    <row r="975" ht="12.75">
      <c r="M975" s="137"/>
    </row>
    <row r="976" ht="12.75">
      <c r="M976" s="137"/>
    </row>
    <row r="977" ht="12.75">
      <c r="M977" s="137"/>
    </row>
    <row r="978" ht="12.75">
      <c r="M978" s="137"/>
    </row>
    <row r="979" ht="12.75">
      <c r="M979" s="137"/>
    </row>
    <row r="980" ht="12.75">
      <c r="M980" s="137"/>
    </row>
    <row r="981" ht="12.75">
      <c r="M981" s="137"/>
    </row>
    <row r="982" ht="12.75">
      <c r="M982" s="137"/>
    </row>
    <row r="983" ht="12.75">
      <c r="M983" s="137"/>
    </row>
    <row r="984" ht="12.75">
      <c r="M984" s="137"/>
    </row>
    <row r="985" ht="12.75">
      <c r="M985" s="137"/>
    </row>
    <row r="986" ht="12.75">
      <c r="M986" s="137"/>
    </row>
    <row r="987" ht="12.75">
      <c r="M987" s="137"/>
    </row>
    <row r="988" ht="12.75">
      <c r="M988" s="137"/>
    </row>
    <row r="989" ht="12.75">
      <c r="M989" s="137"/>
    </row>
    <row r="990" ht="12.75">
      <c r="M990" s="137"/>
    </row>
    <row r="991" ht="12.75">
      <c r="M991" s="137"/>
    </row>
    <row r="992" ht="12.75">
      <c r="M992" s="137"/>
    </row>
    <row r="993" ht="12.75">
      <c r="M993" s="137"/>
    </row>
    <row r="994" ht="12.75">
      <c r="M994" s="137"/>
    </row>
    <row r="995" ht="12.75">
      <c r="M995" s="137"/>
    </row>
    <row r="996" ht="12.75">
      <c r="M996" s="137"/>
    </row>
    <row r="997" ht="12.75">
      <c r="M997" s="137"/>
    </row>
    <row r="998" ht="12.75">
      <c r="M998" s="137"/>
    </row>
    <row r="999" ht="12.75">
      <c r="M999" s="137"/>
    </row>
    <row r="1000" ht="12.75">
      <c r="M1000" s="137"/>
    </row>
    <row r="1001" ht="12.75">
      <c r="M1001" s="137"/>
    </row>
    <row r="1002" ht="12.75">
      <c r="M1002" s="137"/>
    </row>
    <row r="1003" ht="12.75">
      <c r="M1003" s="137"/>
    </row>
    <row r="1004" ht="12.75">
      <c r="M1004" s="137"/>
    </row>
    <row r="1005" ht="12.75">
      <c r="M1005" s="137"/>
    </row>
    <row r="1006" ht="12.75">
      <c r="M1006" s="137"/>
    </row>
    <row r="1007" ht="12.75">
      <c r="M1007" s="137"/>
    </row>
    <row r="1008" ht="12.75">
      <c r="M1008" s="137"/>
    </row>
    <row r="1009" ht="12.75">
      <c r="M1009" s="137"/>
    </row>
    <row r="1010" ht="12.75">
      <c r="M1010" s="137"/>
    </row>
    <row r="1011" ht="12.75">
      <c r="M1011" s="137"/>
    </row>
    <row r="1012" ht="12.75">
      <c r="M1012" s="137"/>
    </row>
    <row r="1013" ht="12.75">
      <c r="M1013" s="137"/>
    </row>
    <row r="1014" ht="12.75">
      <c r="M1014" s="137"/>
    </row>
    <row r="1015" ht="12.75">
      <c r="M1015" s="137"/>
    </row>
    <row r="1016" ht="12.75">
      <c r="M1016" s="137"/>
    </row>
    <row r="1017" ht="12.75">
      <c r="M1017" s="137"/>
    </row>
    <row r="1018" ht="12.75">
      <c r="M1018" s="137"/>
    </row>
    <row r="1019" ht="12.75">
      <c r="M1019" s="137"/>
    </row>
    <row r="1020" ht="12.75">
      <c r="M1020" s="137"/>
    </row>
    <row r="1021" ht="12.75">
      <c r="M1021" s="137"/>
    </row>
    <row r="1022" ht="12.75">
      <c r="M1022" s="137"/>
    </row>
    <row r="1023" ht="12.75">
      <c r="M1023" s="137"/>
    </row>
    <row r="1024" ht="12.75">
      <c r="M1024" s="137"/>
    </row>
    <row r="1025" ht="12.75">
      <c r="M1025" s="137"/>
    </row>
    <row r="1026" ht="12.75">
      <c r="M1026" s="137"/>
    </row>
    <row r="1027" ht="12.75">
      <c r="M1027" s="137"/>
    </row>
    <row r="1028" ht="12.75">
      <c r="M1028" s="137"/>
    </row>
    <row r="1029" ht="12.75">
      <c r="M1029" s="137"/>
    </row>
    <row r="1030" ht="12.75">
      <c r="M1030" s="137"/>
    </row>
    <row r="1031" ht="12.75">
      <c r="M1031" s="137"/>
    </row>
    <row r="1032" ht="12.75">
      <c r="M1032" s="137"/>
    </row>
    <row r="1033" ht="12.75">
      <c r="M1033" s="137"/>
    </row>
    <row r="1034" ht="12.75">
      <c r="M1034" s="137"/>
    </row>
    <row r="1035" ht="12.75">
      <c r="M1035" s="137"/>
    </row>
    <row r="1036" ht="12.75">
      <c r="M1036" s="137"/>
    </row>
    <row r="1037" ht="12.75">
      <c r="M1037" s="137"/>
    </row>
    <row r="1038" ht="12.75">
      <c r="M1038" s="137"/>
    </row>
    <row r="1039" ht="12.75">
      <c r="M1039" s="137"/>
    </row>
    <row r="1040" ht="12.75">
      <c r="M1040" s="137"/>
    </row>
    <row r="1041" ht="12.75">
      <c r="M1041" s="137"/>
    </row>
    <row r="1042" ht="12.75">
      <c r="M1042" s="137"/>
    </row>
    <row r="1043" ht="12.75">
      <c r="M1043" s="137"/>
    </row>
    <row r="1044" ht="12.75">
      <c r="M1044" s="137"/>
    </row>
    <row r="1045" ht="12.75">
      <c r="M1045" s="137"/>
    </row>
    <row r="1046" ht="12.75">
      <c r="M1046" s="137"/>
    </row>
    <row r="1047" ht="12.75">
      <c r="M1047" s="137"/>
    </row>
    <row r="1048" ht="12.75">
      <c r="M1048" s="137"/>
    </row>
    <row r="1049" ht="12.75">
      <c r="M1049" s="137"/>
    </row>
    <row r="1050" ht="12.75">
      <c r="M1050" s="137"/>
    </row>
    <row r="1051" ht="12.75">
      <c r="M1051" s="137"/>
    </row>
    <row r="1052" ht="12.75">
      <c r="M1052" s="137"/>
    </row>
    <row r="1053" ht="12.75">
      <c r="M1053" s="137"/>
    </row>
    <row r="1054" ht="12.75">
      <c r="M1054" s="137"/>
    </row>
    <row r="1055" ht="12.75">
      <c r="M1055" s="137"/>
    </row>
    <row r="1056" ht="12.75">
      <c r="M1056" s="137"/>
    </row>
    <row r="1057" ht="12.75">
      <c r="M1057" s="137"/>
    </row>
    <row r="1058" ht="12.75">
      <c r="M1058" s="137"/>
    </row>
    <row r="1059" ht="12.75">
      <c r="M1059" s="137"/>
    </row>
    <row r="1060" ht="12.75">
      <c r="M1060" s="137"/>
    </row>
    <row r="1061" ht="12.75">
      <c r="M1061" s="137"/>
    </row>
    <row r="1062" ht="12.75">
      <c r="M1062" s="137"/>
    </row>
    <row r="1063" ht="12.75">
      <c r="M1063" s="137"/>
    </row>
    <row r="1064" ht="12.75">
      <c r="M1064" s="137"/>
    </row>
    <row r="1065" ht="12.75">
      <c r="M1065" s="137"/>
    </row>
  </sheetData>
  <sheetProtection/>
  <printOptions/>
  <pageMargins left="1.6535433070866143" right="0.15748031496062992" top="0.984251968503937" bottom="0.984251968503937" header="0.3937007874015748" footer="0.1968503937007874"/>
  <pageSetup horizontalDpi="120" verticalDpi="120" orientation="landscape" paperSize="5" scale="50" r:id="rId1"/>
  <headerFooter alignWithMargins="0">
    <oddHeader>&amp;CALCALDIA MUNICIPIO DE PUERTO CARREÑO
ANALISIS FINANCIERO 2009
&amp;R&amp;N</oddHeader>
    <oddFooter>&amp;RTrabajando con la Gente!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BV7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285" customWidth="1"/>
    <col min="2" max="2" width="6.28125" style="285" customWidth="1"/>
    <col min="3" max="3" width="24.7109375" style="285" customWidth="1"/>
    <col min="4" max="4" width="8.8515625" style="285" customWidth="1"/>
    <col min="5" max="7" width="11.421875" style="285" customWidth="1"/>
    <col min="8" max="8" width="12.57421875" style="285" customWidth="1"/>
    <col min="9" max="12" width="11.421875" style="285" customWidth="1"/>
    <col min="13" max="13" width="12.57421875" style="285" bestFit="1" customWidth="1"/>
    <col min="14" max="14" width="11.421875" style="285" customWidth="1"/>
    <col min="15" max="16" width="12.8515625" style="285" customWidth="1"/>
    <col min="17" max="18" width="12.28125" style="285" customWidth="1"/>
    <col min="19" max="19" width="17.140625" style="285" customWidth="1"/>
    <col min="20" max="20" width="10.8515625" style="285" customWidth="1"/>
    <col min="21" max="21" width="10.140625" style="285" customWidth="1"/>
    <col min="22" max="22" width="14.00390625" style="285" customWidth="1"/>
    <col min="23" max="32" width="11.421875" style="285" customWidth="1"/>
    <col min="33" max="33" width="13.57421875" style="285" bestFit="1" customWidth="1"/>
    <col min="34" max="16384" width="11.421875" style="285" customWidth="1"/>
  </cols>
  <sheetData>
    <row r="1" spans="2:74" s="201" customFormat="1" ht="9">
      <c r="B1" s="197"/>
      <c r="C1" s="198"/>
      <c r="D1" s="198"/>
      <c r="E1" s="199"/>
      <c r="F1" s="200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</row>
    <row r="2" spans="2:74" s="201" customFormat="1" ht="9">
      <c r="B2" s="197"/>
      <c r="C2" s="198"/>
      <c r="D2" s="198"/>
      <c r="E2" s="199"/>
      <c r="F2" s="200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</row>
    <row r="3" spans="2:74" s="201" customFormat="1" ht="9">
      <c r="B3" s="197"/>
      <c r="C3" s="198"/>
      <c r="D3" s="198"/>
      <c r="E3" s="199"/>
      <c r="F3" s="200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</row>
    <row r="4" spans="2:74" s="208" customFormat="1" ht="9">
      <c r="B4" s="202"/>
      <c r="C4" s="202"/>
      <c r="D4" s="203"/>
      <c r="E4" s="204"/>
      <c r="F4" s="205"/>
      <c r="G4" s="202"/>
      <c r="H4" s="202"/>
      <c r="I4" s="202"/>
      <c r="J4" s="206">
        <v>993591</v>
      </c>
      <c r="K4" s="206">
        <v>867400</v>
      </c>
      <c r="L4" s="207">
        <v>995949</v>
      </c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198"/>
      <c r="AE4" s="198"/>
      <c r="AF4" s="198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</row>
    <row r="5" spans="2:74" s="215" customFormat="1" ht="9">
      <c r="B5" s="209" t="s">
        <v>93</v>
      </c>
      <c r="C5" s="210" t="s">
        <v>94</v>
      </c>
      <c r="D5" s="209" t="s">
        <v>95</v>
      </c>
      <c r="E5" s="211" t="s">
        <v>96</v>
      </c>
      <c r="F5" s="212" t="s">
        <v>97</v>
      </c>
      <c r="G5" s="211" t="s">
        <v>98</v>
      </c>
      <c r="H5" s="209" t="s">
        <v>99</v>
      </c>
      <c r="I5" s="210" t="s">
        <v>100</v>
      </c>
      <c r="J5" s="209" t="s">
        <v>101</v>
      </c>
      <c r="K5" s="210" t="s">
        <v>102</v>
      </c>
      <c r="L5" s="209" t="s">
        <v>103</v>
      </c>
      <c r="M5" s="210" t="s">
        <v>104</v>
      </c>
      <c r="N5" s="213" t="s">
        <v>105</v>
      </c>
      <c r="O5" s="209" t="s">
        <v>106</v>
      </c>
      <c r="P5" s="210"/>
      <c r="Q5" s="210"/>
      <c r="R5" s="210"/>
      <c r="S5" s="210" t="s">
        <v>94</v>
      </c>
      <c r="T5" s="209" t="s">
        <v>107</v>
      </c>
      <c r="U5" s="210" t="s">
        <v>108</v>
      </c>
      <c r="V5" s="209" t="s">
        <v>109</v>
      </c>
      <c r="W5" s="210" t="s">
        <v>110</v>
      </c>
      <c r="X5" s="214">
        <v>0.12</v>
      </c>
      <c r="Y5" s="209" t="s">
        <v>111</v>
      </c>
      <c r="Z5" s="210" t="s">
        <v>112</v>
      </c>
      <c r="AA5" s="209" t="s">
        <v>113</v>
      </c>
      <c r="AB5" s="210" t="s">
        <v>114</v>
      </c>
      <c r="AC5" s="209" t="s">
        <v>115</v>
      </c>
      <c r="AD5" s="210" t="s">
        <v>116</v>
      </c>
      <c r="AE5" s="209" t="s">
        <v>117</v>
      </c>
      <c r="AF5" s="210" t="s">
        <v>118</v>
      </c>
      <c r="AG5" s="209" t="s">
        <v>109</v>
      </c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</row>
    <row r="6" spans="2:74" s="215" customFormat="1" ht="9.75" thickBot="1">
      <c r="B6" s="216" t="s">
        <v>119</v>
      </c>
      <c r="C6" s="217"/>
      <c r="D6" s="216" t="s">
        <v>120</v>
      </c>
      <c r="E6" s="218" t="s">
        <v>299</v>
      </c>
      <c r="F6" s="219"/>
      <c r="G6" s="218">
        <v>2009</v>
      </c>
      <c r="H6" s="216" t="s">
        <v>122</v>
      </c>
      <c r="I6" s="217" t="s">
        <v>123</v>
      </c>
      <c r="J6" s="220">
        <v>37110</v>
      </c>
      <c r="K6" s="221">
        <v>53086</v>
      </c>
      <c r="L6" s="216" t="s">
        <v>124</v>
      </c>
      <c r="M6" s="222" t="s">
        <v>125</v>
      </c>
      <c r="N6" s="223" t="s">
        <v>126</v>
      </c>
      <c r="O6" s="224" t="s">
        <v>127</v>
      </c>
      <c r="P6" s="225"/>
      <c r="Q6" s="225"/>
      <c r="R6" s="225"/>
      <c r="S6" s="217"/>
      <c r="T6" s="216" t="s">
        <v>128</v>
      </c>
      <c r="U6" s="222" t="s">
        <v>126</v>
      </c>
      <c r="V6" s="216" t="s">
        <v>129</v>
      </c>
      <c r="W6" s="222" t="s">
        <v>130</v>
      </c>
      <c r="X6" s="216" t="s">
        <v>276</v>
      </c>
      <c r="Y6" s="216" t="s">
        <v>131</v>
      </c>
      <c r="Z6" s="222" t="s">
        <v>132</v>
      </c>
      <c r="AA6" s="216" t="s">
        <v>133</v>
      </c>
      <c r="AB6" s="222" t="s">
        <v>134</v>
      </c>
      <c r="AC6" s="216" t="s">
        <v>135</v>
      </c>
      <c r="AD6" s="222"/>
      <c r="AE6" s="216"/>
      <c r="AF6" s="222" t="s">
        <v>136</v>
      </c>
      <c r="AG6" s="216" t="s">
        <v>137</v>
      </c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</row>
    <row r="7" spans="2:74" s="201" customFormat="1" ht="9">
      <c r="B7" s="226">
        <v>1</v>
      </c>
      <c r="C7" s="227" t="s">
        <v>138</v>
      </c>
      <c r="D7" s="226">
        <v>1</v>
      </c>
      <c r="E7" s="228">
        <v>2404425</v>
      </c>
      <c r="F7" s="229">
        <v>0.05</v>
      </c>
      <c r="G7" s="230">
        <f>+E7*(1+F7)</f>
        <v>2524646.25</v>
      </c>
      <c r="H7" s="231">
        <f aca="true" t="shared" si="0" ref="H7:H26">B7*G7*12</f>
        <v>30295755</v>
      </c>
      <c r="I7" s="232">
        <v>20000000</v>
      </c>
      <c r="J7" s="231">
        <f aca="true" t="shared" si="1" ref="J7:J14">(IF(+G7&lt;=+$J$4,+$J$6,0))*12*B7</f>
        <v>0</v>
      </c>
      <c r="K7" s="230">
        <f aca="true" t="shared" si="2" ref="K7:K13">(IF(+G7&lt;=+$K$4,+$K$6,0))*12</f>
        <v>0</v>
      </c>
      <c r="L7" s="231">
        <f aca="true" t="shared" si="3" ref="L7:L14">(IF(+G7&lt;=+$L$4,(G7*0.5),(G7*0.35)))*B7</f>
        <v>883626.1875</v>
      </c>
      <c r="M7" s="230">
        <f>(SUM(H7:L7)-I7)/24</f>
        <v>1299140.8828125</v>
      </c>
      <c r="N7" s="233">
        <f aca="true" t="shared" si="4" ref="N7:N26">(SUM(H7:M7)-I7)/24</f>
        <v>1353271.7529296875</v>
      </c>
      <c r="O7" s="231">
        <f aca="true" t="shared" si="5" ref="O7:O26">(SUM(H7:N7)-I7)/12</f>
        <v>2819316.151936849</v>
      </c>
      <c r="P7" s="230"/>
      <c r="Q7" s="230"/>
      <c r="R7" s="230"/>
      <c r="S7" s="227" t="s">
        <v>138</v>
      </c>
      <c r="T7" s="231">
        <f aca="true" t="shared" si="6" ref="T7:T26">H7/180</f>
        <v>168309.75</v>
      </c>
      <c r="U7" s="230">
        <f aca="true" t="shared" si="7" ref="U7:U26">((J7+K7+L7+M7)/12)*23/30</f>
        <v>139454.56282552084</v>
      </c>
      <c r="V7" s="231">
        <f aca="true" t="shared" si="8" ref="V7:V26">SUM(H7:U7)</f>
        <v>56958874.28800456</v>
      </c>
      <c r="W7" s="230">
        <f aca="true" t="shared" si="9" ref="W7:W26">(+V7-T7-I7)*8.33/100</f>
        <v>3064654.02601578</v>
      </c>
      <c r="X7" s="231">
        <f>W7*12%</f>
        <v>367758.4831218936</v>
      </c>
      <c r="Y7" s="231">
        <f>(+V7-O7-T7-K7-I7)*4/100</f>
        <v>1358849.9354427084</v>
      </c>
      <c r="Z7" s="230">
        <f aca="true" t="shared" si="10" ref="Z7:Z13">(+V7-O7-T7-K7-I7)*3/100</f>
        <v>1019137.4515820312</v>
      </c>
      <c r="AA7" s="231">
        <f aca="true" t="shared" si="11" ref="AA7:AA26">(+V7-O7-T7-K7-I7)*0.5/100</f>
        <v>169856.24193033855</v>
      </c>
      <c r="AB7" s="230">
        <f aca="true" t="shared" si="12" ref="AB7:AB26">+AA7</f>
        <v>169856.24193033855</v>
      </c>
      <c r="AC7" s="231">
        <f aca="true" t="shared" si="13" ref="AC7:AC26">+AB7*2</f>
        <v>339712.4838606771</v>
      </c>
      <c r="AD7" s="230">
        <f>(+H7+L7)*10.875/100</f>
        <v>3390757.704140625</v>
      </c>
      <c r="AE7" s="231">
        <f>(+H7+L7)*8/100</f>
        <v>2494350.495</v>
      </c>
      <c r="AF7" s="230">
        <f aca="true" t="shared" si="14" ref="AF7:AF26">(+H7+L7)*0.522/100</f>
        <v>162756.36979875</v>
      </c>
      <c r="AG7" s="231">
        <f aca="true" t="shared" si="15" ref="AG7:AG26">SUM(V7:AF7)</f>
        <v>69496563.7208277</v>
      </c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</row>
    <row r="8" spans="2:74" s="201" customFormat="1" ht="9">
      <c r="B8" s="226">
        <v>4</v>
      </c>
      <c r="C8" s="227" t="s">
        <v>139</v>
      </c>
      <c r="D8" s="226">
        <v>2</v>
      </c>
      <c r="E8" s="228">
        <v>1877288</v>
      </c>
      <c r="F8" s="229">
        <v>0.05</v>
      </c>
      <c r="G8" s="230">
        <f aca="true" t="shared" si="16" ref="G8:G26">+E8*(1+F8)</f>
        <v>1971152.4000000001</v>
      </c>
      <c r="H8" s="231">
        <f t="shared" si="0"/>
        <v>94615315.2</v>
      </c>
      <c r="I8" s="234"/>
      <c r="J8" s="231">
        <f t="shared" si="1"/>
        <v>0</v>
      </c>
      <c r="K8" s="230">
        <f t="shared" si="2"/>
        <v>0</v>
      </c>
      <c r="L8" s="231">
        <f t="shared" si="3"/>
        <v>2759613.36</v>
      </c>
      <c r="M8" s="230">
        <f aca="true" t="shared" si="17" ref="M8:M13">(H8+J8+K8+L8)/24</f>
        <v>4057288.69</v>
      </c>
      <c r="N8" s="233">
        <f t="shared" si="4"/>
        <v>4226342.385416667</v>
      </c>
      <c r="O8" s="231">
        <f t="shared" si="5"/>
        <v>8804879.969618056</v>
      </c>
      <c r="P8" s="230"/>
      <c r="Q8" s="230"/>
      <c r="R8" s="230"/>
      <c r="S8" s="227" t="s">
        <v>139</v>
      </c>
      <c r="T8" s="231">
        <f t="shared" si="6"/>
        <v>525640.64</v>
      </c>
      <c r="U8" s="230">
        <f t="shared" si="7"/>
        <v>435524.2976388888</v>
      </c>
      <c r="V8" s="231">
        <f t="shared" si="8"/>
        <v>115424604.54267362</v>
      </c>
      <c r="W8" s="230">
        <f t="shared" si="9"/>
        <v>9571083.693092711</v>
      </c>
      <c r="X8" s="231">
        <f aca="true" t="shared" si="18" ref="X8:X24">W8*12%</f>
        <v>1148530.0431711252</v>
      </c>
      <c r="Y8" s="231">
        <f aca="true" t="shared" si="19" ref="Y8:Y24">(+V8-O8-T8-K8-I8)*4/100</f>
        <v>4243763.357322223</v>
      </c>
      <c r="Z8" s="230">
        <f t="shared" si="10"/>
        <v>3182822.5179916667</v>
      </c>
      <c r="AA8" s="231">
        <f t="shared" si="11"/>
        <v>530470.4196652778</v>
      </c>
      <c r="AB8" s="230">
        <f t="shared" si="12"/>
        <v>530470.4196652778</v>
      </c>
      <c r="AC8" s="231">
        <f t="shared" si="13"/>
        <v>1060940.8393305556</v>
      </c>
      <c r="AD8" s="230">
        <f aca="true" t="shared" si="20" ref="AD8:AD26">(+H8+L8)*10.875/100</f>
        <v>10589523.4809</v>
      </c>
      <c r="AE8" s="231">
        <f aca="true" t="shared" si="21" ref="AE8:AE26">(+H8+L8)*8/100</f>
        <v>7789994.2848000005</v>
      </c>
      <c r="AF8" s="230">
        <f t="shared" si="14"/>
        <v>508297.1270832001</v>
      </c>
      <c r="AG8" s="231">
        <f t="shared" si="15"/>
        <v>154580500.72569564</v>
      </c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</row>
    <row r="9" spans="2:74" s="201" customFormat="1" ht="9" hidden="1">
      <c r="B9" s="226"/>
      <c r="C9" s="227"/>
      <c r="D9" s="226">
        <v>3</v>
      </c>
      <c r="E9" s="228"/>
      <c r="F9" s="229">
        <v>0.05</v>
      </c>
      <c r="G9" s="230">
        <f>+E9*(1+F9)</f>
        <v>0</v>
      </c>
      <c r="H9" s="231">
        <f t="shared" si="0"/>
        <v>0</v>
      </c>
      <c r="I9" s="234"/>
      <c r="J9" s="231">
        <f t="shared" si="1"/>
        <v>0</v>
      </c>
      <c r="K9" s="230">
        <f t="shared" si="2"/>
        <v>637032</v>
      </c>
      <c r="L9" s="231">
        <f t="shared" si="3"/>
        <v>0</v>
      </c>
      <c r="M9" s="230">
        <f t="shared" si="17"/>
        <v>26543</v>
      </c>
      <c r="N9" s="233">
        <f>(SUM(H9:M9)-I9)/24</f>
        <v>27648.958333333332</v>
      </c>
      <c r="O9" s="231">
        <f>(SUM(H9:N9)-I9)/12</f>
        <v>57601.99652777778</v>
      </c>
      <c r="P9" s="230"/>
      <c r="Q9" s="230"/>
      <c r="R9" s="230"/>
      <c r="S9" s="227" t="s">
        <v>139</v>
      </c>
      <c r="T9" s="231">
        <f>H9/180</f>
        <v>0</v>
      </c>
      <c r="U9" s="230">
        <f>((J9+K9+L9+M9)/12)*23/30</f>
        <v>42395.069444444445</v>
      </c>
      <c r="V9" s="231">
        <f>SUM(H9:U9)</f>
        <v>791221.0243055556</v>
      </c>
      <c r="W9" s="230">
        <f>(+V9-T9-I9)*8.33/100</f>
        <v>65908.71132465279</v>
      </c>
      <c r="X9" s="231">
        <f t="shared" si="18"/>
        <v>7909.045358958334</v>
      </c>
      <c r="Y9" s="231">
        <f>(+V9-O9-T9-K9-I9)*4/100</f>
        <v>3863.481111111115</v>
      </c>
      <c r="Z9" s="230">
        <f t="shared" si="10"/>
        <v>2897.610833333336</v>
      </c>
      <c r="AA9" s="231">
        <f>(+V9-O9-T9-K9-I9)*0.5/100</f>
        <v>482.93513888888936</v>
      </c>
      <c r="AB9" s="230">
        <f t="shared" si="12"/>
        <v>482.93513888888936</v>
      </c>
      <c r="AC9" s="231">
        <f t="shared" si="13"/>
        <v>965.8702777777787</v>
      </c>
      <c r="AD9" s="230">
        <f>(+H9+L9)*10.875/100</f>
        <v>0</v>
      </c>
      <c r="AE9" s="231">
        <f>(+H9+L9)*8/100</f>
        <v>0</v>
      </c>
      <c r="AF9" s="230">
        <f>(+H9+L9)*0.522/100</f>
        <v>0</v>
      </c>
      <c r="AG9" s="231">
        <f>SUM(V9:AF9)</f>
        <v>873731.6134891667</v>
      </c>
      <c r="AH9" s="235"/>
      <c r="AI9" s="235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</row>
    <row r="10" spans="2:74" s="201" customFormat="1" ht="9" hidden="1">
      <c r="B10" s="226"/>
      <c r="C10" s="227"/>
      <c r="D10" s="226">
        <v>4</v>
      </c>
      <c r="E10" s="228"/>
      <c r="F10" s="229">
        <v>0.05</v>
      </c>
      <c r="G10" s="230">
        <f>+E10*(1+F10)</f>
        <v>0</v>
      </c>
      <c r="H10" s="231">
        <f t="shared" si="0"/>
        <v>0</v>
      </c>
      <c r="I10" s="234"/>
      <c r="J10" s="231">
        <f t="shared" si="1"/>
        <v>0</v>
      </c>
      <c r="K10" s="230">
        <f t="shared" si="2"/>
        <v>637032</v>
      </c>
      <c r="L10" s="231">
        <f t="shared" si="3"/>
        <v>0</v>
      </c>
      <c r="M10" s="230">
        <f t="shared" si="17"/>
        <v>26543</v>
      </c>
      <c r="N10" s="233">
        <f>(SUM(H10:M10)-I10)/24</f>
        <v>27648.958333333332</v>
      </c>
      <c r="O10" s="231">
        <f>(SUM(H10:N10)-I10)/12</f>
        <v>57601.99652777778</v>
      </c>
      <c r="P10" s="230"/>
      <c r="Q10" s="230"/>
      <c r="R10" s="230"/>
      <c r="S10" s="227" t="s">
        <v>139</v>
      </c>
      <c r="T10" s="231">
        <f>H10/180</f>
        <v>0</v>
      </c>
      <c r="U10" s="230">
        <f>((J10+K10+L10+M10)/12)*23/30</f>
        <v>42395.069444444445</v>
      </c>
      <c r="V10" s="231">
        <f>SUM(H10:U10)</f>
        <v>791221.0243055556</v>
      </c>
      <c r="W10" s="230">
        <f>(+V10-T10-I10)*8.33/100</f>
        <v>65908.71132465279</v>
      </c>
      <c r="X10" s="231">
        <f t="shared" si="18"/>
        <v>7909.045358958334</v>
      </c>
      <c r="Y10" s="231">
        <f>(+V10-O10-T10-K10-I10)*4/100</f>
        <v>3863.481111111115</v>
      </c>
      <c r="Z10" s="230">
        <f t="shared" si="10"/>
        <v>2897.610833333336</v>
      </c>
      <c r="AA10" s="231">
        <f>(+V10-O10-T10-K10-I10)*0.5/100</f>
        <v>482.93513888888936</v>
      </c>
      <c r="AB10" s="230">
        <f t="shared" si="12"/>
        <v>482.93513888888936</v>
      </c>
      <c r="AC10" s="231">
        <f t="shared" si="13"/>
        <v>965.8702777777787</v>
      </c>
      <c r="AD10" s="230">
        <f>(+H10+L10)*10.875/100</f>
        <v>0</v>
      </c>
      <c r="AE10" s="231">
        <f>(+H10+L10)*8/100</f>
        <v>0</v>
      </c>
      <c r="AF10" s="230">
        <f>(+H10+L10)*0.522/100</f>
        <v>0</v>
      </c>
      <c r="AG10" s="231">
        <f>SUM(V10:AF10)</f>
        <v>873731.6134891667</v>
      </c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</row>
    <row r="11" spans="2:74" s="201" customFormat="1" ht="9" hidden="1">
      <c r="B11" s="226"/>
      <c r="C11" s="227"/>
      <c r="D11" s="226">
        <v>5</v>
      </c>
      <c r="E11" s="228"/>
      <c r="F11" s="229">
        <v>0.05</v>
      </c>
      <c r="G11" s="230">
        <f>+E11*(1+F11)</f>
        <v>0</v>
      </c>
      <c r="H11" s="231">
        <f t="shared" si="0"/>
        <v>0</v>
      </c>
      <c r="I11" s="234"/>
      <c r="J11" s="231">
        <f t="shared" si="1"/>
        <v>0</v>
      </c>
      <c r="K11" s="230">
        <f t="shared" si="2"/>
        <v>637032</v>
      </c>
      <c r="L11" s="231">
        <f t="shared" si="3"/>
        <v>0</v>
      </c>
      <c r="M11" s="230">
        <f t="shared" si="17"/>
        <v>26543</v>
      </c>
      <c r="N11" s="233">
        <f>(SUM(H11:M11)-I11)/24</f>
        <v>27648.958333333332</v>
      </c>
      <c r="O11" s="231">
        <f>(SUM(H11:N11)-I11)/12</f>
        <v>57601.99652777778</v>
      </c>
      <c r="P11" s="230"/>
      <c r="Q11" s="230"/>
      <c r="R11" s="230"/>
      <c r="S11" s="227" t="s">
        <v>139</v>
      </c>
      <c r="T11" s="231">
        <f>H11/180</f>
        <v>0</v>
      </c>
      <c r="U11" s="230">
        <f>((J11+K11+L11+M11)/12)*23/30</f>
        <v>42395.069444444445</v>
      </c>
      <c r="V11" s="231">
        <f>SUM(H11:U11)</f>
        <v>791221.0243055556</v>
      </c>
      <c r="W11" s="230">
        <f>(+V11-T11-I11)*8.33/100</f>
        <v>65908.71132465279</v>
      </c>
      <c r="X11" s="231">
        <f t="shared" si="18"/>
        <v>7909.045358958334</v>
      </c>
      <c r="Y11" s="231">
        <f>(+V11-O11-T11-K11-I11)*4/100</f>
        <v>3863.481111111115</v>
      </c>
      <c r="Z11" s="230">
        <f t="shared" si="10"/>
        <v>2897.610833333336</v>
      </c>
      <c r="AA11" s="231">
        <f>(+V11-O11-T11-K11-I11)*0.5/100</f>
        <v>482.93513888888936</v>
      </c>
      <c r="AB11" s="230">
        <f t="shared" si="12"/>
        <v>482.93513888888936</v>
      </c>
      <c r="AC11" s="231">
        <f t="shared" si="13"/>
        <v>965.8702777777787</v>
      </c>
      <c r="AD11" s="230">
        <f>(+H11+L11)*10.875/100</f>
        <v>0</v>
      </c>
      <c r="AE11" s="231">
        <f>(+H11+L11)*8/100</f>
        <v>0</v>
      </c>
      <c r="AF11" s="230">
        <f>(+H11+L11)*0.522/100</f>
        <v>0</v>
      </c>
      <c r="AG11" s="231">
        <f>SUM(V11:AF11)</f>
        <v>873731.6134891667</v>
      </c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</row>
    <row r="12" spans="2:74" s="201" customFormat="1" ht="9" hidden="1">
      <c r="B12" s="226"/>
      <c r="C12" s="227"/>
      <c r="D12" s="226">
        <v>6</v>
      </c>
      <c r="E12" s="228"/>
      <c r="F12" s="229">
        <v>0.05</v>
      </c>
      <c r="G12" s="230">
        <f>+E12*(1+F12)</f>
        <v>0</v>
      </c>
      <c r="H12" s="231">
        <f t="shared" si="0"/>
        <v>0</v>
      </c>
      <c r="I12" s="234"/>
      <c r="J12" s="231">
        <f t="shared" si="1"/>
        <v>0</v>
      </c>
      <c r="K12" s="230">
        <f t="shared" si="2"/>
        <v>637032</v>
      </c>
      <c r="L12" s="231">
        <f t="shared" si="3"/>
        <v>0</v>
      </c>
      <c r="M12" s="230">
        <f t="shared" si="17"/>
        <v>26543</v>
      </c>
      <c r="N12" s="233">
        <f>(SUM(H12:M12)-I12)/24</f>
        <v>27648.958333333332</v>
      </c>
      <c r="O12" s="231">
        <f>(SUM(H12:N12)-I12)/12</f>
        <v>57601.99652777778</v>
      </c>
      <c r="P12" s="230"/>
      <c r="Q12" s="230"/>
      <c r="R12" s="230"/>
      <c r="S12" s="227" t="s">
        <v>139</v>
      </c>
      <c r="T12" s="231">
        <f>H12/180</f>
        <v>0</v>
      </c>
      <c r="U12" s="230">
        <f>((J12+K12+L12+M12)/12)*23/30</f>
        <v>42395.069444444445</v>
      </c>
      <c r="V12" s="231">
        <f>SUM(H12:U12)</f>
        <v>791221.0243055556</v>
      </c>
      <c r="W12" s="230">
        <f>(+V12-T12-I12)*8.33/100</f>
        <v>65908.71132465279</v>
      </c>
      <c r="X12" s="231">
        <f t="shared" si="18"/>
        <v>7909.045358958334</v>
      </c>
      <c r="Y12" s="231">
        <f>(+V12-O12-T12-K12-I12)*4/100</f>
        <v>3863.481111111115</v>
      </c>
      <c r="Z12" s="230">
        <f t="shared" si="10"/>
        <v>2897.610833333336</v>
      </c>
      <c r="AA12" s="231">
        <f>(+V12-O12-T12-K12-I12)*0.5/100</f>
        <v>482.93513888888936</v>
      </c>
      <c r="AB12" s="230">
        <f t="shared" si="12"/>
        <v>482.93513888888936</v>
      </c>
      <c r="AC12" s="231">
        <f t="shared" si="13"/>
        <v>965.8702777777787</v>
      </c>
      <c r="AD12" s="230">
        <f>(+H12+L12)*10.875/100</f>
        <v>0</v>
      </c>
      <c r="AE12" s="231">
        <f>(+H12+L12)*8/100</f>
        <v>0</v>
      </c>
      <c r="AF12" s="230">
        <f>(+H12+L12)*0.522/100</f>
        <v>0</v>
      </c>
      <c r="AG12" s="231">
        <f>SUM(V12:AF12)</f>
        <v>873731.6134891667</v>
      </c>
      <c r="AH12" s="235"/>
      <c r="AI12" s="235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</row>
    <row r="13" spans="2:74" s="201" customFormat="1" ht="9" hidden="1">
      <c r="B13" s="226"/>
      <c r="C13" s="227"/>
      <c r="D13" s="226">
        <v>7</v>
      </c>
      <c r="E13" s="228"/>
      <c r="F13" s="229">
        <v>0.05</v>
      </c>
      <c r="G13" s="230">
        <f>+E13*(1+F13)</f>
        <v>0</v>
      </c>
      <c r="H13" s="231">
        <f t="shared" si="0"/>
        <v>0</v>
      </c>
      <c r="I13" s="234"/>
      <c r="J13" s="231">
        <f t="shared" si="1"/>
        <v>0</v>
      </c>
      <c r="K13" s="230">
        <f t="shared" si="2"/>
        <v>637032</v>
      </c>
      <c r="L13" s="231">
        <f t="shared" si="3"/>
        <v>0</v>
      </c>
      <c r="M13" s="230">
        <f t="shared" si="17"/>
        <v>26543</v>
      </c>
      <c r="N13" s="233">
        <f>(SUM(H13:M13)-I13)/24</f>
        <v>27648.958333333332</v>
      </c>
      <c r="O13" s="231">
        <f>(SUM(H13:N13)-I13)/12</f>
        <v>57601.99652777778</v>
      </c>
      <c r="P13" s="230"/>
      <c r="Q13" s="230"/>
      <c r="R13" s="230"/>
      <c r="S13" s="227" t="s">
        <v>139</v>
      </c>
      <c r="T13" s="231">
        <f>H13/180</f>
        <v>0</v>
      </c>
      <c r="U13" s="230">
        <f>((J13+K13+L13+M13)/12)*23/30</f>
        <v>42395.069444444445</v>
      </c>
      <c r="V13" s="231">
        <f>SUM(H13:U13)</f>
        <v>791221.0243055556</v>
      </c>
      <c r="W13" s="230">
        <f>(+V13-T13-I13)*8.33/100</f>
        <v>65908.71132465279</v>
      </c>
      <c r="X13" s="231">
        <f t="shared" si="18"/>
        <v>7909.045358958334</v>
      </c>
      <c r="Y13" s="231">
        <f>(+V13-O13-T13-K13-I13)*4/100</f>
        <v>3863.481111111115</v>
      </c>
      <c r="Z13" s="230">
        <f t="shared" si="10"/>
        <v>2897.610833333336</v>
      </c>
      <c r="AA13" s="231">
        <f>(+V13-O13-T13-K13-I13)*0.5/100</f>
        <v>482.93513888888936</v>
      </c>
      <c r="AB13" s="230">
        <f t="shared" si="12"/>
        <v>482.93513888888936</v>
      </c>
      <c r="AC13" s="231">
        <f t="shared" si="13"/>
        <v>965.8702777777787</v>
      </c>
      <c r="AD13" s="230">
        <f>(+H13+L13)*10.875/100</f>
        <v>0</v>
      </c>
      <c r="AE13" s="231">
        <f>(+H13+L13)*8/100</f>
        <v>0</v>
      </c>
      <c r="AF13" s="230">
        <f>(+H13+L13)*0.522/100</f>
        <v>0</v>
      </c>
      <c r="AG13" s="231">
        <f>SUM(V13:AF13)</f>
        <v>873731.6134891667</v>
      </c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</row>
    <row r="14" spans="2:74" s="201" customFormat="1" ht="9">
      <c r="B14" s="226">
        <v>1</v>
      </c>
      <c r="C14" s="227" t="s">
        <v>140</v>
      </c>
      <c r="D14" s="226">
        <v>8</v>
      </c>
      <c r="E14" s="228">
        <v>1599458</v>
      </c>
      <c r="F14" s="229">
        <v>0.05</v>
      </c>
      <c r="G14" s="230">
        <f t="shared" si="16"/>
        <v>1679430.9000000001</v>
      </c>
      <c r="H14" s="231">
        <f t="shared" si="0"/>
        <v>20153170.8</v>
      </c>
      <c r="I14" s="234"/>
      <c r="J14" s="231">
        <f t="shared" si="1"/>
        <v>0</v>
      </c>
      <c r="K14" s="230">
        <f aca="true" t="shared" si="22" ref="K14:K19">(IF(+G14&lt;=+$K$4,+$K$6,0))*12</f>
        <v>0</v>
      </c>
      <c r="L14" s="231">
        <f t="shared" si="3"/>
        <v>587800.8150000001</v>
      </c>
      <c r="M14" s="230">
        <f>(H14+J14+K14+L14)/24</f>
        <v>864207.1506250001</v>
      </c>
      <c r="N14" s="233">
        <f t="shared" si="4"/>
        <v>900215.7819010419</v>
      </c>
      <c r="O14" s="231">
        <f t="shared" si="5"/>
        <v>1875449.5456271705</v>
      </c>
      <c r="P14" s="230"/>
      <c r="Q14" s="230"/>
      <c r="R14" s="230"/>
      <c r="S14" s="227" t="s">
        <v>140</v>
      </c>
      <c r="T14" s="231">
        <f t="shared" si="6"/>
        <v>111962.06</v>
      </c>
      <c r="U14" s="230">
        <f t="shared" si="7"/>
        <v>92767.17558159723</v>
      </c>
      <c r="V14" s="231">
        <f t="shared" si="8"/>
        <v>24585573.32873481</v>
      </c>
      <c r="W14" s="230">
        <f t="shared" si="9"/>
        <v>2038651.81868561</v>
      </c>
      <c r="X14" s="231">
        <f t="shared" si="18"/>
        <v>244638.2182422732</v>
      </c>
      <c r="Y14" s="231">
        <f t="shared" si="19"/>
        <v>903926.4689243058</v>
      </c>
      <c r="Z14" s="230">
        <f aca="true" t="shared" si="23" ref="Z14:Z26">(+V14-O14-T14-K14-I14)*3/100</f>
        <v>677944.8516932294</v>
      </c>
      <c r="AA14" s="231">
        <f t="shared" si="11"/>
        <v>112990.80861553822</v>
      </c>
      <c r="AB14" s="230">
        <f t="shared" si="12"/>
        <v>112990.80861553822</v>
      </c>
      <c r="AC14" s="231">
        <f t="shared" si="13"/>
        <v>225981.61723107644</v>
      </c>
      <c r="AD14" s="230">
        <f t="shared" si="20"/>
        <v>2255580.66313125</v>
      </c>
      <c r="AE14" s="231">
        <f t="shared" si="21"/>
        <v>1659277.7292000002</v>
      </c>
      <c r="AF14" s="230">
        <f t="shared" si="14"/>
        <v>108267.87183030002</v>
      </c>
      <c r="AG14" s="231">
        <f t="shared" si="15"/>
        <v>32925824.18490393</v>
      </c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</row>
    <row r="15" spans="2:74" s="201" customFormat="1" ht="9">
      <c r="B15" s="226">
        <v>1</v>
      </c>
      <c r="C15" s="227" t="s">
        <v>142</v>
      </c>
      <c r="D15" s="226">
        <v>10</v>
      </c>
      <c r="E15" s="228">
        <v>1168010</v>
      </c>
      <c r="F15" s="229">
        <v>0.05</v>
      </c>
      <c r="G15" s="230">
        <f t="shared" si="16"/>
        <v>1226410.5</v>
      </c>
      <c r="H15" s="231">
        <f t="shared" si="0"/>
        <v>14716926</v>
      </c>
      <c r="I15" s="234"/>
      <c r="J15" s="231"/>
      <c r="K15" s="230">
        <f t="shared" si="22"/>
        <v>0</v>
      </c>
      <c r="L15" s="231">
        <f>(IF(+G15&lt;=+$L$4,(G15*0.5),(G15*0.35)))*B15</f>
        <v>429243.675</v>
      </c>
      <c r="M15" s="230">
        <f>(H15+J15+K15+L15)/24</f>
        <v>631090.4031250001</v>
      </c>
      <c r="N15" s="233">
        <f t="shared" si="4"/>
        <v>657385.8365885416</v>
      </c>
      <c r="O15" s="231">
        <f t="shared" si="5"/>
        <v>1369553.8262261285</v>
      </c>
      <c r="P15" s="230"/>
      <c r="Q15" s="230"/>
      <c r="R15" s="230"/>
      <c r="S15" s="227" t="s">
        <v>142</v>
      </c>
      <c r="T15" s="231">
        <f t="shared" si="6"/>
        <v>81760.7</v>
      </c>
      <c r="U15" s="230">
        <f t="shared" si="7"/>
        <v>67743.56610243054</v>
      </c>
      <c r="V15" s="231">
        <f t="shared" si="8"/>
        <v>17953704.0070421</v>
      </c>
      <c r="W15" s="230">
        <f t="shared" si="9"/>
        <v>1488732.877476607</v>
      </c>
      <c r="X15" s="231">
        <f t="shared" si="18"/>
        <v>178647.94529719284</v>
      </c>
      <c r="Y15" s="231">
        <f t="shared" si="19"/>
        <v>660095.5792326388</v>
      </c>
      <c r="Z15" s="230">
        <f t="shared" si="23"/>
        <v>495071.68442447914</v>
      </c>
      <c r="AA15" s="231">
        <f t="shared" si="11"/>
        <v>82511.94740407985</v>
      </c>
      <c r="AB15" s="230">
        <f t="shared" si="12"/>
        <v>82511.94740407985</v>
      </c>
      <c r="AC15" s="231">
        <f t="shared" si="13"/>
        <v>165023.8948081597</v>
      </c>
      <c r="AD15" s="230">
        <f t="shared" si="20"/>
        <v>1647145.9521562501</v>
      </c>
      <c r="AE15" s="231">
        <f t="shared" si="21"/>
        <v>1211693.574</v>
      </c>
      <c r="AF15" s="230">
        <f t="shared" si="14"/>
        <v>79063.0057035</v>
      </c>
      <c r="AG15" s="231">
        <f t="shared" si="15"/>
        <v>24044202.414949086</v>
      </c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</row>
    <row r="16" spans="2:74" s="201" customFormat="1" ht="9" hidden="1">
      <c r="B16" s="226">
        <v>0</v>
      </c>
      <c r="C16" s="227" t="s">
        <v>143</v>
      </c>
      <c r="D16" s="226">
        <v>11</v>
      </c>
      <c r="E16" s="228">
        <v>720160</v>
      </c>
      <c r="F16" s="229">
        <v>0.05</v>
      </c>
      <c r="G16" s="230">
        <f>+E16*(1+F16)</f>
        <v>756168</v>
      </c>
      <c r="H16" s="231">
        <f t="shared" si="0"/>
        <v>0</v>
      </c>
      <c r="I16" s="234"/>
      <c r="J16" s="231"/>
      <c r="K16" s="230">
        <f t="shared" si="22"/>
        <v>637032</v>
      </c>
      <c r="L16" s="231">
        <f>(IF(+G16&lt;=+$L$4,(G16*0.5),(G16*0.35)))*B16</f>
        <v>0</v>
      </c>
      <c r="M16" s="230">
        <f>(H16+J16+K16+L16)/24</f>
        <v>26543</v>
      </c>
      <c r="N16" s="233">
        <f>(SUM(H16:M16)-I16)/24</f>
        <v>27648.958333333332</v>
      </c>
      <c r="O16" s="231">
        <f>(SUM(H16:N16)-I16)/12</f>
        <v>57601.99652777778</v>
      </c>
      <c r="P16" s="230"/>
      <c r="Q16" s="230"/>
      <c r="R16" s="230"/>
      <c r="S16" s="227" t="s">
        <v>142</v>
      </c>
      <c r="T16" s="231">
        <f>H16/180</f>
        <v>0</v>
      </c>
      <c r="U16" s="230">
        <f>((J16+K16+L16+M16)/12)*23/30</f>
        <v>42395.069444444445</v>
      </c>
      <c r="V16" s="231">
        <f>SUM(H16:U16)</f>
        <v>791221.0243055556</v>
      </c>
      <c r="W16" s="230">
        <f>(+V16-T16-I16)*8.33/100</f>
        <v>65908.71132465279</v>
      </c>
      <c r="X16" s="231">
        <f t="shared" si="18"/>
        <v>7909.045358958334</v>
      </c>
      <c r="Y16" s="231">
        <f>(+V16-O16-T16-K16-I16)*4/100</f>
        <v>3863.481111111115</v>
      </c>
      <c r="Z16" s="230">
        <f>(+V16-O16-T16-K16-I16)*3/100</f>
        <v>2897.610833333336</v>
      </c>
      <c r="AA16" s="231">
        <f>(+V16-O16-T16-K16-I16)*0.5/100</f>
        <v>482.93513888888936</v>
      </c>
      <c r="AB16" s="230">
        <f t="shared" si="12"/>
        <v>482.93513888888936</v>
      </c>
      <c r="AC16" s="231">
        <f t="shared" si="13"/>
        <v>965.8702777777787</v>
      </c>
      <c r="AD16" s="230">
        <f>(+H16+L16)*10.875/100</f>
        <v>0</v>
      </c>
      <c r="AE16" s="231">
        <f>(+H16+L16)*8/100</f>
        <v>0</v>
      </c>
      <c r="AF16" s="230">
        <f>(+H16+L16)*0.522/100</f>
        <v>0</v>
      </c>
      <c r="AG16" s="231">
        <f>SUM(V16:AF16)</f>
        <v>873731.6134891667</v>
      </c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</row>
    <row r="17" spans="2:74" s="201" customFormat="1" ht="9" hidden="1">
      <c r="B17" s="226"/>
      <c r="C17" s="227"/>
      <c r="D17" s="226">
        <v>12</v>
      </c>
      <c r="E17" s="228"/>
      <c r="F17" s="229">
        <v>0.05</v>
      </c>
      <c r="G17" s="230">
        <f>+E17*(1+F17)</f>
        <v>0</v>
      </c>
      <c r="H17" s="231">
        <f t="shared" si="0"/>
        <v>0</v>
      </c>
      <c r="I17" s="234"/>
      <c r="J17" s="231"/>
      <c r="K17" s="230">
        <f t="shared" si="22"/>
        <v>637032</v>
      </c>
      <c r="L17" s="231">
        <f>(IF(+G17&lt;=+$L$4,(G17*0.5),(G17*0.35)))*B17</f>
        <v>0</v>
      </c>
      <c r="M17" s="230">
        <f>(H17+J17+K17+L17)/24</f>
        <v>26543</v>
      </c>
      <c r="N17" s="233">
        <f>(SUM(H17:M17)-I17)/24</f>
        <v>27648.958333333332</v>
      </c>
      <c r="O17" s="231">
        <f>(SUM(H17:N17)-I17)/12</f>
        <v>57601.99652777778</v>
      </c>
      <c r="P17" s="230"/>
      <c r="Q17" s="230"/>
      <c r="R17" s="230"/>
      <c r="S17" s="227" t="s">
        <v>142</v>
      </c>
      <c r="T17" s="231">
        <f>H17/180</f>
        <v>0</v>
      </c>
      <c r="U17" s="230">
        <f>((J17+K17+L17+M17)/12)*23/30</f>
        <v>42395.069444444445</v>
      </c>
      <c r="V17" s="231">
        <f>SUM(H17:U17)</f>
        <v>791221.0243055556</v>
      </c>
      <c r="W17" s="230">
        <f>(+V17-T17-I17)*8.33/100</f>
        <v>65908.71132465279</v>
      </c>
      <c r="X17" s="231">
        <f t="shared" si="18"/>
        <v>7909.045358958334</v>
      </c>
      <c r="Y17" s="231">
        <f>(+V17-O17-T17-K17-I17)*4/100</f>
        <v>3863.481111111115</v>
      </c>
      <c r="Z17" s="230">
        <f>(+V17-O17-T17-K17-I17)*3/100</f>
        <v>2897.610833333336</v>
      </c>
      <c r="AA17" s="231">
        <f>(+V17-O17-T17-K17-I17)*0.5/100</f>
        <v>482.93513888888936</v>
      </c>
      <c r="AB17" s="230">
        <f t="shared" si="12"/>
        <v>482.93513888888936</v>
      </c>
      <c r="AC17" s="231">
        <f t="shared" si="13"/>
        <v>965.8702777777787</v>
      </c>
      <c r="AD17" s="230">
        <f>(+H17+L17)*10.875/100</f>
        <v>0</v>
      </c>
      <c r="AE17" s="231">
        <f>(+H17+L17)*8/100</f>
        <v>0</v>
      </c>
      <c r="AF17" s="230">
        <f>(+H17+L17)*0.522/100</f>
        <v>0</v>
      </c>
      <c r="AG17" s="231">
        <f>SUM(V17:AF17)</f>
        <v>873731.6134891667</v>
      </c>
      <c r="AH17" s="235"/>
      <c r="AI17" s="235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</row>
    <row r="18" spans="2:74" s="201" customFormat="1" ht="9" hidden="1">
      <c r="B18" s="226"/>
      <c r="C18" s="227"/>
      <c r="D18" s="226">
        <v>13</v>
      </c>
      <c r="E18" s="228"/>
      <c r="F18" s="229">
        <v>0.05</v>
      </c>
      <c r="G18" s="230">
        <f>+E18*(1+F18)</f>
        <v>0</v>
      </c>
      <c r="H18" s="231">
        <f t="shared" si="0"/>
        <v>0</v>
      </c>
      <c r="I18" s="234"/>
      <c r="J18" s="231"/>
      <c r="K18" s="230">
        <f t="shared" si="22"/>
        <v>637032</v>
      </c>
      <c r="L18" s="231">
        <f>(IF(+G18&lt;=+$L$4,(G18*0.5),(G18*0.35)))*B18</f>
        <v>0</v>
      </c>
      <c r="M18" s="230">
        <f>(H18+J18+K18+L18)/24</f>
        <v>26543</v>
      </c>
      <c r="N18" s="233">
        <f>(SUM(H18:M18)-I18)/24</f>
        <v>27648.958333333332</v>
      </c>
      <c r="O18" s="231">
        <f>(SUM(H18:N18)-I18)/12</f>
        <v>57601.99652777778</v>
      </c>
      <c r="P18" s="230"/>
      <c r="Q18" s="230"/>
      <c r="R18" s="230"/>
      <c r="S18" s="227" t="s">
        <v>142</v>
      </c>
      <c r="T18" s="231">
        <f>H18/180</f>
        <v>0</v>
      </c>
      <c r="U18" s="230">
        <f>((J18+K18+L18+M18)/12)*23/30</f>
        <v>42395.069444444445</v>
      </c>
      <c r="V18" s="231">
        <f>SUM(H18:U18)</f>
        <v>791221.0243055556</v>
      </c>
      <c r="W18" s="230">
        <f>(+V18-T18-I18)*8.33/100</f>
        <v>65908.71132465279</v>
      </c>
      <c r="X18" s="231">
        <f t="shared" si="18"/>
        <v>7909.045358958334</v>
      </c>
      <c r="Y18" s="231">
        <f>(+V18-O18-T18-K18-I18)*4/100</f>
        <v>3863.481111111115</v>
      </c>
      <c r="Z18" s="230">
        <f>(+V18-O18-T18-K18-I18)*3/100</f>
        <v>2897.610833333336</v>
      </c>
      <c r="AA18" s="231">
        <f>(+V18-O18-T18-K18-I18)*0.5/100</f>
        <v>482.93513888888936</v>
      </c>
      <c r="AB18" s="230">
        <f t="shared" si="12"/>
        <v>482.93513888888936</v>
      </c>
      <c r="AC18" s="231">
        <f t="shared" si="13"/>
        <v>965.8702777777787</v>
      </c>
      <c r="AD18" s="230">
        <f>(+H18+L18)*10.875/100</f>
        <v>0</v>
      </c>
      <c r="AE18" s="231">
        <f>(+H18+L18)*8/100</f>
        <v>0</v>
      </c>
      <c r="AF18" s="230">
        <f>(+H18+L18)*0.522/100</f>
        <v>0</v>
      </c>
      <c r="AG18" s="231">
        <f>SUM(V18:AF18)</f>
        <v>873731.6134891667</v>
      </c>
      <c r="AH18" s="235"/>
      <c r="AI18" s="235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</row>
    <row r="19" spans="2:74" s="201" customFormat="1" ht="9">
      <c r="B19" s="226">
        <v>1</v>
      </c>
      <c r="C19" s="227" t="s">
        <v>144</v>
      </c>
      <c r="D19" s="236">
        <v>14</v>
      </c>
      <c r="E19" s="228">
        <v>824584</v>
      </c>
      <c r="F19" s="229">
        <v>0.05</v>
      </c>
      <c r="G19" s="230">
        <f t="shared" si="16"/>
        <v>865813.2000000001</v>
      </c>
      <c r="H19" s="231">
        <f t="shared" si="0"/>
        <v>10389758.4</v>
      </c>
      <c r="I19" s="234"/>
      <c r="J19" s="231">
        <f>(IF(+G19&lt;=+$J$4,+$J$6,0))*12*B19</f>
        <v>445320</v>
      </c>
      <c r="K19" s="230">
        <f t="shared" si="22"/>
        <v>637032</v>
      </c>
      <c r="L19" s="231">
        <f>(IF(+G19&lt;=+$L$4,(G19*0.5),(G19*0.35)))*B19</f>
        <v>432906.60000000003</v>
      </c>
      <c r="M19" s="230">
        <f>(SUM(H19:L19)-I19)/24</f>
        <v>496042.375</v>
      </c>
      <c r="N19" s="233">
        <f t="shared" si="4"/>
        <v>516710.8072916667</v>
      </c>
      <c r="O19" s="231">
        <f t="shared" si="5"/>
        <v>1076480.8485243055</v>
      </c>
      <c r="P19" s="230"/>
      <c r="Q19" s="230"/>
      <c r="R19" s="230"/>
      <c r="S19" s="227" t="s">
        <v>144</v>
      </c>
      <c r="T19" s="231">
        <f t="shared" si="6"/>
        <v>57720.880000000005</v>
      </c>
      <c r="U19" s="230">
        <f t="shared" si="7"/>
        <v>128499.78451388888</v>
      </c>
      <c r="V19" s="231">
        <f t="shared" si="8"/>
        <v>14180471.695329862</v>
      </c>
      <c r="W19" s="230">
        <f t="shared" si="9"/>
        <v>1176425.1429169774</v>
      </c>
      <c r="X19" s="231">
        <f t="shared" si="18"/>
        <v>141171.01715003728</v>
      </c>
      <c r="Y19" s="231">
        <f t="shared" si="19"/>
        <v>496369.5186722222</v>
      </c>
      <c r="Z19" s="230">
        <f t="shared" si="23"/>
        <v>372277.13900416665</v>
      </c>
      <c r="AA19" s="231">
        <f t="shared" si="11"/>
        <v>62046.18983402778</v>
      </c>
      <c r="AB19" s="230">
        <f t="shared" si="12"/>
        <v>62046.18983402778</v>
      </c>
      <c r="AC19" s="231">
        <f t="shared" si="13"/>
        <v>124092.37966805555</v>
      </c>
      <c r="AD19" s="230">
        <f t="shared" si="20"/>
        <v>1176964.81875</v>
      </c>
      <c r="AE19" s="231">
        <f t="shared" si="21"/>
        <v>865813.2</v>
      </c>
      <c r="AF19" s="230">
        <f t="shared" si="14"/>
        <v>56494.3113</v>
      </c>
      <c r="AG19" s="231">
        <f t="shared" si="15"/>
        <v>18714171.602459375</v>
      </c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</row>
    <row r="20" spans="2:74" s="201" customFormat="1" ht="9" hidden="1">
      <c r="B20" s="226"/>
      <c r="C20" s="227"/>
      <c r="D20" s="226">
        <v>15</v>
      </c>
      <c r="E20" s="228"/>
      <c r="F20" s="229">
        <v>0.05</v>
      </c>
      <c r="G20" s="230">
        <f t="shared" si="16"/>
        <v>0</v>
      </c>
      <c r="H20" s="231">
        <f t="shared" si="0"/>
        <v>0</v>
      </c>
      <c r="I20" s="234"/>
      <c r="J20" s="231"/>
      <c r="K20" s="230">
        <f>(IF(+G20&lt;=+$K$4,+$K$6,0))*12*B20</f>
        <v>0</v>
      </c>
      <c r="L20" s="231">
        <f>B20*G20*0.5</f>
        <v>0</v>
      </c>
      <c r="M20" s="230">
        <f>(SUM(H20:L20)-I20)/24</f>
        <v>0</v>
      </c>
      <c r="N20" s="233">
        <f t="shared" si="4"/>
        <v>0</v>
      </c>
      <c r="O20" s="231">
        <f t="shared" si="5"/>
        <v>0</v>
      </c>
      <c r="P20" s="230"/>
      <c r="Q20" s="230"/>
      <c r="R20" s="230"/>
      <c r="S20" s="227"/>
      <c r="T20" s="231">
        <f t="shared" si="6"/>
        <v>0</v>
      </c>
      <c r="U20" s="230">
        <f t="shared" si="7"/>
        <v>0</v>
      </c>
      <c r="V20" s="231">
        <f t="shared" si="8"/>
        <v>0</v>
      </c>
      <c r="W20" s="230">
        <f t="shared" si="9"/>
        <v>0</v>
      </c>
      <c r="X20" s="231">
        <f t="shared" si="18"/>
        <v>0</v>
      </c>
      <c r="Y20" s="231">
        <f t="shared" si="19"/>
        <v>0</v>
      </c>
      <c r="Z20" s="230">
        <f t="shared" si="23"/>
        <v>0</v>
      </c>
      <c r="AA20" s="231">
        <f t="shared" si="11"/>
        <v>0</v>
      </c>
      <c r="AB20" s="230">
        <f t="shared" si="12"/>
        <v>0</v>
      </c>
      <c r="AC20" s="231">
        <f t="shared" si="13"/>
        <v>0</v>
      </c>
      <c r="AD20" s="230">
        <f t="shared" si="20"/>
        <v>0</v>
      </c>
      <c r="AE20" s="231">
        <f t="shared" si="21"/>
        <v>0</v>
      </c>
      <c r="AF20" s="230">
        <f t="shared" si="14"/>
        <v>0</v>
      </c>
      <c r="AG20" s="231">
        <f t="shared" si="15"/>
        <v>0</v>
      </c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</row>
    <row r="21" spans="2:74" s="201" customFormat="1" ht="9" hidden="1">
      <c r="B21" s="226">
        <v>0</v>
      </c>
      <c r="C21" s="227" t="s">
        <v>145</v>
      </c>
      <c r="D21" s="226">
        <v>16</v>
      </c>
      <c r="E21" s="228">
        <v>430000</v>
      </c>
      <c r="F21" s="229">
        <v>0.05</v>
      </c>
      <c r="G21" s="230">
        <f t="shared" si="16"/>
        <v>451500</v>
      </c>
      <c r="H21" s="231">
        <f t="shared" si="0"/>
        <v>0</v>
      </c>
      <c r="I21" s="234"/>
      <c r="J21" s="231"/>
      <c r="K21" s="230">
        <f>(IF(+G21&lt;=+$K$4,+$K$6,0))*12*B21</f>
        <v>0</v>
      </c>
      <c r="L21" s="231">
        <f>B21*G21*0.5</f>
        <v>0</v>
      </c>
      <c r="M21" s="230">
        <f>(SUM(H21:L21)-I21)/24</f>
        <v>0</v>
      </c>
      <c r="N21" s="233">
        <f t="shared" si="4"/>
        <v>0</v>
      </c>
      <c r="O21" s="231">
        <f t="shared" si="5"/>
        <v>0</v>
      </c>
      <c r="P21" s="230"/>
      <c r="Q21" s="230"/>
      <c r="R21" s="230"/>
      <c r="S21" s="227" t="s">
        <v>145</v>
      </c>
      <c r="T21" s="231">
        <f t="shared" si="6"/>
        <v>0</v>
      </c>
      <c r="U21" s="230">
        <f t="shared" si="7"/>
        <v>0</v>
      </c>
      <c r="V21" s="231">
        <f t="shared" si="8"/>
        <v>0</v>
      </c>
      <c r="W21" s="230">
        <f t="shared" si="9"/>
        <v>0</v>
      </c>
      <c r="X21" s="231">
        <f t="shared" si="18"/>
        <v>0</v>
      </c>
      <c r="Y21" s="231">
        <f t="shared" si="19"/>
        <v>0</v>
      </c>
      <c r="Z21" s="230">
        <f t="shared" si="23"/>
        <v>0</v>
      </c>
      <c r="AA21" s="231">
        <f t="shared" si="11"/>
        <v>0</v>
      </c>
      <c r="AB21" s="230">
        <f t="shared" si="12"/>
        <v>0</v>
      </c>
      <c r="AC21" s="231">
        <f t="shared" si="13"/>
        <v>0</v>
      </c>
      <c r="AD21" s="230">
        <f t="shared" si="20"/>
        <v>0</v>
      </c>
      <c r="AE21" s="231">
        <f t="shared" si="21"/>
        <v>0</v>
      </c>
      <c r="AF21" s="230">
        <f t="shared" si="14"/>
        <v>0</v>
      </c>
      <c r="AG21" s="231">
        <f t="shared" si="15"/>
        <v>0</v>
      </c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</row>
    <row r="22" spans="2:74" s="201" customFormat="1" ht="9" hidden="1">
      <c r="B22" s="226"/>
      <c r="C22" s="227"/>
      <c r="D22" s="226">
        <v>17</v>
      </c>
      <c r="E22" s="228"/>
      <c r="F22" s="229">
        <v>0.05</v>
      </c>
      <c r="G22" s="230">
        <f t="shared" si="16"/>
        <v>0</v>
      </c>
      <c r="H22" s="231">
        <f t="shared" si="0"/>
        <v>0</v>
      </c>
      <c r="I22" s="234"/>
      <c r="J22" s="231"/>
      <c r="K22" s="230">
        <f>(IF(+G22&lt;=+$K$4,+$K$6,0))*12*B22</f>
        <v>0</v>
      </c>
      <c r="L22" s="231">
        <f>B22*G22*0.5</f>
        <v>0</v>
      </c>
      <c r="M22" s="230">
        <f>(SUM(H22:L22)-I22)/24</f>
        <v>0</v>
      </c>
      <c r="N22" s="233">
        <f t="shared" si="4"/>
        <v>0</v>
      </c>
      <c r="O22" s="231">
        <f t="shared" si="5"/>
        <v>0</v>
      </c>
      <c r="P22" s="230"/>
      <c r="Q22" s="230"/>
      <c r="R22" s="230"/>
      <c r="S22" s="227"/>
      <c r="T22" s="231">
        <f t="shared" si="6"/>
        <v>0</v>
      </c>
      <c r="U22" s="230">
        <f t="shared" si="7"/>
        <v>0</v>
      </c>
      <c r="V22" s="231">
        <f t="shared" si="8"/>
        <v>0</v>
      </c>
      <c r="W22" s="230">
        <f t="shared" si="9"/>
        <v>0</v>
      </c>
      <c r="X22" s="231">
        <f t="shared" si="18"/>
        <v>0</v>
      </c>
      <c r="Y22" s="231">
        <f t="shared" si="19"/>
        <v>0</v>
      </c>
      <c r="Z22" s="230">
        <f t="shared" si="23"/>
        <v>0</v>
      </c>
      <c r="AA22" s="231">
        <f t="shared" si="11"/>
        <v>0</v>
      </c>
      <c r="AB22" s="230">
        <f t="shared" si="12"/>
        <v>0</v>
      </c>
      <c r="AC22" s="231">
        <f t="shared" si="13"/>
        <v>0</v>
      </c>
      <c r="AD22" s="230">
        <f t="shared" si="20"/>
        <v>0</v>
      </c>
      <c r="AE22" s="231">
        <f t="shared" si="21"/>
        <v>0</v>
      </c>
      <c r="AF22" s="230">
        <f t="shared" si="14"/>
        <v>0</v>
      </c>
      <c r="AG22" s="231">
        <f t="shared" si="15"/>
        <v>0</v>
      </c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</row>
    <row r="23" spans="2:74" s="237" customFormat="1" ht="9">
      <c r="B23" s="226">
        <v>6</v>
      </c>
      <c r="C23" s="227" t="s">
        <v>146</v>
      </c>
      <c r="D23" s="226">
        <v>18</v>
      </c>
      <c r="E23" s="228">
        <v>671169</v>
      </c>
      <c r="F23" s="229">
        <v>0.05</v>
      </c>
      <c r="G23" s="230">
        <f t="shared" si="16"/>
        <v>704727.4500000001</v>
      </c>
      <c r="H23" s="231">
        <f t="shared" si="0"/>
        <v>50740376.400000006</v>
      </c>
      <c r="I23" s="234"/>
      <c r="J23" s="231">
        <f>(IF(+G23&lt;=+$J$4,+$J$6,0))*12*B23</f>
        <v>2671920</v>
      </c>
      <c r="K23" s="230">
        <f>(IF(+G23&lt;=+$K$4,+$K$6,0))*12*B23</f>
        <v>3822192</v>
      </c>
      <c r="L23" s="231">
        <f>(IF(+G23&lt;=+$L$4,(G23*0.5),(G23*0.35)))*B23</f>
        <v>2114182.35</v>
      </c>
      <c r="M23" s="230">
        <f>(H23+J23+K23+L23)/24</f>
        <v>2472861.2812500005</v>
      </c>
      <c r="N23" s="233">
        <f t="shared" si="4"/>
        <v>2575897.1679687505</v>
      </c>
      <c r="O23" s="231">
        <f t="shared" si="5"/>
        <v>5366452.4332682295</v>
      </c>
      <c r="P23" s="230"/>
      <c r="Q23" s="230"/>
      <c r="R23" s="230"/>
      <c r="S23" s="227" t="s">
        <v>146</v>
      </c>
      <c r="T23" s="231">
        <f t="shared" si="6"/>
        <v>281890.98000000004</v>
      </c>
      <c r="U23" s="230">
        <f t="shared" si="7"/>
        <v>707962.7208854166</v>
      </c>
      <c r="V23" s="231">
        <f t="shared" si="8"/>
        <v>70753735.3333724</v>
      </c>
      <c r="W23" s="230">
        <f t="shared" si="9"/>
        <v>5870304.634635921</v>
      </c>
      <c r="X23" s="231">
        <f t="shared" si="18"/>
        <v>704436.5561563105</v>
      </c>
      <c r="Y23" s="231">
        <f t="shared" si="19"/>
        <v>2451327.996804167</v>
      </c>
      <c r="Z23" s="230">
        <f t="shared" si="23"/>
        <v>1838495.9976031252</v>
      </c>
      <c r="AA23" s="231">
        <f t="shared" si="11"/>
        <v>306415.9996005209</v>
      </c>
      <c r="AB23" s="230">
        <f t="shared" si="12"/>
        <v>306415.9996005209</v>
      </c>
      <c r="AC23" s="231">
        <f t="shared" si="13"/>
        <v>612831.9992010418</v>
      </c>
      <c r="AD23" s="230">
        <f t="shared" si="20"/>
        <v>5747933.2640625015</v>
      </c>
      <c r="AE23" s="231">
        <f t="shared" si="21"/>
        <v>4228364.7</v>
      </c>
      <c r="AF23" s="230">
        <f t="shared" si="14"/>
        <v>275900.79667500005</v>
      </c>
      <c r="AG23" s="231">
        <f t="shared" si="15"/>
        <v>93096163.2777115</v>
      </c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</row>
    <row r="24" spans="2:74" s="201" customFormat="1" ht="9.75" thickBot="1">
      <c r="B24" s="226">
        <v>2</v>
      </c>
      <c r="C24" s="227" t="s">
        <v>148</v>
      </c>
      <c r="D24" s="226">
        <v>21</v>
      </c>
      <c r="E24" s="228">
        <v>519269</v>
      </c>
      <c r="F24" s="229">
        <v>0.05</v>
      </c>
      <c r="G24" s="230">
        <f t="shared" si="16"/>
        <v>545232.4500000001</v>
      </c>
      <c r="H24" s="231">
        <f t="shared" si="0"/>
        <v>13085578.8</v>
      </c>
      <c r="I24" s="234"/>
      <c r="J24" s="231">
        <f>(IF(+G24&lt;=+$J$4,+$J$6,0))*12*B24</f>
        <v>890640</v>
      </c>
      <c r="K24" s="230">
        <f>(IF(+G24&lt;=+$K$4,+$K$6,0))*12*B24</f>
        <v>1274064</v>
      </c>
      <c r="L24" s="231">
        <f>(IF(+G24&lt;=+$L$4,(G24*0.5),(G24*0.35)))*B24</f>
        <v>545232.4500000001</v>
      </c>
      <c r="M24" s="230">
        <f>(H24+J24+K24+L24)/24</f>
        <v>658146.46875</v>
      </c>
      <c r="N24" s="233">
        <f t="shared" si="4"/>
        <v>685569.23828125</v>
      </c>
      <c r="O24" s="231">
        <f t="shared" si="5"/>
        <v>1428269.2464192708</v>
      </c>
      <c r="P24" s="230"/>
      <c r="Q24" s="230"/>
      <c r="R24" s="230"/>
      <c r="S24" s="227" t="s">
        <v>148</v>
      </c>
      <c r="T24" s="238">
        <f t="shared" si="6"/>
        <v>72697.66</v>
      </c>
      <c r="U24" s="230">
        <f t="shared" si="7"/>
        <v>215183.07536458335</v>
      </c>
      <c r="V24" s="231">
        <f t="shared" si="8"/>
        <v>18855380.938815102</v>
      </c>
      <c r="W24" s="230">
        <f t="shared" si="9"/>
        <v>1564597.517125298</v>
      </c>
      <c r="X24" s="231">
        <f t="shared" si="18"/>
        <v>187751.70205503577</v>
      </c>
      <c r="Y24" s="231">
        <f t="shared" si="19"/>
        <v>643214.0012958333</v>
      </c>
      <c r="Z24" s="230">
        <f t="shared" si="23"/>
        <v>482410.500971875</v>
      </c>
      <c r="AA24" s="231">
        <f t="shared" si="11"/>
        <v>80401.75016197916</v>
      </c>
      <c r="AB24" s="230">
        <f t="shared" si="12"/>
        <v>80401.75016197916</v>
      </c>
      <c r="AC24" s="231">
        <f t="shared" si="13"/>
        <v>160803.50032395832</v>
      </c>
      <c r="AD24" s="230">
        <f t="shared" si="20"/>
        <v>1482350.7234375</v>
      </c>
      <c r="AE24" s="231">
        <f t="shared" si="21"/>
        <v>1090464.9</v>
      </c>
      <c r="AF24" s="230">
        <f t="shared" si="14"/>
        <v>71152.83472500001</v>
      </c>
      <c r="AG24" s="231">
        <f t="shared" si="15"/>
        <v>24698930.119073562</v>
      </c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</row>
    <row r="25" spans="2:74" s="201" customFormat="1" ht="9" hidden="1">
      <c r="B25" s="226">
        <v>0</v>
      </c>
      <c r="C25" s="227" t="s">
        <v>149</v>
      </c>
      <c r="D25" s="226">
        <v>22</v>
      </c>
      <c r="E25" s="228">
        <v>260100</v>
      </c>
      <c r="F25" s="229">
        <v>0.04</v>
      </c>
      <c r="G25" s="230">
        <f t="shared" si="16"/>
        <v>270504</v>
      </c>
      <c r="H25" s="231">
        <f t="shared" si="0"/>
        <v>0</v>
      </c>
      <c r="I25" s="234"/>
      <c r="J25" s="231"/>
      <c r="K25" s="230"/>
      <c r="L25" s="231">
        <f>B25*G25*0.5</f>
        <v>0</v>
      </c>
      <c r="M25" s="230">
        <f>(SUM(H25:L25)-I25)/24</f>
        <v>0</v>
      </c>
      <c r="N25" s="233">
        <f t="shared" si="4"/>
        <v>0</v>
      </c>
      <c r="O25" s="231">
        <f t="shared" si="5"/>
        <v>0</v>
      </c>
      <c r="P25" s="230"/>
      <c r="Q25" s="230"/>
      <c r="R25" s="230"/>
      <c r="S25" s="227" t="s">
        <v>149</v>
      </c>
      <c r="T25" s="231">
        <f t="shared" si="6"/>
        <v>0</v>
      </c>
      <c r="U25" s="230">
        <f t="shared" si="7"/>
        <v>0</v>
      </c>
      <c r="V25" s="231">
        <f t="shared" si="8"/>
        <v>0</v>
      </c>
      <c r="W25" s="230">
        <f t="shared" si="9"/>
        <v>0</v>
      </c>
      <c r="X25" s="231"/>
      <c r="Y25" s="231">
        <f>(+V25-O25-T25-K25-I25)*4/100</f>
        <v>0</v>
      </c>
      <c r="Z25" s="230">
        <f t="shared" si="23"/>
        <v>0</v>
      </c>
      <c r="AA25" s="231">
        <f t="shared" si="11"/>
        <v>0</v>
      </c>
      <c r="AB25" s="230">
        <f t="shared" si="12"/>
        <v>0</v>
      </c>
      <c r="AC25" s="231">
        <f t="shared" si="13"/>
        <v>0</v>
      </c>
      <c r="AD25" s="230">
        <f t="shared" si="20"/>
        <v>0</v>
      </c>
      <c r="AE25" s="231">
        <f t="shared" si="21"/>
        <v>0</v>
      </c>
      <c r="AF25" s="230">
        <f t="shared" si="14"/>
        <v>0</v>
      </c>
      <c r="AG25" s="231">
        <f t="shared" si="15"/>
        <v>0</v>
      </c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</row>
    <row r="26" spans="2:74" s="201" customFormat="1" ht="9" hidden="1">
      <c r="B26" s="226">
        <v>0</v>
      </c>
      <c r="C26" s="227" t="s">
        <v>150</v>
      </c>
      <c r="D26" s="226" t="s">
        <v>151</v>
      </c>
      <c r="E26" s="228">
        <v>436347</v>
      </c>
      <c r="F26" s="229">
        <v>0.04</v>
      </c>
      <c r="G26" s="230">
        <f t="shared" si="16"/>
        <v>453800.88</v>
      </c>
      <c r="H26" s="231">
        <f t="shared" si="0"/>
        <v>0</v>
      </c>
      <c r="I26" s="234"/>
      <c r="J26" s="231"/>
      <c r="K26" s="230"/>
      <c r="L26" s="231">
        <f>B26*G26*0.5</f>
        <v>0</v>
      </c>
      <c r="M26" s="230">
        <f>(H26+J26+K26+L26)/24</f>
        <v>0</v>
      </c>
      <c r="N26" s="233">
        <f t="shared" si="4"/>
        <v>0</v>
      </c>
      <c r="O26" s="231">
        <f t="shared" si="5"/>
        <v>0</v>
      </c>
      <c r="P26" s="230"/>
      <c r="Q26" s="230"/>
      <c r="R26" s="230"/>
      <c r="S26" s="227" t="s">
        <v>150</v>
      </c>
      <c r="T26" s="231">
        <f t="shared" si="6"/>
        <v>0</v>
      </c>
      <c r="U26" s="230">
        <f t="shared" si="7"/>
        <v>0</v>
      </c>
      <c r="V26" s="231">
        <f t="shared" si="8"/>
        <v>0</v>
      </c>
      <c r="W26" s="230">
        <f t="shared" si="9"/>
        <v>0</v>
      </c>
      <c r="X26" s="231"/>
      <c r="Y26" s="231">
        <f>(+V26-O26-T26-K26)*4/100</f>
        <v>0</v>
      </c>
      <c r="Z26" s="230">
        <f t="shared" si="23"/>
        <v>0</v>
      </c>
      <c r="AA26" s="231">
        <f t="shared" si="11"/>
        <v>0</v>
      </c>
      <c r="AB26" s="230">
        <f t="shared" si="12"/>
        <v>0</v>
      </c>
      <c r="AC26" s="231">
        <f t="shared" si="13"/>
        <v>0</v>
      </c>
      <c r="AD26" s="230">
        <f t="shared" si="20"/>
        <v>0</v>
      </c>
      <c r="AE26" s="231">
        <f t="shared" si="21"/>
        <v>0</v>
      </c>
      <c r="AF26" s="230">
        <f t="shared" si="14"/>
        <v>0</v>
      </c>
      <c r="AG26" s="231">
        <f t="shared" si="15"/>
        <v>0</v>
      </c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</row>
    <row r="27" spans="2:74" s="249" customFormat="1" ht="9.75" thickBot="1">
      <c r="B27" s="239">
        <f>SUM(B7:B26)</f>
        <v>16</v>
      </c>
      <c r="C27" s="240" t="s">
        <v>152</v>
      </c>
      <c r="D27" s="241"/>
      <c r="E27" s="242">
        <f>SUM(E7:E26)</f>
        <v>10910810</v>
      </c>
      <c r="F27" s="242"/>
      <c r="G27" s="242">
        <f aca="true" t="shared" si="24" ref="G27:O27">SUM(G7:G26)</f>
        <v>11449386.03</v>
      </c>
      <c r="H27" s="243">
        <f t="shared" si="24"/>
        <v>233996880.60000002</v>
      </c>
      <c r="I27" s="243">
        <f t="shared" si="24"/>
        <v>20000000</v>
      </c>
      <c r="J27" s="243">
        <f t="shared" si="24"/>
        <v>4007880</v>
      </c>
      <c r="K27" s="242">
        <f t="shared" si="24"/>
        <v>10829544</v>
      </c>
      <c r="L27" s="243">
        <f t="shared" si="24"/>
        <v>7752605.437499999</v>
      </c>
      <c r="M27" s="242">
        <f t="shared" si="24"/>
        <v>10691121.2515625</v>
      </c>
      <c r="N27" s="244">
        <f t="shared" si="24"/>
        <v>11136584.63704427</v>
      </c>
      <c r="O27" s="245">
        <f t="shared" si="24"/>
        <v>23201217.993842233</v>
      </c>
      <c r="P27" s="246"/>
      <c r="Q27" s="246"/>
      <c r="R27" s="246"/>
      <c r="S27" s="240" t="s">
        <v>152</v>
      </c>
      <c r="T27" s="243">
        <f aca="true" t="shared" si="25" ref="T27:AF27">SUM(T7:T26)</f>
        <v>1299982.67</v>
      </c>
      <c r="U27" s="242">
        <f t="shared" si="25"/>
        <v>2126295.738467882</v>
      </c>
      <c r="V27" s="243">
        <f t="shared" si="25"/>
        <v>325042112.3284169</v>
      </c>
      <c r="W27" s="242">
        <f t="shared" si="25"/>
        <v>25301719.400546126</v>
      </c>
      <c r="X27" s="242">
        <f t="shared" si="25"/>
        <v>3036206.3280655355</v>
      </c>
      <c r="Y27" s="243">
        <f t="shared" si="25"/>
        <v>10788454.706582986</v>
      </c>
      <c r="Z27" s="242">
        <f t="shared" si="25"/>
        <v>8091341.029937237</v>
      </c>
      <c r="AA27" s="243">
        <f t="shared" si="25"/>
        <v>1348556.8383228732</v>
      </c>
      <c r="AB27" s="242">
        <f t="shared" si="25"/>
        <v>1348556.8383228732</v>
      </c>
      <c r="AC27" s="243">
        <f t="shared" si="25"/>
        <v>2697113.6766457465</v>
      </c>
      <c r="AD27" s="242">
        <f t="shared" si="25"/>
        <v>26290256.60657813</v>
      </c>
      <c r="AE27" s="243">
        <f t="shared" si="25"/>
        <v>19339958.882999998</v>
      </c>
      <c r="AF27" s="242">
        <f t="shared" si="25"/>
        <v>1261932.3171157502</v>
      </c>
      <c r="AG27" s="243">
        <f>SUM(AG7:AG26)</f>
        <v>424546208.9535341</v>
      </c>
      <c r="AH27" s="247"/>
      <c r="AI27" s="247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</row>
    <row r="28" spans="2:74" s="249" customFormat="1" ht="9">
      <c r="B28" s="250"/>
      <c r="C28" s="251"/>
      <c r="D28" s="252"/>
      <c r="E28" s="253"/>
      <c r="F28" s="254"/>
      <c r="G28" s="246"/>
      <c r="H28" s="255"/>
      <c r="I28" s="246"/>
      <c r="J28" s="256"/>
      <c r="K28" s="246"/>
      <c r="L28" s="256"/>
      <c r="M28" s="246"/>
      <c r="N28" s="257"/>
      <c r="O28" s="256"/>
      <c r="P28" s="246"/>
      <c r="Q28" s="246"/>
      <c r="R28" s="246"/>
      <c r="S28" s="251"/>
      <c r="T28" s="256"/>
      <c r="U28" s="246"/>
      <c r="V28" s="256"/>
      <c r="W28" s="246"/>
      <c r="X28" s="246"/>
      <c r="Y28" s="256"/>
      <c r="Z28" s="246"/>
      <c r="AA28" s="256"/>
      <c r="AB28" s="246"/>
      <c r="AC28" s="256"/>
      <c r="AD28" s="246"/>
      <c r="AE28" s="256"/>
      <c r="AF28" s="246"/>
      <c r="AG28" s="256"/>
      <c r="AH28" s="247"/>
      <c r="AI28" s="247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</row>
    <row r="29" spans="2:74" s="249" customFormat="1" ht="9">
      <c r="B29" s="250"/>
      <c r="C29" s="251"/>
      <c r="D29" s="252"/>
      <c r="E29" s="253"/>
      <c r="F29" s="254"/>
      <c r="G29" s="246"/>
      <c r="H29" s="255"/>
      <c r="I29" s="246"/>
      <c r="J29" s="256"/>
      <c r="K29" s="246"/>
      <c r="L29" s="256"/>
      <c r="M29" s="246"/>
      <c r="N29" s="257"/>
      <c r="O29" s="257"/>
      <c r="P29" s="246"/>
      <c r="Q29" s="246"/>
      <c r="R29" s="246"/>
      <c r="S29" s="251"/>
      <c r="T29" s="256"/>
      <c r="U29" s="246"/>
      <c r="V29" s="256"/>
      <c r="W29" s="246"/>
      <c r="X29" s="246"/>
      <c r="Y29" s="256"/>
      <c r="Z29" s="246"/>
      <c r="AA29" s="256"/>
      <c r="AB29" s="246"/>
      <c r="AC29" s="256"/>
      <c r="AD29" s="246"/>
      <c r="AE29" s="256"/>
      <c r="AF29" s="246"/>
      <c r="AG29" s="256"/>
      <c r="AH29" s="247"/>
      <c r="AI29" s="247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</row>
    <row r="30" spans="2:74" s="215" customFormat="1" ht="9">
      <c r="B30" s="209" t="s">
        <v>93</v>
      </c>
      <c r="C30" s="210" t="s">
        <v>94</v>
      </c>
      <c r="D30" s="209" t="s">
        <v>95</v>
      </c>
      <c r="E30" s="211" t="s">
        <v>96</v>
      </c>
      <c r="F30" s="212" t="s">
        <v>97</v>
      </c>
      <c r="G30" s="211" t="s">
        <v>98</v>
      </c>
      <c r="H30" s="209" t="s">
        <v>99</v>
      </c>
      <c r="I30" s="210" t="s">
        <v>153</v>
      </c>
      <c r="J30" s="209" t="s">
        <v>101</v>
      </c>
      <c r="K30" s="210" t="s">
        <v>102</v>
      </c>
      <c r="L30" s="209" t="s">
        <v>103</v>
      </c>
      <c r="M30" s="210" t="s">
        <v>104</v>
      </c>
      <c r="N30" s="213" t="s">
        <v>105</v>
      </c>
      <c r="O30" s="213" t="s">
        <v>106</v>
      </c>
      <c r="P30" s="258"/>
      <c r="Q30" s="225"/>
      <c r="R30" s="225"/>
      <c r="S30" s="210" t="s">
        <v>94</v>
      </c>
      <c r="T30" s="209" t="s">
        <v>107</v>
      </c>
      <c r="U30" s="210" t="s">
        <v>108</v>
      </c>
      <c r="V30" s="209" t="s">
        <v>109</v>
      </c>
      <c r="W30" s="210" t="s">
        <v>110</v>
      </c>
      <c r="X30" s="210"/>
      <c r="Y30" s="209" t="s">
        <v>111</v>
      </c>
      <c r="Z30" s="210" t="s">
        <v>112</v>
      </c>
      <c r="AA30" s="209" t="s">
        <v>113</v>
      </c>
      <c r="AB30" s="210" t="s">
        <v>114</v>
      </c>
      <c r="AC30" s="209" t="s">
        <v>115</v>
      </c>
      <c r="AD30" s="210" t="s">
        <v>116</v>
      </c>
      <c r="AE30" s="209" t="s">
        <v>117</v>
      </c>
      <c r="AF30" s="210" t="s">
        <v>118</v>
      </c>
      <c r="AG30" s="209" t="s">
        <v>109</v>
      </c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</row>
    <row r="31" spans="2:74" s="215" customFormat="1" ht="9.75" thickBot="1">
      <c r="B31" s="216" t="s">
        <v>119</v>
      </c>
      <c r="C31" s="217"/>
      <c r="D31" s="216" t="s">
        <v>154</v>
      </c>
      <c r="E31" s="218" t="s">
        <v>299</v>
      </c>
      <c r="F31" s="219"/>
      <c r="G31" s="218">
        <v>2009</v>
      </c>
      <c r="H31" s="216" t="s">
        <v>122</v>
      </c>
      <c r="I31" s="217" t="s">
        <v>122</v>
      </c>
      <c r="J31" s="220"/>
      <c r="K31" s="221"/>
      <c r="L31" s="216" t="s">
        <v>124</v>
      </c>
      <c r="M31" s="222" t="s">
        <v>125</v>
      </c>
      <c r="N31" s="223" t="s">
        <v>126</v>
      </c>
      <c r="O31" s="259" t="s">
        <v>127</v>
      </c>
      <c r="P31" s="258"/>
      <c r="Q31" s="225"/>
      <c r="R31" s="225"/>
      <c r="S31" s="217"/>
      <c r="T31" s="216" t="s">
        <v>128</v>
      </c>
      <c r="U31" s="222" t="s">
        <v>126</v>
      </c>
      <c r="V31" s="216" t="s">
        <v>129</v>
      </c>
      <c r="W31" s="222" t="s">
        <v>130</v>
      </c>
      <c r="X31" s="222"/>
      <c r="Y31" s="216" t="s">
        <v>131</v>
      </c>
      <c r="Z31" s="222" t="s">
        <v>132</v>
      </c>
      <c r="AA31" s="216" t="s">
        <v>133</v>
      </c>
      <c r="AB31" s="222" t="s">
        <v>134</v>
      </c>
      <c r="AC31" s="216" t="s">
        <v>135</v>
      </c>
      <c r="AD31" s="222"/>
      <c r="AE31" s="216"/>
      <c r="AF31" s="222" t="s">
        <v>136</v>
      </c>
      <c r="AG31" s="216" t="s">
        <v>137</v>
      </c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</row>
    <row r="32" spans="2:74" s="201" customFormat="1" ht="9" hidden="1">
      <c r="B32" s="260"/>
      <c r="C32" s="198"/>
      <c r="D32" s="261"/>
      <c r="E32" s="199"/>
      <c r="F32" s="262"/>
      <c r="G32" s="198"/>
      <c r="H32" s="261"/>
      <c r="I32" s="198"/>
      <c r="J32" s="261"/>
      <c r="K32" s="198"/>
      <c r="L32" s="261"/>
      <c r="M32" s="198"/>
      <c r="N32" s="263"/>
      <c r="O32" s="263"/>
      <c r="P32" s="263"/>
      <c r="Q32" s="234"/>
      <c r="R32" s="234"/>
      <c r="S32" s="198"/>
      <c r="T32" s="261"/>
      <c r="U32" s="198"/>
      <c r="V32" s="261"/>
      <c r="W32" s="198"/>
      <c r="X32" s="198"/>
      <c r="Y32" s="261"/>
      <c r="Z32" s="198"/>
      <c r="AA32" s="261"/>
      <c r="AB32" s="198"/>
      <c r="AC32" s="261"/>
      <c r="AD32" s="198"/>
      <c r="AE32" s="261"/>
      <c r="AF32" s="198"/>
      <c r="AG32" s="261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</row>
    <row r="33" spans="2:74" s="208" customFormat="1" ht="9" hidden="1">
      <c r="B33" s="264" t="s">
        <v>93</v>
      </c>
      <c r="C33" s="265" t="s">
        <v>94</v>
      </c>
      <c r="D33" s="264" t="s">
        <v>95</v>
      </c>
      <c r="E33" s="266" t="s">
        <v>96</v>
      </c>
      <c r="F33" s="267" t="s">
        <v>97</v>
      </c>
      <c r="G33" s="265" t="s">
        <v>96</v>
      </c>
      <c r="H33" s="264" t="s">
        <v>99</v>
      </c>
      <c r="I33" s="265" t="s">
        <v>100</v>
      </c>
      <c r="J33" s="264" t="s">
        <v>101</v>
      </c>
      <c r="K33" s="265" t="s">
        <v>102</v>
      </c>
      <c r="L33" s="264" t="s">
        <v>103</v>
      </c>
      <c r="M33" s="265" t="s">
        <v>104</v>
      </c>
      <c r="N33" s="268" t="s">
        <v>105</v>
      </c>
      <c r="O33" s="269" t="s">
        <v>106</v>
      </c>
      <c r="P33" s="269"/>
      <c r="Q33" s="270"/>
      <c r="R33" s="270"/>
      <c r="S33" s="265" t="s">
        <v>94</v>
      </c>
      <c r="T33" s="264" t="s">
        <v>107</v>
      </c>
      <c r="U33" s="265" t="s">
        <v>108</v>
      </c>
      <c r="V33" s="264" t="s">
        <v>109</v>
      </c>
      <c r="W33" s="265" t="s">
        <v>110</v>
      </c>
      <c r="X33" s="265"/>
      <c r="Y33" s="264" t="s">
        <v>111</v>
      </c>
      <c r="Z33" s="265" t="s">
        <v>112</v>
      </c>
      <c r="AA33" s="264" t="s">
        <v>113</v>
      </c>
      <c r="AB33" s="265" t="s">
        <v>114</v>
      </c>
      <c r="AC33" s="264" t="s">
        <v>115</v>
      </c>
      <c r="AD33" s="265" t="s">
        <v>116</v>
      </c>
      <c r="AE33" s="264" t="s">
        <v>117</v>
      </c>
      <c r="AF33" s="265" t="s">
        <v>118</v>
      </c>
      <c r="AG33" s="264" t="s">
        <v>109</v>
      </c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</row>
    <row r="34" spans="2:74" s="208" customFormat="1" ht="9.75" hidden="1" thickBot="1">
      <c r="B34" s="271" t="s">
        <v>119</v>
      </c>
      <c r="C34" s="272"/>
      <c r="D34" s="271" t="s">
        <v>154</v>
      </c>
      <c r="E34" s="273" t="s">
        <v>121</v>
      </c>
      <c r="F34" s="274"/>
      <c r="G34" s="275" t="s">
        <v>155</v>
      </c>
      <c r="H34" s="271" t="s">
        <v>122</v>
      </c>
      <c r="I34" s="272" t="s">
        <v>156</v>
      </c>
      <c r="J34" s="276">
        <f>21451*1.062</f>
        <v>22780.962</v>
      </c>
      <c r="K34" s="277">
        <f>26413*1.09</f>
        <v>28790.170000000002</v>
      </c>
      <c r="L34" s="271" t="s">
        <v>124</v>
      </c>
      <c r="M34" s="275" t="s">
        <v>125</v>
      </c>
      <c r="N34" s="278" t="s">
        <v>126</v>
      </c>
      <c r="O34" s="269" t="s">
        <v>127</v>
      </c>
      <c r="P34" s="269"/>
      <c r="Q34" s="270"/>
      <c r="R34" s="270"/>
      <c r="S34" s="272"/>
      <c r="T34" s="271" t="s">
        <v>128</v>
      </c>
      <c r="U34" s="275" t="s">
        <v>126</v>
      </c>
      <c r="V34" s="271" t="s">
        <v>129</v>
      </c>
      <c r="W34" s="275" t="s">
        <v>130</v>
      </c>
      <c r="X34" s="275"/>
      <c r="Y34" s="271" t="s">
        <v>131</v>
      </c>
      <c r="Z34" s="275" t="s">
        <v>132</v>
      </c>
      <c r="AA34" s="271" t="s">
        <v>133</v>
      </c>
      <c r="AB34" s="275" t="s">
        <v>134</v>
      </c>
      <c r="AC34" s="271" t="s">
        <v>135</v>
      </c>
      <c r="AD34" s="275"/>
      <c r="AE34" s="271"/>
      <c r="AF34" s="275" t="s">
        <v>136</v>
      </c>
      <c r="AG34" s="271" t="s">
        <v>137</v>
      </c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</row>
    <row r="35" spans="2:74" s="201" customFormat="1" ht="9">
      <c r="B35" s="226">
        <v>1</v>
      </c>
      <c r="C35" s="227" t="s">
        <v>157</v>
      </c>
      <c r="D35" s="226">
        <v>1</v>
      </c>
      <c r="E35" s="228">
        <v>2404425</v>
      </c>
      <c r="F35" s="229">
        <v>0.05</v>
      </c>
      <c r="G35" s="230">
        <f>+E35*(1+F35)</f>
        <v>2524646.25</v>
      </c>
      <c r="H35" s="231">
        <f>B35*G35*12</f>
        <v>30295755</v>
      </c>
      <c r="I35" s="234"/>
      <c r="J35" s="231">
        <f>(IF(+G35&lt;=+$J$4,+$J$6,0))*12*B35</f>
        <v>0</v>
      </c>
      <c r="K35" s="230">
        <f>(IF(+G35&lt;=+$K$4,+$K$6,0))*12</f>
        <v>0</v>
      </c>
      <c r="L35" s="231">
        <f>(IF(+G35&lt;=+$L$4,(G35*0.5),(G35*0.35)))*B35</f>
        <v>883626.1875</v>
      </c>
      <c r="M35" s="230">
        <f>(SUM(H35:L35)-I35)/24</f>
        <v>1299140.8828125</v>
      </c>
      <c r="N35" s="233">
        <f>(SUM(H35:M35)-I35)/24</f>
        <v>1353271.7529296875</v>
      </c>
      <c r="O35" s="233">
        <f>(SUM(H35:N35)-I35)/12</f>
        <v>2819316.151936849</v>
      </c>
      <c r="P35" s="233"/>
      <c r="Q35" s="230"/>
      <c r="R35" s="230"/>
      <c r="S35" s="227" t="s">
        <v>157</v>
      </c>
      <c r="T35" s="231">
        <f>H35/180</f>
        <v>168309.75</v>
      </c>
      <c r="U35" s="230">
        <f>((J35+K35+L35+M35)/12)*23/30</f>
        <v>139454.56282552084</v>
      </c>
      <c r="V35" s="231">
        <f>SUM(H35:U35)</f>
        <v>36958874.28800456</v>
      </c>
      <c r="W35" s="230">
        <f>(+V35-T35-I35)*8.33/100</f>
        <v>3064654.02601578</v>
      </c>
      <c r="X35" s="230">
        <f>W35*12%</f>
        <v>367758.4831218936</v>
      </c>
      <c r="Y35" s="231">
        <f>(+V35-O35-T35-K35-I35)*4/100</f>
        <v>1358849.9354427084</v>
      </c>
      <c r="Z35" s="230">
        <f>(+V35-O35-T35-K35-I35)*3/100</f>
        <v>1019137.4515820312</v>
      </c>
      <c r="AA35" s="231">
        <f>(+V35-O35-T35-K35-I35)*0.5/100</f>
        <v>169856.24193033855</v>
      </c>
      <c r="AB35" s="230">
        <f>+AA35</f>
        <v>169856.24193033855</v>
      </c>
      <c r="AC35" s="231">
        <f>+AB35*2</f>
        <v>339712.4838606771</v>
      </c>
      <c r="AD35" s="230">
        <f>(+H35+L35)*10.875/100</f>
        <v>3390757.704140625</v>
      </c>
      <c r="AE35" s="231">
        <f>(+H35+L35)*8/100</f>
        <v>2494350.495</v>
      </c>
      <c r="AF35" s="230">
        <f>(+H35+L35)*0.522/100</f>
        <v>162756.36979875</v>
      </c>
      <c r="AG35" s="231">
        <f>SUM(V35:AF35)</f>
        <v>49496563.7208277</v>
      </c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</row>
    <row r="36" spans="2:74" s="237" customFormat="1" ht="9">
      <c r="B36" s="226">
        <v>1</v>
      </c>
      <c r="C36" s="227" t="s">
        <v>146</v>
      </c>
      <c r="D36" s="226">
        <v>2</v>
      </c>
      <c r="E36" s="228">
        <v>811363</v>
      </c>
      <c r="F36" s="229">
        <v>0.05</v>
      </c>
      <c r="G36" s="230">
        <f>+E36*(1+F36)</f>
        <v>851931.15</v>
      </c>
      <c r="H36" s="231">
        <f>B36*G36*12</f>
        <v>10223173.8</v>
      </c>
      <c r="I36" s="234"/>
      <c r="J36" s="231">
        <f>(IF(+G36&lt;=+$J$4,+$J$6,0))*12*B36</f>
        <v>445320</v>
      </c>
      <c r="K36" s="230">
        <f>(IF(+G36&lt;=+$K$4,+$K$6,0))*12*B36</f>
        <v>637032</v>
      </c>
      <c r="L36" s="231">
        <f>(IF(+G36&lt;=+$L$4,(G36*0.5),(G36*0.35)))*B36</f>
        <v>425965.575</v>
      </c>
      <c r="M36" s="230">
        <f>(SUM(H36:L36)-I36)/24</f>
        <v>488812.140625</v>
      </c>
      <c r="N36" s="233">
        <f>(SUM(H36:M36)-I36)/24</f>
        <v>509179.3131510417</v>
      </c>
      <c r="O36" s="233">
        <f>(SUM(H36:N36)-I36)/12</f>
        <v>1060790.2357313368</v>
      </c>
      <c r="P36" s="233"/>
      <c r="Q36" s="230"/>
      <c r="R36" s="230"/>
      <c r="S36" s="227" t="s">
        <v>146</v>
      </c>
      <c r="T36" s="231">
        <f>H36/180</f>
        <v>56795.41</v>
      </c>
      <c r="U36" s="230">
        <f>((J36+K36+L36+M36)/12)*23/30</f>
        <v>127594.39849826388</v>
      </c>
      <c r="V36" s="231">
        <f>SUM(H36:U36)</f>
        <v>13974662.873005642</v>
      </c>
      <c r="W36" s="230">
        <f>(+V36-T36-I36)*8.33/100</f>
        <v>1159358.3596683699</v>
      </c>
      <c r="X36" s="230">
        <f>W36*12%</f>
        <v>139123.0031602044</v>
      </c>
      <c r="Y36" s="231">
        <f>(+V36-O36-T36-K36-I36)*4/100</f>
        <v>488801.8090909722</v>
      </c>
      <c r="Z36" s="230">
        <f>(+V36-O36-T36-K36-I36)*3/100</f>
        <v>366601.35681822913</v>
      </c>
      <c r="AA36" s="231">
        <f>(+V36-O36-T36-K36-I36)*0.5/100</f>
        <v>61100.22613637152</v>
      </c>
      <c r="AB36" s="230">
        <f>+AA36</f>
        <v>61100.22613637152</v>
      </c>
      <c r="AC36" s="231">
        <f>+AB36*2</f>
        <v>122200.45227274304</v>
      </c>
      <c r="AD36" s="230">
        <f>(+H36+L36)*10.875/100</f>
        <v>1158093.90703125</v>
      </c>
      <c r="AE36" s="231">
        <f>(+H36+L36)*8/100</f>
        <v>851931.15</v>
      </c>
      <c r="AF36" s="230">
        <f>(+H36+L36)*0.522/100</f>
        <v>55588.5075375</v>
      </c>
      <c r="AG36" s="231">
        <f>SUM(V36:AF36)</f>
        <v>18438561.870857652</v>
      </c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</row>
    <row r="37" spans="2:74" s="249" customFormat="1" ht="9">
      <c r="B37" s="239">
        <f>SUM(B35:B36)</f>
        <v>2</v>
      </c>
      <c r="C37" s="240" t="s">
        <v>158</v>
      </c>
      <c r="D37" s="241"/>
      <c r="E37" s="279"/>
      <c r="F37" s="280"/>
      <c r="G37" s="242">
        <f>SUM(G35:G36)</f>
        <v>3376577.4</v>
      </c>
      <c r="H37" s="243">
        <f aca="true" t="shared" si="26" ref="H37:AF37">SUM(H35:H36)</f>
        <v>40518928.8</v>
      </c>
      <c r="I37" s="242">
        <f t="shared" si="26"/>
        <v>0</v>
      </c>
      <c r="J37" s="243">
        <f>SUM(J35:J36)</f>
        <v>445320</v>
      </c>
      <c r="K37" s="242">
        <f t="shared" si="26"/>
        <v>637032</v>
      </c>
      <c r="L37" s="243">
        <f t="shared" si="26"/>
        <v>1309591.7625</v>
      </c>
      <c r="M37" s="242">
        <f t="shared" si="26"/>
        <v>1787953.0234375</v>
      </c>
      <c r="N37" s="244">
        <f t="shared" si="26"/>
        <v>1862451.0660807292</v>
      </c>
      <c r="O37" s="244">
        <f t="shared" si="26"/>
        <v>3880106.387668186</v>
      </c>
      <c r="P37" s="257"/>
      <c r="Q37" s="246"/>
      <c r="R37" s="246"/>
      <c r="S37" s="240" t="s">
        <v>158</v>
      </c>
      <c r="T37" s="243">
        <f t="shared" si="26"/>
        <v>225105.16</v>
      </c>
      <c r="U37" s="242">
        <f t="shared" si="26"/>
        <v>267048.9613237847</v>
      </c>
      <c r="V37" s="243">
        <f t="shared" si="26"/>
        <v>50933537.161010206</v>
      </c>
      <c r="W37" s="242">
        <f t="shared" si="26"/>
        <v>4224012.385684149</v>
      </c>
      <c r="X37" s="242">
        <f t="shared" si="26"/>
        <v>506881.486282098</v>
      </c>
      <c r="Y37" s="243">
        <f t="shared" si="26"/>
        <v>1847651.7445336806</v>
      </c>
      <c r="Z37" s="242">
        <f t="shared" si="26"/>
        <v>1385738.8084002603</v>
      </c>
      <c r="AA37" s="243">
        <f t="shared" si="26"/>
        <v>230956.46806671008</v>
      </c>
      <c r="AB37" s="242">
        <f t="shared" si="26"/>
        <v>230956.46806671008</v>
      </c>
      <c r="AC37" s="243">
        <f t="shared" si="26"/>
        <v>461912.93613342015</v>
      </c>
      <c r="AD37" s="242">
        <f t="shared" si="26"/>
        <v>4548851.611171875</v>
      </c>
      <c r="AE37" s="243">
        <f t="shared" si="26"/>
        <v>3346281.645</v>
      </c>
      <c r="AF37" s="242">
        <f t="shared" si="26"/>
        <v>218344.87733625</v>
      </c>
      <c r="AG37" s="243">
        <f>SUM(AG35:AG36)</f>
        <v>67935125.59168535</v>
      </c>
      <c r="AH37" s="247"/>
      <c r="AI37" s="247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</row>
    <row r="38" spans="2:74" s="201" customFormat="1" ht="14.25" customHeight="1">
      <c r="B38" s="260"/>
      <c r="C38" s="198"/>
      <c r="D38" s="261"/>
      <c r="E38" s="199"/>
      <c r="F38" s="262"/>
      <c r="G38" s="198"/>
      <c r="H38" s="261"/>
      <c r="I38" s="198"/>
      <c r="J38" s="261"/>
      <c r="K38" s="198"/>
      <c r="L38" s="261"/>
      <c r="M38" s="198"/>
      <c r="N38" s="263"/>
      <c r="O38" s="263"/>
      <c r="P38" s="263"/>
      <c r="Q38" s="234"/>
      <c r="R38" s="234"/>
      <c r="S38" s="198"/>
      <c r="T38" s="261"/>
      <c r="U38" s="198"/>
      <c r="V38" s="261"/>
      <c r="W38" s="198"/>
      <c r="X38" s="198"/>
      <c r="Y38" s="261"/>
      <c r="Z38" s="198"/>
      <c r="AA38" s="261"/>
      <c r="AB38" s="198"/>
      <c r="AC38" s="261"/>
      <c r="AD38" s="198"/>
      <c r="AE38" s="261"/>
      <c r="AF38" s="198"/>
      <c r="AG38" s="261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</row>
    <row r="39" spans="2:74" s="201" customFormat="1" ht="9">
      <c r="B39" s="260"/>
      <c r="C39" s="198"/>
      <c r="D39" s="261"/>
      <c r="E39" s="199"/>
      <c r="F39" s="262"/>
      <c r="G39" s="198"/>
      <c r="H39" s="261"/>
      <c r="I39" s="198"/>
      <c r="J39" s="261"/>
      <c r="K39" s="198"/>
      <c r="L39" s="261"/>
      <c r="M39" s="198"/>
      <c r="N39" s="263"/>
      <c r="O39" s="263"/>
      <c r="P39" s="263"/>
      <c r="Q39" s="234"/>
      <c r="R39" s="234"/>
      <c r="S39" s="198"/>
      <c r="T39" s="261"/>
      <c r="U39" s="198"/>
      <c r="V39" s="261"/>
      <c r="W39" s="198"/>
      <c r="X39" s="198"/>
      <c r="Y39" s="261"/>
      <c r="Z39" s="198"/>
      <c r="AA39" s="261"/>
      <c r="AB39" s="198"/>
      <c r="AC39" s="261"/>
      <c r="AD39" s="198"/>
      <c r="AE39" s="261"/>
      <c r="AF39" s="198"/>
      <c r="AG39" s="261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</row>
    <row r="40" spans="2:74" s="215" customFormat="1" ht="9">
      <c r="B40" s="209" t="s">
        <v>93</v>
      </c>
      <c r="C40" s="210" t="s">
        <v>94</v>
      </c>
      <c r="D40" s="209" t="s">
        <v>95</v>
      </c>
      <c r="E40" s="211" t="s">
        <v>96</v>
      </c>
      <c r="F40" s="212" t="s">
        <v>97</v>
      </c>
      <c r="G40" s="211" t="s">
        <v>98</v>
      </c>
      <c r="H40" s="209" t="s">
        <v>99</v>
      </c>
      <c r="I40" s="210" t="s">
        <v>153</v>
      </c>
      <c r="J40" s="209" t="s">
        <v>101</v>
      </c>
      <c r="K40" s="210" t="s">
        <v>102</v>
      </c>
      <c r="L40" s="209" t="s">
        <v>103</v>
      </c>
      <c r="M40" s="210" t="s">
        <v>104</v>
      </c>
      <c r="N40" s="213" t="s">
        <v>105</v>
      </c>
      <c r="O40" s="213" t="s">
        <v>106</v>
      </c>
      <c r="P40" s="258"/>
      <c r="Q40" s="225"/>
      <c r="R40" s="225"/>
      <c r="S40" s="210" t="s">
        <v>94</v>
      </c>
      <c r="T40" s="209" t="s">
        <v>107</v>
      </c>
      <c r="U40" s="210" t="s">
        <v>108</v>
      </c>
      <c r="V40" s="209" t="s">
        <v>109</v>
      </c>
      <c r="W40" s="210" t="s">
        <v>110</v>
      </c>
      <c r="X40" s="210"/>
      <c r="Y40" s="209" t="s">
        <v>111</v>
      </c>
      <c r="Z40" s="210" t="s">
        <v>112</v>
      </c>
      <c r="AA40" s="209" t="s">
        <v>113</v>
      </c>
      <c r="AB40" s="210" t="s">
        <v>114</v>
      </c>
      <c r="AC40" s="209" t="s">
        <v>115</v>
      </c>
      <c r="AD40" s="210" t="s">
        <v>116</v>
      </c>
      <c r="AE40" s="209" t="s">
        <v>117</v>
      </c>
      <c r="AF40" s="210" t="s">
        <v>118</v>
      </c>
      <c r="AG40" s="209" t="s">
        <v>109</v>
      </c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</row>
    <row r="41" spans="2:74" s="215" customFormat="1" ht="9.75" thickBot="1">
      <c r="B41" s="216" t="s">
        <v>119</v>
      </c>
      <c r="C41" s="217"/>
      <c r="D41" s="216" t="s">
        <v>154</v>
      </c>
      <c r="E41" s="218" t="s">
        <v>299</v>
      </c>
      <c r="F41" s="219"/>
      <c r="G41" s="218" t="s">
        <v>300</v>
      </c>
      <c r="H41" s="216" t="s">
        <v>122</v>
      </c>
      <c r="I41" s="217" t="s">
        <v>122</v>
      </c>
      <c r="J41" s="220"/>
      <c r="K41" s="221"/>
      <c r="L41" s="216" t="s">
        <v>124</v>
      </c>
      <c r="M41" s="222" t="s">
        <v>125</v>
      </c>
      <c r="N41" s="223" t="s">
        <v>126</v>
      </c>
      <c r="O41" s="259" t="s">
        <v>127</v>
      </c>
      <c r="P41" s="258"/>
      <c r="Q41" s="225"/>
      <c r="R41" s="225"/>
      <c r="S41" s="217"/>
      <c r="T41" s="216" t="s">
        <v>128</v>
      </c>
      <c r="U41" s="222" t="s">
        <v>126</v>
      </c>
      <c r="V41" s="216" t="s">
        <v>129</v>
      </c>
      <c r="W41" s="222" t="s">
        <v>130</v>
      </c>
      <c r="X41" s="222"/>
      <c r="Y41" s="216" t="s">
        <v>131</v>
      </c>
      <c r="Z41" s="222" t="s">
        <v>132</v>
      </c>
      <c r="AA41" s="216" t="s">
        <v>133</v>
      </c>
      <c r="AB41" s="222" t="s">
        <v>134</v>
      </c>
      <c r="AC41" s="216" t="s">
        <v>135</v>
      </c>
      <c r="AD41" s="222"/>
      <c r="AE41" s="216"/>
      <c r="AF41" s="222" t="s">
        <v>136</v>
      </c>
      <c r="AG41" s="216" t="s">
        <v>137</v>
      </c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</row>
    <row r="42" spans="2:74" s="201" customFormat="1" ht="9">
      <c r="B42" s="226">
        <v>11</v>
      </c>
      <c r="C42" s="227" t="s">
        <v>159</v>
      </c>
      <c r="D42" s="226">
        <v>1</v>
      </c>
      <c r="E42" s="228">
        <v>80148</v>
      </c>
      <c r="F42" s="229">
        <v>0.05</v>
      </c>
      <c r="G42" s="230">
        <f>+E42*(1+F42)</f>
        <v>84155.40000000001</v>
      </c>
      <c r="H42" s="231"/>
      <c r="I42" s="232">
        <f>+B42*G42*82</f>
        <v>75908170.80000001</v>
      </c>
      <c r="J42" s="231"/>
      <c r="K42" s="230"/>
      <c r="L42" s="231"/>
      <c r="M42" s="230"/>
      <c r="N42" s="233"/>
      <c r="O42" s="233"/>
      <c r="P42" s="233"/>
      <c r="Q42" s="230"/>
      <c r="R42" s="230"/>
      <c r="S42" s="227" t="s">
        <v>159</v>
      </c>
      <c r="T42" s="231"/>
      <c r="U42" s="230"/>
      <c r="V42" s="231">
        <f>SUM(H42:U42)</f>
        <v>75908170.80000001</v>
      </c>
      <c r="W42" s="230"/>
      <c r="X42" s="230"/>
      <c r="Y42" s="231"/>
      <c r="Z42" s="230"/>
      <c r="AA42" s="231"/>
      <c r="AB42" s="230"/>
      <c r="AC42" s="231"/>
      <c r="AD42" s="230">
        <v>0</v>
      </c>
      <c r="AE42" s="231">
        <f>(+I42)*12/100</f>
        <v>9108980.496000001</v>
      </c>
      <c r="AF42" s="230">
        <v>0</v>
      </c>
      <c r="AG42" s="231">
        <f>SUM(V42:AF42)</f>
        <v>85017151.29600002</v>
      </c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</row>
    <row r="43" spans="2:74" s="237" customFormat="1" ht="9">
      <c r="B43" s="226">
        <v>1</v>
      </c>
      <c r="C43" s="227" t="s">
        <v>146</v>
      </c>
      <c r="D43" s="226">
        <v>2</v>
      </c>
      <c r="E43" s="228">
        <v>550000</v>
      </c>
      <c r="F43" s="229">
        <v>0.05</v>
      </c>
      <c r="G43" s="230">
        <f>+E43*(1+F43)</f>
        <v>577500</v>
      </c>
      <c r="H43" s="231">
        <f>B43*G43*12</f>
        <v>6930000</v>
      </c>
      <c r="I43" s="232"/>
      <c r="J43" s="231">
        <f>(IF(+G43&lt;=+$J$4,+$J$6,0))*12*B43</f>
        <v>445320</v>
      </c>
      <c r="K43" s="230">
        <f>(IF(+G43&lt;=+$K$4,+$K$6,0))*12*B43</f>
        <v>637032</v>
      </c>
      <c r="L43" s="231">
        <f>(IF(+G43&lt;=+$L$4,(G43*0.5),(G43*0.35)))*B43</f>
        <v>288750</v>
      </c>
      <c r="M43" s="230">
        <f>(H43+J43+K43+L43)/24</f>
        <v>345879.25</v>
      </c>
      <c r="N43" s="233">
        <f>(SUM(H43:M43)-I43)/24</f>
        <v>360290.8854166667</v>
      </c>
      <c r="O43" s="233">
        <f>(SUM(H43:N43)-I43)/12</f>
        <v>750606.0112847221</v>
      </c>
      <c r="P43" s="233"/>
      <c r="Q43" s="230"/>
      <c r="R43" s="230"/>
      <c r="S43" s="227" t="s">
        <v>146</v>
      </c>
      <c r="T43" s="231">
        <f>H43/180</f>
        <v>38500</v>
      </c>
      <c r="U43" s="230">
        <f>((J43+K43+L43+M43)/12)*23/30</f>
        <v>109696.02430555556</v>
      </c>
      <c r="V43" s="231">
        <f>SUM(H43:U43)</f>
        <v>9906074.171006944</v>
      </c>
      <c r="W43" s="230">
        <f>(+V43-T43-I43)*8.33/100</f>
        <v>821968.9284448784</v>
      </c>
      <c r="X43" s="230">
        <f>W43*12%</f>
        <v>98636.2714133854</v>
      </c>
      <c r="Y43" s="231">
        <f>(+V43-O43-T43-K43-I43)*4/100</f>
        <v>339197.4463888889</v>
      </c>
      <c r="Z43" s="230">
        <f>(+V43-O43-T43-K43-I43)*3/100</f>
        <v>254398.08479166665</v>
      </c>
      <c r="AA43" s="231">
        <f>(+V43-O43-T43-K43-I43)*0.5/100</f>
        <v>42399.68079861111</v>
      </c>
      <c r="AB43" s="230">
        <f>+AA43</f>
        <v>42399.68079861111</v>
      </c>
      <c r="AC43" s="231">
        <f>+AB43*2</f>
        <v>84799.36159722222</v>
      </c>
      <c r="AD43" s="230">
        <f>(+H43+L43)*10.875/100</f>
        <v>785039.0625</v>
      </c>
      <c r="AE43" s="231">
        <f>(+H43+L43)*8/100</f>
        <v>577500</v>
      </c>
      <c r="AF43" s="230">
        <f>(+H43+L43)*0.522/100</f>
        <v>37681.875</v>
      </c>
      <c r="AG43" s="231">
        <f>SUM(V43:AF43)</f>
        <v>12990094.562740207</v>
      </c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</row>
    <row r="44" spans="2:74" s="249" customFormat="1" ht="9">
      <c r="B44" s="239">
        <f>SUM(B42:B43)</f>
        <v>12</v>
      </c>
      <c r="C44" s="240" t="s">
        <v>160</v>
      </c>
      <c r="D44" s="241"/>
      <c r="E44" s="279"/>
      <c r="F44" s="280"/>
      <c r="G44" s="242">
        <f aca="true" t="shared" si="27" ref="G44:AF44">SUM(G42:G43)</f>
        <v>661655.4</v>
      </c>
      <c r="H44" s="243">
        <f t="shared" si="27"/>
        <v>6930000</v>
      </c>
      <c r="I44" s="242">
        <f t="shared" si="27"/>
        <v>75908170.80000001</v>
      </c>
      <c r="J44" s="243">
        <f>SUM(J42:J43)</f>
        <v>445320</v>
      </c>
      <c r="K44" s="242">
        <f>SUM(K42:K43)</f>
        <v>637032</v>
      </c>
      <c r="L44" s="243">
        <f t="shared" si="27"/>
        <v>288750</v>
      </c>
      <c r="M44" s="242">
        <f t="shared" si="27"/>
        <v>345879.25</v>
      </c>
      <c r="N44" s="244">
        <f t="shared" si="27"/>
        <v>360290.8854166667</v>
      </c>
      <c r="O44" s="244">
        <f t="shared" si="27"/>
        <v>750606.0112847221</v>
      </c>
      <c r="P44" s="257"/>
      <c r="Q44" s="246"/>
      <c r="R44" s="246"/>
      <c r="S44" s="240" t="s">
        <v>160</v>
      </c>
      <c r="T44" s="243">
        <f t="shared" si="27"/>
        <v>38500</v>
      </c>
      <c r="U44" s="242">
        <f t="shared" si="27"/>
        <v>109696.02430555556</v>
      </c>
      <c r="V44" s="243">
        <f t="shared" si="27"/>
        <v>85814244.97100696</v>
      </c>
      <c r="W44" s="242">
        <f t="shared" si="27"/>
        <v>821968.9284448784</v>
      </c>
      <c r="X44" s="242">
        <f t="shared" si="27"/>
        <v>98636.2714133854</v>
      </c>
      <c r="Y44" s="243">
        <f t="shared" si="27"/>
        <v>339197.4463888889</v>
      </c>
      <c r="Z44" s="242">
        <f t="shared" si="27"/>
        <v>254398.08479166665</v>
      </c>
      <c r="AA44" s="243">
        <f t="shared" si="27"/>
        <v>42399.68079861111</v>
      </c>
      <c r="AB44" s="242">
        <f t="shared" si="27"/>
        <v>42399.68079861111</v>
      </c>
      <c r="AC44" s="243">
        <f t="shared" si="27"/>
        <v>84799.36159722222</v>
      </c>
      <c r="AD44" s="242">
        <f t="shared" si="27"/>
        <v>785039.0625</v>
      </c>
      <c r="AE44" s="243">
        <f t="shared" si="27"/>
        <v>9686480.496000001</v>
      </c>
      <c r="AF44" s="242">
        <f t="shared" si="27"/>
        <v>37681.875</v>
      </c>
      <c r="AG44" s="243">
        <f>SUM(AG42:AG43)</f>
        <v>98007245.85874023</v>
      </c>
      <c r="AH44" s="247"/>
      <c r="AI44" s="247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</row>
    <row r="45" spans="2:74" s="249" customFormat="1" ht="9">
      <c r="B45" s="281"/>
      <c r="C45" s="251"/>
      <c r="D45" s="282"/>
      <c r="E45" s="253"/>
      <c r="F45" s="283"/>
      <c r="G45" s="246"/>
      <c r="H45" s="246"/>
      <c r="I45" s="246"/>
      <c r="J45" s="246"/>
      <c r="K45" s="246"/>
      <c r="L45" s="246"/>
      <c r="M45" s="246"/>
      <c r="N45" s="246"/>
      <c r="O45" s="257"/>
      <c r="P45" s="257"/>
      <c r="Q45" s="246"/>
      <c r="R45" s="246"/>
      <c r="S45" s="251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7"/>
      <c r="AI45" s="247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</row>
    <row r="46" spans="2:74" s="249" customFormat="1" ht="9">
      <c r="B46" s="281"/>
      <c r="C46" s="251"/>
      <c r="D46" s="282"/>
      <c r="E46" s="253"/>
      <c r="F46" s="283"/>
      <c r="G46" s="246"/>
      <c r="H46" s="246"/>
      <c r="I46" s="246"/>
      <c r="J46" s="246"/>
      <c r="K46" s="246"/>
      <c r="L46" s="246"/>
      <c r="M46" s="246"/>
      <c r="N46" s="246"/>
      <c r="O46" s="257"/>
      <c r="P46" s="257"/>
      <c r="Q46" s="246"/>
      <c r="R46" s="246"/>
      <c r="S46" s="251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7"/>
      <c r="AI46" s="247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</row>
    <row r="47" spans="2:74" s="249" customFormat="1" ht="9">
      <c r="B47" s="281"/>
      <c r="C47" s="251"/>
      <c r="D47" s="282"/>
      <c r="E47" s="253"/>
      <c r="F47" s="283"/>
      <c r="G47" s="246"/>
      <c r="H47" s="246"/>
      <c r="I47" s="246"/>
      <c r="J47" s="246"/>
      <c r="K47" s="246"/>
      <c r="L47" s="246"/>
      <c r="M47" s="246"/>
      <c r="N47" s="246"/>
      <c r="O47" s="257"/>
      <c r="P47" s="257"/>
      <c r="Q47" s="246"/>
      <c r="R47" s="246"/>
      <c r="S47" s="251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7"/>
      <c r="AI47" s="247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</row>
    <row r="48" spans="2:74" s="215" customFormat="1" ht="9">
      <c r="B48" s="209" t="s">
        <v>93</v>
      </c>
      <c r="C48" s="210" t="s">
        <v>94</v>
      </c>
      <c r="D48" s="209" t="s">
        <v>95</v>
      </c>
      <c r="E48" s="211" t="s">
        <v>96</v>
      </c>
      <c r="F48" s="212" t="s">
        <v>97</v>
      </c>
      <c r="G48" s="211" t="s">
        <v>98</v>
      </c>
      <c r="H48" s="209" t="s">
        <v>99</v>
      </c>
      <c r="I48" s="210" t="s">
        <v>153</v>
      </c>
      <c r="J48" s="209" t="s">
        <v>101</v>
      </c>
      <c r="K48" s="210" t="s">
        <v>102</v>
      </c>
      <c r="L48" s="209" t="s">
        <v>103</v>
      </c>
      <c r="M48" s="210" t="s">
        <v>104</v>
      </c>
      <c r="N48" s="213" t="s">
        <v>105</v>
      </c>
      <c r="O48" s="213" t="s">
        <v>106</v>
      </c>
      <c r="P48" s="258"/>
      <c r="Q48" s="225"/>
      <c r="R48" s="225"/>
      <c r="S48" s="210" t="s">
        <v>94</v>
      </c>
      <c r="T48" s="209" t="s">
        <v>107</v>
      </c>
      <c r="U48" s="210" t="s">
        <v>108</v>
      </c>
      <c r="V48" s="209" t="s">
        <v>109</v>
      </c>
      <c r="W48" s="210" t="s">
        <v>110</v>
      </c>
      <c r="X48" s="210"/>
      <c r="Y48" s="209" t="s">
        <v>111</v>
      </c>
      <c r="Z48" s="210" t="s">
        <v>112</v>
      </c>
      <c r="AA48" s="209" t="s">
        <v>113</v>
      </c>
      <c r="AB48" s="210" t="s">
        <v>114</v>
      </c>
      <c r="AC48" s="209" t="s">
        <v>115</v>
      </c>
      <c r="AD48" s="210" t="s">
        <v>116</v>
      </c>
      <c r="AE48" s="209" t="s">
        <v>117</v>
      </c>
      <c r="AF48" s="210" t="s">
        <v>118</v>
      </c>
      <c r="AG48" s="209" t="s">
        <v>109</v>
      </c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</row>
    <row r="49" spans="2:74" s="215" customFormat="1" ht="9.75" thickBot="1">
      <c r="B49" s="216" t="s">
        <v>119</v>
      </c>
      <c r="C49" s="217"/>
      <c r="D49" s="216" t="s">
        <v>154</v>
      </c>
      <c r="E49" s="218" t="s">
        <v>299</v>
      </c>
      <c r="F49" s="219"/>
      <c r="G49" s="218">
        <v>2009</v>
      </c>
      <c r="H49" s="216" t="s">
        <v>122</v>
      </c>
      <c r="I49" s="217" t="s">
        <v>122</v>
      </c>
      <c r="J49" s="220"/>
      <c r="K49" s="221"/>
      <c r="L49" s="216" t="s">
        <v>124</v>
      </c>
      <c r="M49" s="222" t="s">
        <v>125</v>
      </c>
      <c r="N49" s="223" t="s">
        <v>126</v>
      </c>
      <c r="O49" s="259" t="s">
        <v>127</v>
      </c>
      <c r="P49" s="258"/>
      <c r="Q49" s="225"/>
      <c r="R49" s="225"/>
      <c r="S49" s="217"/>
      <c r="T49" s="216" t="s">
        <v>128</v>
      </c>
      <c r="U49" s="222" t="s">
        <v>126</v>
      </c>
      <c r="V49" s="216" t="s">
        <v>129</v>
      </c>
      <c r="W49" s="222" t="s">
        <v>130</v>
      </c>
      <c r="X49" s="222"/>
      <c r="Y49" s="216" t="s">
        <v>131</v>
      </c>
      <c r="Z49" s="222" t="s">
        <v>132</v>
      </c>
      <c r="AA49" s="216" t="s">
        <v>133</v>
      </c>
      <c r="AB49" s="222" t="s">
        <v>134</v>
      </c>
      <c r="AC49" s="216" t="s">
        <v>135</v>
      </c>
      <c r="AD49" s="222"/>
      <c r="AE49" s="216"/>
      <c r="AF49" s="222" t="s">
        <v>136</v>
      </c>
      <c r="AG49" s="216" t="s">
        <v>137</v>
      </c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</row>
    <row r="50" spans="2:74" s="201" customFormat="1" ht="9">
      <c r="B50" s="226">
        <v>1</v>
      </c>
      <c r="C50" s="227" t="s">
        <v>161</v>
      </c>
      <c r="D50" s="226">
        <v>1</v>
      </c>
      <c r="E50" s="228">
        <v>1796447</v>
      </c>
      <c r="F50" s="229">
        <v>0.05</v>
      </c>
      <c r="G50" s="230">
        <f>+E50*(1+F50)</f>
        <v>1886269.35</v>
      </c>
      <c r="H50" s="231">
        <f>B50*G50*12</f>
        <v>22635232.200000003</v>
      </c>
      <c r="I50" s="234"/>
      <c r="J50" s="231">
        <f>(IF(+G50&lt;=+$J$4,+$J$6,0))*12*B50</f>
        <v>0</v>
      </c>
      <c r="K50" s="230">
        <f>(IF(+G50&lt;=+$K$4,+$K$6,0))*12</f>
        <v>0</v>
      </c>
      <c r="L50" s="231">
        <f>(IF(+G50&lt;=+$L$4,(G50*0.5),(G50*0.35)))*B50</f>
        <v>660194.2725</v>
      </c>
      <c r="M50" s="230">
        <f>(SUM(H50:L50)-I50)/24</f>
        <v>970642.7696875002</v>
      </c>
      <c r="N50" s="233">
        <f>(SUM(H50:M50)-I50)/24</f>
        <v>1011086.2184244794</v>
      </c>
      <c r="O50" s="233">
        <f>(SUM(H50:N50)-I50)/12</f>
        <v>2106429.6217176653</v>
      </c>
      <c r="P50" s="233"/>
      <c r="Q50" s="230"/>
      <c r="R50" s="230"/>
      <c r="S50" s="227" t="s">
        <v>161</v>
      </c>
      <c r="T50" s="231">
        <f>H50/180</f>
        <v>125751.29000000002</v>
      </c>
      <c r="U50" s="230">
        <f>((J50+K50+L50+M50)/12)*23/30</f>
        <v>104192.36658420142</v>
      </c>
      <c r="V50" s="231">
        <f>SUM(H50:U50)</f>
        <v>27613528.73891385</v>
      </c>
      <c r="W50" s="230">
        <f>(+V50-T50-I50)*8.33/100</f>
        <v>2289731.8614945235</v>
      </c>
      <c r="X50" s="230">
        <f>W50*12%</f>
        <v>274767.8233793428</v>
      </c>
      <c r="Y50" s="231">
        <f>(+V50-O50-T50-K50)*4/100</f>
        <v>1015253.9130878474</v>
      </c>
      <c r="Z50" s="230">
        <f>(+V50-O50-T50-K50-I50)*3/100</f>
        <v>761440.4348158856</v>
      </c>
      <c r="AA50" s="231">
        <f>(+V50-O50-T50-K50-I50)*0.5/100</f>
        <v>126906.73913598093</v>
      </c>
      <c r="AB50" s="230">
        <f>+AA50</f>
        <v>126906.73913598093</v>
      </c>
      <c r="AC50" s="231">
        <f>+AB50*2</f>
        <v>253813.47827196185</v>
      </c>
      <c r="AD50" s="230">
        <f>(+H50+L50)*10.875/100</f>
        <v>2533377.6288843756</v>
      </c>
      <c r="AE50" s="231">
        <f>(+H50+L50)*8/100</f>
        <v>1863634.1178000004</v>
      </c>
      <c r="AF50" s="230">
        <f>(+H50+L50)*0.522/100</f>
        <v>121602.12618645003</v>
      </c>
      <c r="AG50" s="231">
        <f>SUM(V50:AF50)</f>
        <v>36980963.6011062</v>
      </c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</row>
    <row r="51" spans="2:74" s="237" customFormat="1" ht="9">
      <c r="B51" s="226">
        <v>1</v>
      </c>
      <c r="C51" s="227" t="s">
        <v>140</v>
      </c>
      <c r="D51" s="226">
        <v>2</v>
      </c>
      <c r="E51" s="228">
        <v>1530582</v>
      </c>
      <c r="F51" s="229">
        <v>0.05</v>
      </c>
      <c r="G51" s="230">
        <f>+E51*(1+F51)</f>
        <v>1607111.1</v>
      </c>
      <c r="H51" s="231">
        <f>B51*G51*12</f>
        <v>19285333.200000003</v>
      </c>
      <c r="I51" s="234"/>
      <c r="J51" s="231">
        <f>(IF(+G51&lt;=+$J$4,+$J$6,0))*12*B51</f>
        <v>0</v>
      </c>
      <c r="K51" s="230">
        <f>(IF(+G51&lt;=+$K$4,+$K$6,0))*12*B51</f>
        <v>0</v>
      </c>
      <c r="L51" s="231">
        <f>(IF(+G51&lt;=+$L$4,(G51*0.5),(G51*0.35)))*B51</f>
        <v>562488.885</v>
      </c>
      <c r="M51" s="230">
        <f>(H51+J51+K51+L51)/24</f>
        <v>826992.5868750002</v>
      </c>
      <c r="N51" s="233">
        <f>(SUM(H51:M51)-I51)/24</f>
        <v>861450.6113281251</v>
      </c>
      <c r="O51" s="233">
        <f>(SUM(H51:N51)-I51)/12</f>
        <v>1794688.7736002607</v>
      </c>
      <c r="P51" s="233"/>
      <c r="Q51" s="230"/>
      <c r="R51" s="230"/>
      <c r="S51" s="227" t="s">
        <v>140</v>
      </c>
      <c r="T51" s="231">
        <f>H51/180</f>
        <v>107140.74000000002</v>
      </c>
      <c r="U51" s="230">
        <f>((J51+K51+L51+M51)/12)*23/30</f>
        <v>88772.4273697917</v>
      </c>
      <c r="V51" s="231">
        <f>SUM(H51:U51)</f>
        <v>23526867.22417318</v>
      </c>
      <c r="W51" s="230">
        <f>(+V51-T51-I51)*8.33/100</f>
        <v>1950863.2161316262</v>
      </c>
      <c r="X51" s="230">
        <f>W51*12%</f>
        <v>234103.58593579513</v>
      </c>
      <c r="Y51" s="231">
        <f>(+V51-O51-T51-K51)*4/100</f>
        <v>865001.5084229169</v>
      </c>
      <c r="Z51" s="230">
        <f>(+V51-O51-T51-K51-I51)*3/100</f>
        <v>648751.1313171876</v>
      </c>
      <c r="AA51" s="231">
        <f>(+V51-O51-T51-K51-I51)*0.5/100</f>
        <v>108125.18855286461</v>
      </c>
      <c r="AB51" s="230">
        <f>+AA51</f>
        <v>108125.18855286461</v>
      </c>
      <c r="AC51" s="231">
        <f>+AB51*2</f>
        <v>216250.37710572922</v>
      </c>
      <c r="AD51" s="230">
        <f>(+H51+L51)*10.875/100</f>
        <v>2158450.6517437506</v>
      </c>
      <c r="AE51" s="231">
        <f>(+H51+L51)*8/100</f>
        <v>1587825.7668000003</v>
      </c>
      <c r="AF51" s="230">
        <f>(+H51+L51)*0.522/100</f>
        <v>103605.63128370002</v>
      </c>
      <c r="AG51" s="231">
        <f>SUM(V51:AF51)</f>
        <v>31507969.470019616</v>
      </c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</row>
    <row r="52" spans="2:74" s="249" customFormat="1" ht="9">
      <c r="B52" s="239">
        <f>SUM(B50:B51)</f>
        <v>2</v>
      </c>
      <c r="C52" s="240" t="s">
        <v>162</v>
      </c>
      <c r="D52" s="241"/>
      <c r="E52" s="279"/>
      <c r="F52" s="280"/>
      <c r="G52" s="242">
        <f aca="true" t="shared" si="28" ref="G52:AG52">SUM(G50:G51)</f>
        <v>3493380.45</v>
      </c>
      <c r="H52" s="243">
        <f t="shared" si="28"/>
        <v>41920565.400000006</v>
      </c>
      <c r="I52" s="242">
        <f t="shared" si="28"/>
        <v>0</v>
      </c>
      <c r="J52" s="243">
        <f t="shared" si="28"/>
        <v>0</v>
      </c>
      <c r="K52" s="242">
        <f t="shared" si="28"/>
        <v>0</v>
      </c>
      <c r="L52" s="243">
        <f t="shared" si="28"/>
        <v>1222683.1575</v>
      </c>
      <c r="M52" s="242">
        <f t="shared" si="28"/>
        <v>1797635.3565625004</v>
      </c>
      <c r="N52" s="244">
        <f t="shared" si="28"/>
        <v>1872536.8297526045</v>
      </c>
      <c r="O52" s="244">
        <f t="shared" si="28"/>
        <v>3901118.395317926</v>
      </c>
      <c r="P52" s="257"/>
      <c r="Q52" s="246"/>
      <c r="R52" s="246"/>
      <c r="S52" s="240" t="s">
        <v>162</v>
      </c>
      <c r="T52" s="243">
        <f t="shared" si="28"/>
        <v>232892.03000000003</v>
      </c>
      <c r="U52" s="242">
        <f t="shared" si="28"/>
        <v>192964.79395399312</v>
      </c>
      <c r="V52" s="243">
        <f t="shared" si="28"/>
        <v>51140395.96308703</v>
      </c>
      <c r="W52" s="242">
        <f t="shared" si="28"/>
        <v>4240595.07762615</v>
      </c>
      <c r="X52" s="242">
        <f t="shared" si="28"/>
        <v>508871.4093151379</v>
      </c>
      <c r="Y52" s="243">
        <f t="shared" si="28"/>
        <v>1880255.4215107644</v>
      </c>
      <c r="Z52" s="242">
        <f t="shared" si="28"/>
        <v>1410191.566133073</v>
      </c>
      <c r="AA52" s="243">
        <f t="shared" si="28"/>
        <v>235031.92768884555</v>
      </c>
      <c r="AB52" s="242">
        <f t="shared" si="28"/>
        <v>235031.92768884555</v>
      </c>
      <c r="AC52" s="243">
        <f t="shared" si="28"/>
        <v>470063.8553776911</v>
      </c>
      <c r="AD52" s="242">
        <f t="shared" si="28"/>
        <v>4691828.280628126</v>
      </c>
      <c r="AE52" s="243">
        <f t="shared" si="28"/>
        <v>3451459.8846000005</v>
      </c>
      <c r="AF52" s="242">
        <f t="shared" si="28"/>
        <v>225207.75747015004</v>
      </c>
      <c r="AG52" s="243">
        <f t="shared" si="28"/>
        <v>68488933.0711258</v>
      </c>
      <c r="AH52" s="247"/>
      <c r="AI52" s="247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</row>
    <row r="53" spans="2:74" s="201" customFormat="1" ht="9">
      <c r="B53" s="197"/>
      <c r="C53" s="198"/>
      <c r="D53" s="198"/>
      <c r="E53" s="199"/>
      <c r="F53" s="200"/>
      <c r="G53" s="198"/>
      <c r="H53" s="198"/>
      <c r="I53" s="198"/>
      <c r="J53" s="198"/>
      <c r="K53" s="198"/>
      <c r="L53" s="198"/>
      <c r="M53" s="198"/>
      <c r="N53" s="198"/>
      <c r="O53" s="198"/>
      <c r="P53" s="234"/>
      <c r="Q53" s="234"/>
      <c r="R53" s="234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</row>
    <row r="54" spans="2:74" s="215" customFormat="1" ht="9">
      <c r="B54" s="209" t="s">
        <v>93</v>
      </c>
      <c r="C54" s="210" t="s">
        <v>94</v>
      </c>
      <c r="D54" s="209" t="s">
        <v>95</v>
      </c>
      <c r="E54" s="211" t="s">
        <v>96</v>
      </c>
      <c r="F54" s="212" t="s">
        <v>97</v>
      </c>
      <c r="G54" s="211" t="s">
        <v>98</v>
      </c>
      <c r="H54" s="209" t="s">
        <v>99</v>
      </c>
      <c r="I54" s="210" t="s">
        <v>100</v>
      </c>
      <c r="J54" s="209" t="s">
        <v>101</v>
      </c>
      <c r="K54" s="210" t="s">
        <v>102</v>
      </c>
      <c r="L54" s="209" t="s">
        <v>103</v>
      </c>
      <c r="M54" s="210" t="s">
        <v>104</v>
      </c>
      <c r="N54" s="213" t="s">
        <v>105</v>
      </c>
      <c r="O54" s="209" t="s">
        <v>106</v>
      </c>
      <c r="P54" s="225"/>
      <c r="Q54" s="225"/>
      <c r="R54" s="225"/>
      <c r="S54" s="210" t="s">
        <v>94</v>
      </c>
      <c r="T54" s="209" t="s">
        <v>107</v>
      </c>
      <c r="U54" s="210" t="s">
        <v>108</v>
      </c>
      <c r="V54" s="209" t="s">
        <v>109</v>
      </c>
      <c r="W54" s="210" t="s">
        <v>110</v>
      </c>
      <c r="X54" s="214">
        <v>0.12</v>
      </c>
      <c r="Y54" s="209" t="s">
        <v>111</v>
      </c>
      <c r="Z54" s="210" t="s">
        <v>112</v>
      </c>
      <c r="AA54" s="209" t="s">
        <v>113</v>
      </c>
      <c r="AB54" s="210" t="s">
        <v>114</v>
      </c>
      <c r="AC54" s="209" t="s">
        <v>115</v>
      </c>
      <c r="AD54" s="210" t="s">
        <v>116</v>
      </c>
      <c r="AE54" s="209" t="s">
        <v>117</v>
      </c>
      <c r="AF54" s="210" t="s">
        <v>118</v>
      </c>
      <c r="AG54" s="209" t="s">
        <v>109</v>
      </c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</row>
    <row r="55" spans="2:74" s="215" customFormat="1" ht="9.75" thickBot="1">
      <c r="B55" s="216" t="s">
        <v>119</v>
      </c>
      <c r="C55" s="217"/>
      <c r="D55" s="216" t="s">
        <v>120</v>
      </c>
      <c r="E55" s="218" t="s">
        <v>299</v>
      </c>
      <c r="F55" s="219"/>
      <c r="G55" s="218">
        <v>2009</v>
      </c>
      <c r="H55" s="216" t="s">
        <v>122</v>
      </c>
      <c r="I55" s="217" t="s">
        <v>123</v>
      </c>
      <c r="J55" s="220">
        <v>37110</v>
      </c>
      <c r="K55" s="221">
        <v>53086</v>
      </c>
      <c r="L55" s="216" t="s">
        <v>124</v>
      </c>
      <c r="M55" s="222" t="s">
        <v>125</v>
      </c>
      <c r="N55" s="223" t="s">
        <v>126</v>
      </c>
      <c r="O55" s="224" t="s">
        <v>127</v>
      </c>
      <c r="P55" s="225"/>
      <c r="Q55" s="225"/>
      <c r="R55" s="225"/>
      <c r="S55" s="217"/>
      <c r="T55" s="216" t="s">
        <v>128</v>
      </c>
      <c r="U55" s="222" t="s">
        <v>126</v>
      </c>
      <c r="V55" s="216" t="s">
        <v>129</v>
      </c>
      <c r="W55" s="222" t="s">
        <v>130</v>
      </c>
      <c r="X55" s="216" t="s">
        <v>276</v>
      </c>
      <c r="Y55" s="216" t="s">
        <v>131</v>
      </c>
      <c r="Z55" s="222" t="s">
        <v>132</v>
      </c>
      <c r="AA55" s="216" t="s">
        <v>133</v>
      </c>
      <c r="AB55" s="222" t="s">
        <v>134</v>
      </c>
      <c r="AC55" s="216" t="s">
        <v>135</v>
      </c>
      <c r="AD55" s="222"/>
      <c r="AE55" s="216"/>
      <c r="AF55" s="222" t="s">
        <v>136</v>
      </c>
      <c r="AG55" s="216" t="s">
        <v>137</v>
      </c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</row>
    <row r="56" spans="2:74" s="201" customFormat="1" ht="9">
      <c r="B56" s="226">
        <v>1</v>
      </c>
      <c r="C56" s="227" t="s">
        <v>141</v>
      </c>
      <c r="D56" s="226">
        <v>9</v>
      </c>
      <c r="E56" s="228">
        <v>1556772</v>
      </c>
      <c r="F56" s="229">
        <v>0.05</v>
      </c>
      <c r="G56" s="230">
        <f>+E56*(1+F56)</f>
        <v>1634610.6</v>
      </c>
      <c r="H56" s="231">
        <f>B56*G56*12</f>
        <v>19615327.200000003</v>
      </c>
      <c r="I56" s="234"/>
      <c r="J56" s="231">
        <f>(IF(+G56&lt;=+$J$4,+$J$6,0))*12*B56</f>
        <v>0</v>
      </c>
      <c r="K56" s="230">
        <f>(IF(+G56&lt;=+$K$4,+$K$6,0))*12</f>
        <v>0</v>
      </c>
      <c r="L56" s="231">
        <f>(IF(+G56&lt;=+$L$4,(G56*0.5),(G56*0.35)))*B56</f>
        <v>572113.71</v>
      </c>
      <c r="M56" s="230">
        <f>(H56+J56+K56+L56)/24</f>
        <v>841143.3712500002</v>
      </c>
      <c r="N56" s="233">
        <f>(SUM(H56:M56)-I56)/24</f>
        <v>876191.0117187501</v>
      </c>
      <c r="O56" s="231">
        <f>(SUM(H56:N56)-I56)/12</f>
        <v>1825397.9410807295</v>
      </c>
      <c r="P56" s="230"/>
      <c r="Q56" s="230"/>
      <c r="R56" s="230"/>
      <c r="S56" s="227" t="s">
        <v>141</v>
      </c>
      <c r="T56" s="231">
        <f>H56/180</f>
        <v>108974.04000000002</v>
      </c>
      <c r="U56" s="230">
        <f>((J56+K56+L56+M56)/12)*23/30</f>
        <v>90291.42463541668</v>
      </c>
      <c r="V56" s="231">
        <f>SUM(H56:U56)</f>
        <v>23929438.6986849</v>
      </c>
      <c r="W56" s="230">
        <f>(+V56-T56-I56)*8.33/100</f>
        <v>1984244.7060684522</v>
      </c>
      <c r="X56" s="231">
        <f>W56*12%</f>
        <v>238109.36472821425</v>
      </c>
      <c r="Y56" s="231">
        <f>(+V56-O56-T56-K56-I56)*4/100</f>
        <v>879802.6687041669</v>
      </c>
      <c r="Z56" s="230">
        <f>(+V56-O56-T56-K56-I56)*3/100</f>
        <v>659852.0015281251</v>
      </c>
      <c r="AA56" s="231">
        <f>(+V56-O56-T56-K56-I56)*0.5/100</f>
        <v>109975.33358802086</v>
      </c>
      <c r="AB56" s="230">
        <f>+AA56</f>
        <v>109975.33358802086</v>
      </c>
      <c r="AC56" s="231">
        <f>+AB56*2</f>
        <v>219950.66717604172</v>
      </c>
      <c r="AD56" s="230">
        <f>(+H56+L56)*10.875/100</f>
        <v>2195384.1989625003</v>
      </c>
      <c r="AE56" s="231">
        <f>(+H56+L56)*8/100</f>
        <v>1614995.2728000004</v>
      </c>
      <c r="AF56" s="230">
        <f>(+H56+L56)*0.522/100</f>
        <v>105378.44155020002</v>
      </c>
      <c r="AG56" s="231">
        <f>SUM(V56:AF56)</f>
        <v>32047106.68737864</v>
      </c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</row>
    <row r="57" spans="2:74" s="201" customFormat="1" ht="9.75" thickBot="1">
      <c r="B57" s="226">
        <v>4</v>
      </c>
      <c r="C57" s="227" t="s">
        <v>147</v>
      </c>
      <c r="D57" s="226">
        <v>19</v>
      </c>
      <c r="E57" s="228">
        <v>562370</v>
      </c>
      <c r="F57" s="229">
        <v>0.05</v>
      </c>
      <c r="G57" s="230">
        <f>+E57*(1+F57)</f>
        <v>590488.5</v>
      </c>
      <c r="H57" s="231">
        <f>B57*G57*12</f>
        <v>28343448</v>
      </c>
      <c r="I57" s="234"/>
      <c r="J57" s="231">
        <f>(IF(+G57&lt;=+$J$4,+$J$6,0))*12*B57</f>
        <v>1781280</v>
      </c>
      <c r="K57" s="230">
        <f>(IF(+G57&lt;=+$K$4,+$K$6,0))*12*B57</f>
        <v>2548128</v>
      </c>
      <c r="L57" s="231">
        <f>(IF(+G57&lt;=+$L$4,(G57*0.5),(G57*0.35)))*B57</f>
        <v>1180977</v>
      </c>
      <c r="M57" s="230">
        <f>(H57+J57+K57+L57)/24</f>
        <v>1410576.375</v>
      </c>
      <c r="N57" s="233">
        <f>(SUM(H57:M57)-I57)/24</f>
        <v>1469350.390625</v>
      </c>
      <c r="O57" s="231">
        <f>(SUM(H57:N57)-I57)/12</f>
        <v>3061146.6471354165</v>
      </c>
      <c r="P57" s="230"/>
      <c r="Q57" s="230"/>
      <c r="R57" s="230"/>
      <c r="S57" s="227" t="s">
        <v>147</v>
      </c>
      <c r="T57" s="231">
        <f>H57/180</f>
        <v>157463.6</v>
      </c>
      <c r="U57" s="230">
        <f>((J57+K57+L57+M57)/12)*23/30</f>
        <v>442172.53229166666</v>
      </c>
      <c r="V57" s="231">
        <f>SUM(H57:U57)</f>
        <v>40394542.54505208</v>
      </c>
      <c r="W57" s="230">
        <f>(+V57-T57-I57)*8.33/100</f>
        <v>3351748.676122838</v>
      </c>
      <c r="X57" s="231">
        <f>W57*12%</f>
        <v>402209.84113474056</v>
      </c>
      <c r="Y57" s="231">
        <f>(+V57-O57-T57-K57-I57)*4/100</f>
        <v>1385112.1719166667</v>
      </c>
      <c r="Z57" s="230">
        <f>(+V57-O57-T57-K57-I57)*3/100</f>
        <v>1038834.1289375</v>
      </c>
      <c r="AA57" s="231">
        <f>(+V57-O57-T57-K57-I57)*0.5/100</f>
        <v>173139.02148958333</v>
      </c>
      <c r="AB57" s="230">
        <f>+AA57</f>
        <v>173139.02148958333</v>
      </c>
      <c r="AC57" s="231">
        <f>+AB57*2</f>
        <v>346278.04297916667</v>
      </c>
      <c r="AD57" s="230">
        <f>(+H57+L57)*10.875/100</f>
        <v>3210781.21875</v>
      </c>
      <c r="AE57" s="231">
        <f>(+H57+L57)*8/100</f>
        <v>2361954</v>
      </c>
      <c r="AF57" s="230">
        <f>(+H57+L57)*0.522/100</f>
        <v>154117.49850000002</v>
      </c>
      <c r="AG57" s="231">
        <f>SUM(V57:AF57)</f>
        <v>52991856.16637215</v>
      </c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</row>
    <row r="58" spans="2:74" s="201" customFormat="1" ht="9.75" hidden="1" thickBot="1">
      <c r="B58" s="226">
        <v>0</v>
      </c>
      <c r="C58" s="227" t="s">
        <v>149</v>
      </c>
      <c r="D58" s="226">
        <v>22</v>
      </c>
      <c r="E58" s="228">
        <v>260100</v>
      </c>
      <c r="F58" s="229">
        <v>0.04</v>
      </c>
      <c r="G58" s="230">
        <f>+E58*(1+F58)</f>
        <v>270504</v>
      </c>
      <c r="H58" s="231">
        <f>B58*G58*12</f>
        <v>0</v>
      </c>
      <c r="I58" s="234"/>
      <c r="J58" s="231"/>
      <c r="K58" s="230"/>
      <c r="L58" s="231">
        <f>B58*G58*0.5</f>
        <v>0</v>
      </c>
      <c r="M58" s="230">
        <f>(SUM(H58:L58)-I58)/24</f>
        <v>0</v>
      </c>
      <c r="N58" s="233">
        <f>(SUM(H58:M58)-I58)/24</f>
        <v>0</v>
      </c>
      <c r="O58" s="231">
        <f>(SUM(H58:N58)-I58)/12</f>
        <v>0</v>
      </c>
      <c r="P58" s="230"/>
      <c r="Q58" s="230"/>
      <c r="R58" s="230"/>
      <c r="S58" s="227" t="s">
        <v>149</v>
      </c>
      <c r="T58" s="231">
        <f>H58/180</f>
        <v>0</v>
      </c>
      <c r="U58" s="230">
        <f>((J58+K58+L58+M58)/12)*23/30</f>
        <v>0</v>
      </c>
      <c r="V58" s="231">
        <f>SUM(H58:U58)</f>
        <v>0</v>
      </c>
      <c r="W58" s="230">
        <f>(+V58-T58-I58)*8.33/100</f>
        <v>0</v>
      </c>
      <c r="X58" s="231"/>
      <c r="Y58" s="231">
        <f>(+V58-O58-T58-K58-I58)*4/100</f>
        <v>0</v>
      </c>
      <c r="Z58" s="230">
        <f>(+V58-O58-T58-K58-I58)*3/100</f>
        <v>0</v>
      </c>
      <c r="AA58" s="231">
        <f>(+V58-O58-T58-K58-I58)*0.5/100</f>
        <v>0</v>
      </c>
      <c r="AB58" s="230">
        <f>+AA58</f>
        <v>0</v>
      </c>
      <c r="AC58" s="231">
        <f>+AB58*2</f>
        <v>0</v>
      </c>
      <c r="AD58" s="230">
        <f>(+H58+L58)*10.875/100</f>
        <v>0</v>
      </c>
      <c r="AE58" s="231">
        <f>(+H58+L58)*8/100</f>
        <v>0</v>
      </c>
      <c r="AF58" s="230">
        <f>(+H58+L58)*0.522/100</f>
        <v>0</v>
      </c>
      <c r="AG58" s="231">
        <f>SUM(V58:AF58)</f>
        <v>0</v>
      </c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</row>
    <row r="59" spans="2:74" s="201" customFormat="1" ht="9.75" hidden="1" thickBot="1">
      <c r="B59" s="226">
        <v>0</v>
      </c>
      <c r="C59" s="227" t="s">
        <v>150</v>
      </c>
      <c r="D59" s="226" t="s">
        <v>151</v>
      </c>
      <c r="E59" s="228">
        <v>436347</v>
      </c>
      <c r="F59" s="229">
        <v>0.04</v>
      </c>
      <c r="G59" s="230">
        <f>+E59*(1+F59)</f>
        <v>453800.88</v>
      </c>
      <c r="H59" s="231">
        <f>B59*G59*12</f>
        <v>0</v>
      </c>
      <c r="I59" s="234"/>
      <c r="J59" s="231"/>
      <c r="K59" s="230"/>
      <c r="L59" s="231">
        <f>B59*G59*0.5</f>
        <v>0</v>
      </c>
      <c r="M59" s="230">
        <f>(H59+J59+K59+L59)/24</f>
        <v>0</v>
      </c>
      <c r="N59" s="233">
        <f>(SUM(H59:M59)-I59)/24</f>
        <v>0</v>
      </c>
      <c r="O59" s="231">
        <f>(SUM(H59:N59)-I59)/12</f>
        <v>0</v>
      </c>
      <c r="P59" s="230"/>
      <c r="Q59" s="230"/>
      <c r="R59" s="230"/>
      <c r="S59" s="227" t="s">
        <v>150</v>
      </c>
      <c r="T59" s="231">
        <f>H59/180</f>
        <v>0</v>
      </c>
      <c r="U59" s="230">
        <f>((J59+K59+L59+M59)/12)*23/30</f>
        <v>0</v>
      </c>
      <c r="V59" s="231">
        <f>SUM(H59:U59)</f>
        <v>0</v>
      </c>
      <c r="W59" s="230">
        <f>(+V59-T59-I59)*8.33/100</f>
        <v>0</v>
      </c>
      <c r="X59" s="231"/>
      <c r="Y59" s="231">
        <f>(+V59-O59-T59-K59)*4/100</f>
        <v>0</v>
      </c>
      <c r="Z59" s="230">
        <f>(+V59-O59-T59-K59-I59)*3/100</f>
        <v>0</v>
      </c>
      <c r="AA59" s="231">
        <f>(+V59-O59-T59-K59-I59)*0.5/100</f>
        <v>0</v>
      </c>
      <c r="AB59" s="230">
        <f>+AA59</f>
        <v>0</v>
      </c>
      <c r="AC59" s="231">
        <f>+AB59*2</f>
        <v>0</v>
      </c>
      <c r="AD59" s="230">
        <f>(+H59+L59)*10.875/100</f>
        <v>0</v>
      </c>
      <c r="AE59" s="231">
        <f>(+H59+L59)*8/100</f>
        <v>0</v>
      </c>
      <c r="AF59" s="230">
        <f>(+H59+L59)*0.522/100</f>
        <v>0</v>
      </c>
      <c r="AG59" s="231">
        <f>SUM(V59:AF59)</f>
        <v>0</v>
      </c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</row>
    <row r="60" spans="2:74" s="249" customFormat="1" ht="9.75" thickBot="1">
      <c r="B60" s="239">
        <f>SUM(B56:B59)</f>
        <v>5</v>
      </c>
      <c r="C60" s="240" t="s">
        <v>152</v>
      </c>
      <c r="D60" s="241"/>
      <c r="E60" s="242">
        <f>SUM(E56:E59)</f>
        <v>2815589</v>
      </c>
      <c r="F60" s="242"/>
      <c r="G60" s="242">
        <f aca="true" t="shared" si="29" ref="G60:O60">SUM(G56:G59)</f>
        <v>2949403.98</v>
      </c>
      <c r="H60" s="284">
        <f t="shared" si="29"/>
        <v>47958775.2</v>
      </c>
      <c r="I60" s="243">
        <f t="shared" si="29"/>
        <v>0</v>
      </c>
      <c r="J60" s="243">
        <f t="shared" si="29"/>
        <v>1781280</v>
      </c>
      <c r="K60" s="242">
        <f t="shared" si="29"/>
        <v>2548128</v>
      </c>
      <c r="L60" s="243">
        <f t="shared" si="29"/>
        <v>1753090.71</v>
      </c>
      <c r="M60" s="242">
        <f t="shared" si="29"/>
        <v>2251719.7462500003</v>
      </c>
      <c r="N60" s="244">
        <f t="shared" si="29"/>
        <v>2345541.40234375</v>
      </c>
      <c r="O60" s="245">
        <f t="shared" si="29"/>
        <v>4886544.588216146</v>
      </c>
      <c r="P60" s="246"/>
      <c r="Q60" s="246"/>
      <c r="R60" s="246"/>
      <c r="S60" s="240" t="s">
        <v>152</v>
      </c>
      <c r="T60" s="243">
        <f aca="true" t="shared" si="30" ref="T60:AF60">SUM(T56:T59)</f>
        <v>266437.64</v>
      </c>
      <c r="U60" s="242">
        <f t="shared" si="30"/>
        <v>532463.9569270833</v>
      </c>
      <c r="V60" s="243">
        <f t="shared" si="30"/>
        <v>64323981.24373698</v>
      </c>
      <c r="W60" s="242">
        <f t="shared" si="30"/>
        <v>5335993.38219129</v>
      </c>
      <c r="X60" s="242">
        <f t="shared" si="30"/>
        <v>640319.2058629548</v>
      </c>
      <c r="Y60" s="243">
        <f t="shared" si="30"/>
        <v>2264914.8406208334</v>
      </c>
      <c r="Z60" s="242">
        <f t="shared" si="30"/>
        <v>1698686.130465625</v>
      </c>
      <c r="AA60" s="243">
        <f t="shared" si="30"/>
        <v>283114.3550776042</v>
      </c>
      <c r="AB60" s="242">
        <f t="shared" si="30"/>
        <v>283114.3550776042</v>
      </c>
      <c r="AC60" s="243">
        <f t="shared" si="30"/>
        <v>566228.7101552084</v>
      </c>
      <c r="AD60" s="242">
        <f t="shared" si="30"/>
        <v>5406165.4177125</v>
      </c>
      <c r="AE60" s="243">
        <f t="shared" si="30"/>
        <v>3976949.2728000004</v>
      </c>
      <c r="AF60" s="242">
        <f t="shared" si="30"/>
        <v>259495.94005020004</v>
      </c>
      <c r="AG60" s="243">
        <f>SUM(AG56:AG59)</f>
        <v>85038962.8537508</v>
      </c>
      <c r="AH60" s="247"/>
      <c r="AI60" s="247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/>
      <c r="BU60" s="248"/>
      <c r="BV60" s="248"/>
    </row>
    <row r="63" spans="16:18" ht="9">
      <c r="P63" s="683"/>
      <c r="Q63" s="683"/>
      <c r="R63" s="683"/>
    </row>
    <row r="64" spans="2:74" s="215" customFormat="1" ht="9">
      <c r="B64" s="209" t="s">
        <v>93</v>
      </c>
      <c r="C64" s="210" t="s">
        <v>94</v>
      </c>
      <c r="D64" s="209" t="s">
        <v>95</v>
      </c>
      <c r="E64" s="211" t="s">
        <v>96</v>
      </c>
      <c r="F64" s="212" t="s">
        <v>97</v>
      </c>
      <c r="G64" s="211" t="s">
        <v>98</v>
      </c>
      <c r="H64" s="209" t="s">
        <v>99</v>
      </c>
      <c r="I64" s="210" t="s">
        <v>100</v>
      </c>
      <c r="J64" s="209" t="s">
        <v>101</v>
      </c>
      <c r="K64" s="210" t="s">
        <v>102</v>
      </c>
      <c r="L64" s="209" t="s">
        <v>103</v>
      </c>
      <c r="M64" s="210" t="s">
        <v>104</v>
      </c>
      <c r="N64" s="213" t="s">
        <v>105</v>
      </c>
      <c r="O64" s="209" t="s">
        <v>106</v>
      </c>
      <c r="P64" s="225"/>
      <c r="Q64" s="225"/>
      <c r="R64" s="225"/>
      <c r="S64" s="210" t="s">
        <v>94</v>
      </c>
      <c r="T64" s="209" t="s">
        <v>107</v>
      </c>
      <c r="U64" s="210" t="s">
        <v>108</v>
      </c>
      <c r="V64" s="209" t="s">
        <v>109</v>
      </c>
      <c r="W64" s="210" t="s">
        <v>110</v>
      </c>
      <c r="X64" s="214">
        <v>0.12</v>
      </c>
      <c r="Y64" s="209" t="s">
        <v>111</v>
      </c>
      <c r="Z64" s="210" t="s">
        <v>112</v>
      </c>
      <c r="AA64" s="209" t="s">
        <v>113</v>
      </c>
      <c r="AB64" s="210" t="s">
        <v>114</v>
      </c>
      <c r="AC64" s="209" t="s">
        <v>115</v>
      </c>
      <c r="AD64" s="210" t="s">
        <v>116</v>
      </c>
      <c r="AE64" s="209" t="s">
        <v>117</v>
      </c>
      <c r="AF64" s="210" t="s">
        <v>118</v>
      </c>
      <c r="AG64" s="209" t="s">
        <v>109</v>
      </c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</row>
    <row r="65" spans="2:74" s="215" customFormat="1" ht="9.75" thickBot="1">
      <c r="B65" s="216" t="s">
        <v>119</v>
      </c>
      <c r="C65" s="217"/>
      <c r="D65" s="216" t="s">
        <v>120</v>
      </c>
      <c r="E65" s="218" t="s">
        <v>299</v>
      </c>
      <c r="F65" s="219"/>
      <c r="G65" s="218">
        <v>2009</v>
      </c>
      <c r="H65" s="216" t="s">
        <v>122</v>
      </c>
      <c r="I65" s="217" t="s">
        <v>123</v>
      </c>
      <c r="J65" s="220">
        <v>37110</v>
      </c>
      <c r="K65" s="221">
        <v>53086</v>
      </c>
      <c r="L65" s="216" t="s">
        <v>124</v>
      </c>
      <c r="M65" s="222" t="s">
        <v>125</v>
      </c>
      <c r="N65" s="223" t="s">
        <v>126</v>
      </c>
      <c r="O65" s="224" t="s">
        <v>127</v>
      </c>
      <c r="P65" s="225"/>
      <c r="Q65" s="225"/>
      <c r="R65" s="225"/>
      <c r="S65" s="217"/>
      <c r="T65" s="216" t="s">
        <v>128</v>
      </c>
      <c r="U65" s="222" t="s">
        <v>126</v>
      </c>
      <c r="V65" s="216" t="s">
        <v>129</v>
      </c>
      <c r="W65" s="222" t="s">
        <v>130</v>
      </c>
      <c r="X65" s="216" t="s">
        <v>276</v>
      </c>
      <c r="Y65" s="216" t="s">
        <v>131</v>
      </c>
      <c r="Z65" s="222" t="s">
        <v>132</v>
      </c>
      <c r="AA65" s="216" t="s">
        <v>133</v>
      </c>
      <c r="AB65" s="222" t="s">
        <v>134</v>
      </c>
      <c r="AC65" s="216" t="s">
        <v>135</v>
      </c>
      <c r="AD65" s="222"/>
      <c r="AE65" s="216"/>
      <c r="AF65" s="222" t="s">
        <v>136</v>
      </c>
      <c r="AG65" s="216" t="s">
        <v>137</v>
      </c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</row>
    <row r="66" spans="2:74" s="201" customFormat="1" ht="9">
      <c r="B66" s="226">
        <v>1</v>
      </c>
      <c r="C66" s="227" t="s">
        <v>440</v>
      </c>
      <c r="D66" s="226">
        <v>1</v>
      </c>
      <c r="E66" s="228">
        <v>1523293</v>
      </c>
      <c r="F66" s="229">
        <v>0.05</v>
      </c>
      <c r="G66" s="230">
        <f>+E66*(1+F66)</f>
        <v>1599457.6500000001</v>
      </c>
      <c r="H66" s="231">
        <f>B66*G66*12</f>
        <v>19193491.8</v>
      </c>
      <c r="I66" s="682">
        <v>0</v>
      </c>
      <c r="J66" s="231">
        <f>(IF(+G66&lt;=+$J$4,+$J$6,0))*12*B66</f>
        <v>0</v>
      </c>
      <c r="K66" s="230">
        <f>(IF(+G66&lt;=+$K$4,+$K$6,0))*12</f>
        <v>0</v>
      </c>
      <c r="L66" s="231">
        <f>(IF(+G66&lt;=+$L$4,(G66*0.5),(G66*0.35)))*B66</f>
        <v>559810.1775</v>
      </c>
      <c r="M66" s="230">
        <f>(H66+J66+K66+L66)/24</f>
        <v>823054.2490625</v>
      </c>
      <c r="N66" s="233">
        <f>(SUM(H66:M66)-I66)/24</f>
        <v>857348.1761067709</v>
      </c>
      <c r="O66" s="231">
        <f>(SUM(H66:N66)-I66)/12</f>
        <v>1786142.0335557724</v>
      </c>
      <c r="P66" s="230"/>
      <c r="Q66" s="230"/>
      <c r="R66" s="230"/>
      <c r="S66" s="227" t="s">
        <v>440</v>
      </c>
      <c r="T66" s="231">
        <f>H66/180</f>
        <v>106630.51000000001</v>
      </c>
      <c r="U66" s="230">
        <f>((J66+K66+L66+M66)/12)*23/30</f>
        <v>88349.67169704862</v>
      </c>
      <c r="V66" s="231">
        <f>SUM(H66:U66)</f>
        <v>23414826.617922094</v>
      </c>
      <c r="W66" s="230">
        <f>(+V66-T66-I66)*8.33/100</f>
        <v>1941572.7357899102</v>
      </c>
      <c r="X66" s="231">
        <f>W66*12%</f>
        <v>232988.7282947892</v>
      </c>
      <c r="Y66" s="231">
        <f>(+V66-O66-T66-K66-I66)*4/100</f>
        <v>860882.1629746528</v>
      </c>
      <c r="Z66" s="230">
        <f>(+V66-O66-T66-K66-I66)*3/100</f>
        <v>645661.6222309896</v>
      </c>
      <c r="AA66" s="231">
        <f>(+V66-O66-T66-K66-I66)*0.5/100</f>
        <v>107610.2703718316</v>
      </c>
      <c r="AB66" s="230">
        <f>+AA66</f>
        <v>107610.2703718316</v>
      </c>
      <c r="AC66" s="231">
        <f>+AB66*2</f>
        <v>215220.5407436632</v>
      </c>
      <c r="AD66" s="230">
        <f>(+H66+L66)*10.875/100</f>
        <v>2148171.590053125</v>
      </c>
      <c r="AE66" s="231">
        <f>(+H66+L66)*8/100</f>
        <v>1580264.1582</v>
      </c>
      <c r="AF66" s="230">
        <f>(+H66+L66)*0.522/100</f>
        <v>103112.23632254999</v>
      </c>
      <c r="AG66" s="231">
        <f>SUM(V66:AF66)</f>
        <v>31357920.933275435</v>
      </c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</row>
    <row r="67" spans="2:74" s="201" customFormat="1" ht="9.75" thickBot="1">
      <c r="B67" s="226"/>
      <c r="C67" s="227"/>
      <c r="D67" s="226"/>
      <c r="E67" s="228"/>
      <c r="F67" s="229"/>
      <c r="G67" s="230">
        <f>+E67*(1+F67)</f>
        <v>0</v>
      </c>
      <c r="H67" s="231">
        <f>B67*G67*12</f>
        <v>0</v>
      </c>
      <c r="I67" s="234"/>
      <c r="J67" s="231">
        <f>(IF(+G67&lt;=+$J$4,+$J$6,0))*12*B67</f>
        <v>0</v>
      </c>
      <c r="K67" s="230">
        <f>(IF(+G67&lt;=+$K$4,+$K$6,0))*12*B67</f>
        <v>0</v>
      </c>
      <c r="L67" s="231">
        <f>(IF(+G67&lt;=+$L$4,(G67*0.5),(G67*0.35)))*B67</f>
        <v>0</v>
      </c>
      <c r="M67" s="230">
        <f>(H67+J67+K67+L67)/24</f>
        <v>0</v>
      </c>
      <c r="N67" s="233">
        <f>(SUM(H67:M67)-I67)/24</f>
        <v>0</v>
      </c>
      <c r="O67" s="231">
        <f>(SUM(H67:N67)-I67)/12</f>
        <v>0</v>
      </c>
      <c r="P67" s="230"/>
      <c r="Q67" s="230"/>
      <c r="R67" s="230"/>
      <c r="S67" s="227"/>
      <c r="T67" s="231">
        <f>H67/180</f>
        <v>0</v>
      </c>
      <c r="U67" s="230">
        <f>((J67+K67+L67+M67)/12)*23/30</f>
        <v>0</v>
      </c>
      <c r="V67" s="231">
        <f>SUM(H67:U67)</f>
        <v>0</v>
      </c>
      <c r="W67" s="230">
        <f>(+V67-T67-I67)*8.33/100</f>
        <v>0</v>
      </c>
      <c r="X67" s="231">
        <f>W67*12%</f>
        <v>0</v>
      </c>
      <c r="Y67" s="231">
        <f>(+V67-O67-T67-K67-I67)*4/100</f>
        <v>0</v>
      </c>
      <c r="Z67" s="230">
        <f>(+V67-O67-T67-K67-I67)*3/100</f>
        <v>0</v>
      </c>
      <c r="AA67" s="231">
        <f>(+V67-O67-T67-K67-I67)*0.5/100</f>
        <v>0</v>
      </c>
      <c r="AB67" s="230">
        <f>+AA67</f>
        <v>0</v>
      </c>
      <c r="AC67" s="231">
        <f>+AB67*2</f>
        <v>0</v>
      </c>
      <c r="AD67" s="230">
        <f>(+H67+L67)*10.875/100</f>
        <v>0</v>
      </c>
      <c r="AE67" s="231">
        <f>(+H67+L67)*8/100</f>
        <v>0</v>
      </c>
      <c r="AF67" s="230">
        <f>(+H67+L67)*0.522/100</f>
        <v>0</v>
      </c>
      <c r="AG67" s="231">
        <f>SUM(V67:AF67)</f>
        <v>0</v>
      </c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</row>
    <row r="68" spans="2:74" s="201" customFormat="1" ht="9.75" hidden="1" thickBot="1">
      <c r="B68" s="226">
        <v>0</v>
      </c>
      <c r="C68" s="227" t="s">
        <v>149</v>
      </c>
      <c r="D68" s="226">
        <v>22</v>
      </c>
      <c r="E68" s="228">
        <v>260100</v>
      </c>
      <c r="F68" s="229">
        <v>0.04</v>
      </c>
      <c r="G68" s="230">
        <f>+E68*(1+F68)</f>
        <v>270504</v>
      </c>
      <c r="H68" s="231">
        <f>B68*G68*12</f>
        <v>0</v>
      </c>
      <c r="I68" s="234"/>
      <c r="J68" s="231"/>
      <c r="K68" s="230"/>
      <c r="L68" s="231">
        <f>B68*G68*0.5</f>
        <v>0</v>
      </c>
      <c r="M68" s="230">
        <f>(SUM(H68:L68)-I68)/24</f>
        <v>0</v>
      </c>
      <c r="N68" s="233">
        <f>(SUM(H68:M68)-I68)/24</f>
        <v>0</v>
      </c>
      <c r="O68" s="231">
        <f>(SUM(H68:N68)-I68)/12</f>
        <v>0</v>
      </c>
      <c r="P68" s="230"/>
      <c r="Q68" s="230"/>
      <c r="R68" s="230"/>
      <c r="S68" s="227" t="s">
        <v>149</v>
      </c>
      <c r="T68" s="231">
        <f>H68/180</f>
        <v>0</v>
      </c>
      <c r="U68" s="230">
        <f>((J68+K68+L68+M68)/12)*23/30</f>
        <v>0</v>
      </c>
      <c r="V68" s="231">
        <f>SUM(H68:U68)</f>
        <v>0</v>
      </c>
      <c r="W68" s="230">
        <f>(+V68-T68-I68)*8.33/100</f>
        <v>0</v>
      </c>
      <c r="X68" s="231"/>
      <c r="Y68" s="231">
        <f>(+V68-O68-T68-K68-I68)*4/100</f>
        <v>0</v>
      </c>
      <c r="Z68" s="230">
        <f>(+V68-O68-T68-K68-I68)*3/100</f>
        <v>0</v>
      </c>
      <c r="AA68" s="231">
        <f>(+V68-O68-T68-K68-I68)*0.5/100</f>
        <v>0</v>
      </c>
      <c r="AB68" s="230">
        <f>+AA68</f>
        <v>0</v>
      </c>
      <c r="AC68" s="231">
        <f>+AB68*2</f>
        <v>0</v>
      </c>
      <c r="AD68" s="230">
        <f>(+H68+L68)*10.875/100</f>
        <v>0</v>
      </c>
      <c r="AE68" s="231">
        <f>(+H68+L68)*8/100</f>
        <v>0</v>
      </c>
      <c r="AF68" s="230">
        <f>(+H68+L68)*0.522/100</f>
        <v>0</v>
      </c>
      <c r="AG68" s="231">
        <f>SUM(V68:AF68)</f>
        <v>0</v>
      </c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</row>
    <row r="69" spans="2:74" s="201" customFormat="1" ht="9.75" hidden="1" thickBot="1">
      <c r="B69" s="226">
        <v>0</v>
      </c>
      <c r="C69" s="227" t="s">
        <v>150</v>
      </c>
      <c r="D69" s="226" t="s">
        <v>151</v>
      </c>
      <c r="E69" s="228">
        <v>436347</v>
      </c>
      <c r="F69" s="229">
        <v>0.04</v>
      </c>
      <c r="G69" s="230">
        <f>+E69*(1+F69)</f>
        <v>453800.88</v>
      </c>
      <c r="H69" s="231">
        <f>B69*G69*12</f>
        <v>0</v>
      </c>
      <c r="I69" s="234"/>
      <c r="J69" s="231"/>
      <c r="K69" s="230"/>
      <c r="L69" s="231">
        <f>B69*G69*0.5</f>
        <v>0</v>
      </c>
      <c r="M69" s="230">
        <f>(H69+J69+K69+L69)/24</f>
        <v>0</v>
      </c>
      <c r="N69" s="233">
        <f>(SUM(H69:M69)-I69)/24</f>
        <v>0</v>
      </c>
      <c r="O69" s="231">
        <f>(SUM(H69:N69)-I69)/12</f>
        <v>0</v>
      </c>
      <c r="P69" s="230"/>
      <c r="Q69" s="230"/>
      <c r="R69" s="230"/>
      <c r="S69" s="227" t="s">
        <v>150</v>
      </c>
      <c r="T69" s="231">
        <f>H69/180</f>
        <v>0</v>
      </c>
      <c r="U69" s="230">
        <f>((J69+K69+L69+M69)/12)*23/30</f>
        <v>0</v>
      </c>
      <c r="V69" s="231">
        <f>SUM(H69:U69)</f>
        <v>0</v>
      </c>
      <c r="W69" s="230">
        <f>(+V69-T69-I69)*8.33/100</f>
        <v>0</v>
      </c>
      <c r="X69" s="231"/>
      <c r="Y69" s="231">
        <f>(+V69-O69-T69-K69)*4/100</f>
        <v>0</v>
      </c>
      <c r="Z69" s="230">
        <f>(+V69-O69-T69-K69-I69)*3/100</f>
        <v>0</v>
      </c>
      <c r="AA69" s="231">
        <f>(+V69-O69-T69-K69-I69)*0.5/100</f>
        <v>0</v>
      </c>
      <c r="AB69" s="230">
        <f>+AA69</f>
        <v>0</v>
      </c>
      <c r="AC69" s="231">
        <f>+AB69*2</f>
        <v>0</v>
      </c>
      <c r="AD69" s="230">
        <f>(+H69+L69)*10.875/100</f>
        <v>0</v>
      </c>
      <c r="AE69" s="231">
        <f>(+H69+L69)*8/100</f>
        <v>0</v>
      </c>
      <c r="AF69" s="230">
        <f>(+H69+L69)*0.522/100</f>
        <v>0</v>
      </c>
      <c r="AG69" s="231">
        <f>SUM(V69:AF69)</f>
        <v>0</v>
      </c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</row>
    <row r="70" spans="2:74" s="249" customFormat="1" ht="9.75" thickBot="1">
      <c r="B70" s="239">
        <f>SUM(B66:B69)</f>
        <v>1</v>
      </c>
      <c r="C70" s="240" t="s">
        <v>152</v>
      </c>
      <c r="D70" s="241"/>
      <c r="E70" s="242">
        <f>SUM(E66:E69)</f>
        <v>2219740</v>
      </c>
      <c r="F70" s="242"/>
      <c r="G70" s="242">
        <f aca="true" t="shared" si="31" ref="G70:O70">SUM(G66:G69)</f>
        <v>2323762.5300000003</v>
      </c>
      <c r="H70" s="284">
        <f t="shared" si="31"/>
        <v>19193491.8</v>
      </c>
      <c r="I70" s="243">
        <f t="shared" si="31"/>
        <v>0</v>
      </c>
      <c r="J70" s="243">
        <f t="shared" si="31"/>
        <v>0</v>
      </c>
      <c r="K70" s="242">
        <f t="shared" si="31"/>
        <v>0</v>
      </c>
      <c r="L70" s="243">
        <f t="shared" si="31"/>
        <v>559810.1775</v>
      </c>
      <c r="M70" s="242">
        <f t="shared" si="31"/>
        <v>823054.2490625</v>
      </c>
      <c r="N70" s="244">
        <f t="shared" si="31"/>
        <v>857348.1761067709</v>
      </c>
      <c r="O70" s="245">
        <f t="shared" si="31"/>
        <v>1786142.0335557724</v>
      </c>
      <c r="P70" s="246"/>
      <c r="Q70" s="246"/>
      <c r="R70" s="246"/>
      <c r="S70" s="240" t="s">
        <v>152</v>
      </c>
      <c r="T70" s="243">
        <f aca="true" t="shared" si="32" ref="T70:AF70">SUM(T66:T69)</f>
        <v>106630.51000000001</v>
      </c>
      <c r="U70" s="242">
        <f t="shared" si="32"/>
        <v>88349.67169704862</v>
      </c>
      <c r="V70" s="243">
        <f t="shared" si="32"/>
        <v>23414826.617922094</v>
      </c>
      <c r="W70" s="242">
        <f t="shared" si="32"/>
        <v>1941572.7357899102</v>
      </c>
      <c r="X70" s="242">
        <f t="shared" si="32"/>
        <v>232988.7282947892</v>
      </c>
      <c r="Y70" s="243">
        <f t="shared" si="32"/>
        <v>860882.1629746528</v>
      </c>
      <c r="Z70" s="242">
        <f t="shared" si="32"/>
        <v>645661.6222309896</v>
      </c>
      <c r="AA70" s="243">
        <f t="shared" si="32"/>
        <v>107610.2703718316</v>
      </c>
      <c r="AB70" s="242">
        <f t="shared" si="32"/>
        <v>107610.2703718316</v>
      </c>
      <c r="AC70" s="243">
        <f t="shared" si="32"/>
        <v>215220.5407436632</v>
      </c>
      <c r="AD70" s="242">
        <f t="shared" si="32"/>
        <v>2148171.590053125</v>
      </c>
      <c r="AE70" s="243">
        <f t="shared" si="32"/>
        <v>1580264.1582</v>
      </c>
      <c r="AF70" s="242">
        <f t="shared" si="32"/>
        <v>103112.23632254999</v>
      </c>
      <c r="AG70" s="243">
        <f>SUM(AG66:AG69)</f>
        <v>31357920.933275435</v>
      </c>
      <c r="AH70" s="247"/>
      <c r="AI70" s="247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</row>
  </sheetData>
  <sheetProtection/>
  <printOptions/>
  <pageMargins left="0.86" right="0.2362204724409449" top="1.220472440944882" bottom="0.6692913385826772" header="0.5905511811023623" footer="0.3937007874015748"/>
  <pageSetup horizontalDpi="120" verticalDpi="120" orientation="landscape" paperSize="5" scale="80" r:id="rId1"/>
  <headerFooter alignWithMargins="0">
    <oddHeader>&amp;CDEPARTAMENTO DE VICHADA
ALCALDIA MUNICIPIO DE PUERTO CARREÑO
NOMINA 2009
</oddHeader>
    <oddFooter>&amp;CTrabajando con la Gente!
Carrera 9 No. 18-87, B El Centro; TL 0985654324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101"/>
  <sheetViews>
    <sheetView zoomScalePageLayoutView="0" workbookViewId="0" topLeftCell="A93">
      <selection activeCell="C113" sqref="C113"/>
    </sheetView>
  </sheetViews>
  <sheetFormatPr defaultColWidth="11.421875" defaultRowHeight="12.75"/>
  <cols>
    <col min="1" max="1" width="7.421875" style="759" customWidth="1"/>
    <col min="2" max="2" width="8.8515625" style="759" customWidth="1"/>
    <col min="3" max="3" width="69.8515625" style="759" customWidth="1"/>
    <col min="4" max="8" width="15.140625" style="759" customWidth="1"/>
    <col min="9" max="16384" width="11.421875" style="759" customWidth="1"/>
  </cols>
  <sheetData>
    <row r="1" spans="2:8" s="710" customFormat="1" ht="18" customHeight="1">
      <c r="B1" s="707"/>
      <c r="C1" s="708" t="s">
        <v>164</v>
      </c>
      <c r="D1" s="709"/>
      <c r="E1" s="709"/>
      <c r="F1" s="709"/>
      <c r="G1" s="709"/>
      <c r="H1" s="709"/>
    </row>
    <row r="2" spans="2:8" s="710" customFormat="1" ht="18" customHeight="1">
      <c r="B2" s="711"/>
      <c r="C2" s="712" t="s">
        <v>165</v>
      </c>
      <c r="D2" s="709"/>
      <c r="E2" s="709"/>
      <c r="F2" s="709"/>
      <c r="G2" s="709"/>
      <c r="H2" s="709"/>
    </row>
    <row r="3" spans="2:8" s="710" customFormat="1" ht="12.75" customHeight="1">
      <c r="B3" s="713"/>
      <c r="C3" s="714"/>
      <c r="D3" s="715"/>
      <c r="E3" s="715"/>
      <c r="F3" s="715"/>
      <c r="G3" s="715"/>
      <c r="H3" s="715"/>
    </row>
    <row r="4" spans="2:8" s="720" customFormat="1" ht="14.25" customHeight="1">
      <c r="B4" s="716" t="s">
        <v>166</v>
      </c>
      <c r="C4" s="717" t="s">
        <v>1</v>
      </c>
      <c r="D4" s="718" t="s">
        <v>167</v>
      </c>
      <c r="E4" s="719"/>
      <c r="F4" s="719"/>
      <c r="G4" s="719"/>
      <c r="H4" s="719"/>
    </row>
    <row r="5" spans="2:8" s="720" customFormat="1" ht="14.25" customHeight="1">
      <c r="B5" s="721"/>
      <c r="C5" s="722"/>
      <c r="D5" s="723" t="s">
        <v>168</v>
      </c>
      <c r="E5" s="719"/>
      <c r="F5" s="719"/>
      <c r="G5" s="719"/>
      <c r="H5" s="719"/>
    </row>
    <row r="6" spans="2:8" s="728" customFormat="1" ht="18" customHeight="1">
      <c r="B6" s="724">
        <v>1</v>
      </c>
      <c r="C6" s="725" t="s">
        <v>169</v>
      </c>
      <c r="D6" s="726">
        <f>SUM(D7+D22+D27+D30)</f>
        <v>385057361.4182286</v>
      </c>
      <c r="E6" s="727"/>
      <c r="F6" s="727"/>
      <c r="G6" s="727"/>
      <c r="H6" s="727"/>
    </row>
    <row r="7" spans="2:8" s="728" customFormat="1" ht="18" customHeight="1">
      <c r="B7" s="729">
        <v>1101</v>
      </c>
      <c r="C7" s="730" t="s">
        <v>170</v>
      </c>
      <c r="D7" s="726">
        <f>SUM(D8:D20)</f>
        <v>276983337.32841694</v>
      </c>
      <c r="E7" s="727"/>
      <c r="F7" s="727"/>
      <c r="G7" s="727"/>
      <c r="H7" s="727"/>
    </row>
    <row r="8" spans="2:9" s="728" customFormat="1" ht="18" customHeight="1">
      <c r="B8" s="729">
        <v>110101</v>
      </c>
      <c r="C8" s="730" t="s">
        <v>171</v>
      </c>
      <c r="D8" s="731">
        <f>SUM(PROYENOMINA!H27+PROYENOMINA!U27-47958775)</f>
        <v>188164401.3384679</v>
      </c>
      <c r="E8" s="732"/>
      <c r="F8" s="732"/>
      <c r="G8" s="732"/>
      <c r="H8" s="732"/>
      <c r="I8" s="728">
        <v>57287059</v>
      </c>
    </row>
    <row r="9" spans="2:8" s="728" customFormat="1" ht="18" customHeight="1">
      <c r="B9" s="729">
        <v>110102</v>
      </c>
      <c r="C9" s="733" t="s">
        <v>172</v>
      </c>
      <c r="D9" s="731">
        <v>0</v>
      </c>
      <c r="E9" s="732"/>
      <c r="F9" s="732"/>
      <c r="G9" s="732"/>
      <c r="H9" s="732"/>
    </row>
    <row r="10" spans="2:8" s="728" customFormat="1" ht="18" customHeight="1">
      <c r="B10" s="729">
        <v>110103</v>
      </c>
      <c r="C10" s="733" t="s">
        <v>173</v>
      </c>
      <c r="D10" s="731">
        <v>0</v>
      </c>
      <c r="E10" s="732"/>
      <c r="F10" s="732"/>
      <c r="G10" s="732"/>
      <c r="H10" s="732"/>
    </row>
    <row r="11" spans="2:8" s="728" customFormat="1" ht="18" customHeight="1">
      <c r="B11" s="729">
        <v>110104</v>
      </c>
      <c r="C11" s="733" t="s">
        <v>174</v>
      </c>
      <c r="D11" s="731">
        <v>0</v>
      </c>
      <c r="E11" s="732"/>
      <c r="F11" s="732"/>
      <c r="G11" s="732"/>
      <c r="H11" s="732"/>
    </row>
    <row r="12" spans="2:8" s="728" customFormat="1" ht="18" customHeight="1">
      <c r="B12" s="729">
        <v>11010401</v>
      </c>
      <c r="C12" s="733" t="s">
        <v>175</v>
      </c>
      <c r="D12" s="731">
        <v>0</v>
      </c>
      <c r="E12" s="732"/>
      <c r="F12" s="732"/>
      <c r="G12" s="732"/>
      <c r="H12" s="732"/>
    </row>
    <row r="13" spans="2:9" s="728" customFormat="1" ht="18" customHeight="1">
      <c r="B13" s="729">
        <v>11010402</v>
      </c>
      <c r="C13" s="733" t="s">
        <v>176</v>
      </c>
      <c r="D13" s="731">
        <f>SUM(PROYENOMINA!J27)</f>
        <v>4007880</v>
      </c>
      <c r="E13" s="732"/>
      <c r="F13" s="732"/>
      <c r="G13" s="732"/>
      <c r="H13" s="732"/>
      <c r="I13" s="728">
        <v>5994408</v>
      </c>
    </row>
    <row r="14" spans="2:9" s="728" customFormat="1" ht="18" customHeight="1">
      <c r="B14" s="729">
        <v>11010403</v>
      </c>
      <c r="C14" s="733" t="s">
        <v>177</v>
      </c>
      <c r="D14" s="731">
        <f>SUM(PROYENOMINA!K27)</f>
        <v>10829544</v>
      </c>
      <c r="E14" s="732"/>
      <c r="F14" s="732"/>
      <c r="G14" s="732"/>
      <c r="H14" s="732"/>
      <c r="I14" s="728">
        <v>9616320</v>
      </c>
    </row>
    <row r="15" spans="2:9" s="728" customFormat="1" ht="18" customHeight="1">
      <c r="B15" s="729">
        <v>11010404</v>
      </c>
      <c r="C15" s="733" t="s">
        <v>178</v>
      </c>
      <c r="D15" s="731">
        <f>SUM(PROYENOMINA!L27)</f>
        <v>7752605.437499999</v>
      </c>
      <c r="E15" s="732"/>
      <c r="F15" s="732"/>
      <c r="G15" s="732"/>
      <c r="H15" s="732"/>
      <c r="I15" s="728">
        <v>2599728</v>
      </c>
    </row>
    <row r="16" spans="2:9" s="728" customFormat="1" ht="18" customHeight="1">
      <c r="B16" s="729">
        <v>11010405</v>
      </c>
      <c r="C16" s="733" t="s">
        <v>179</v>
      </c>
      <c r="D16" s="731">
        <f>SUM(PROYENOMINA!M27)</f>
        <v>10691121.2515625</v>
      </c>
      <c r="E16" s="732"/>
      <c r="F16" s="732"/>
      <c r="G16" s="732"/>
      <c r="H16" s="732"/>
      <c r="I16" s="728">
        <v>3089030</v>
      </c>
    </row>
    <row r="17" spans="2:9" s="728" customFormat="1" ht="18" customHeight="1">
      <c r="B17" s="729">
        <v>11010406</v>
      </c>
      <c r="C17" s="733" t="s">
        <v>180</v>
      </c>
      <c r="D17" s="731">
        <f>SUM(PROYENOMINA!N27)</f>
        <v>11136584.63704427</v>
      </c>
      <c r="E17" s="732"/>
      <c r="F17" s="732"/>
      <c r="G17" s="732"/>
      <c r="H17" s="732"/>
      <c r="I17" s="728">
        <v>3397740</v>
      </c>
    </row>
    <row r="18" spans="2:9" s="728" customFormat="1" ht="18" customHeight="1">
      <c r="B18" s="729">
        <v>11010407</v>
      </c>
      <c r="C18" s="733" t="s">
        <v>181</v>
      </c>
      <c r="D18" s="731">
        <f>SUM(PROYENOMINA!O27)</f>
        <v>23201217.993842233</v>
      </c>
      <c r="E18" s="732"/>
      <c r="F18" s="732"/>
      <c r="G18" s="732"/>
      <c r="H18" s="732"/>
      <c r="I18" s="728">
        <v>6703624</v>
      </c>
    </row>
    <row r="19" spans="2:9" s="728" customFormat="1" ht="18" customHeight="1">
      <c r="B19" s="729">
        <v>11010408</v>
      </c>
      <c r="C19" s="733" t="s">
        <v>182</v>
      </c>
      <c r="D19" s="731">
        <f>SUM(PROYENOMINA!T27)</f>
        <v>1299982.67</v>
      </c>
      <c r="E19" s="732"/>
      <c r="F19" s="732"/>
      <c r="G19" s="732"/>
      <c r="H19" s="732"/>
      <c r="I19" s="728">
        <v>3466877</v>
      </c>
    </row>
    <row r="20" spans="2:8" s="728" customFormat="1" ht="18" customHeight="1">
      <c r="B20" s="729">
        <v>11010409</v>
      </c>
      <c r="C20" s="733" t="s">
        <v>437</v>
      </c>
      <c r="D20" s="731">
        <v>19900000</v>
      </c>
      <c r="E20" s="732"/>
      <c r="F20" s="732"/>
      <c r="G20" s="732"/>
      <c r="H20" s="732"/>
    </row>
    <row r="21" spans="2:8" s="728" customFormat="1" ht="18" customHeight="1">
      <c r="B21" s="729"/>
      <c r="C21" s="733"/>
      <c r="D21" s="731"/>
      <c r="E21" s="732"/>
      <c r="F21" s="732"/>
      <c r="G21" s="732"/>
      <c r="H21" s="732"/>
    </row>
    <row r="22" spans="2:8" s="728" customFormat="1" ht="18" customHeight="1">
      <c r="B22" s="729">
        <v>1201</v>
      </c>
      <c r="C22" s="733" t="s">
        <v>183</v>
      </c>
      <c r="D22" s="731">
        <f>SUM(D23:D25)</f>
        <v>83800000</v>
      </c>
      <c r="E22" s="732"/>
      <c r="F22" s="732"/>
      <c r="G22" s="732"/>
      <c r="H22" s="732"/>
    </row>
    <row r="23" spans="2:8" s="728" customFormat="1" ht="18" customHeight="1">
      <c r="B23" s="729">
        <v>120102</v>
      </c>
      <c r="C23" s="733" t="s">
        <v>184</v>
      </c>
      <c r="D23" s="731">
        <v>7000000</v>
      </c>
      <c r="E23" s="732"/>
      <c r="F23" s="732"/>
      <c r="G23" s="732"/>
      <c r="H23" s="732"/>
    </row>
    <row r="24" spans="2:8" s="728" customFormat="1" ht="18" customHeight="1">
      <c r="B24" s="729">
        <v>120103</v>
      </c>
      <c r="C24" s="733" t="s">
        <v>185</v>
      </c>
      <c r="D24" s="731">
        <v>64800000</v>
      </c>
      <c r="E24" s="732"/>
      <c r="F24" s="732"/>
      <c r="G24" s="732"/>
      <c r="H24" s="732"/>
    </row>
    <row r="25" spans="2:8" s="728" customFormat="1" ht="18" customHeight="1">
      <c r="B25" s="729">
        <v>120104</v>
      </c>
      <c r="C25" s="733" t="s">
        <v>186</v>
      </c>
      <c r="D25" s="731">
        <v>12000000</v>
      </c>
      <c r="E25" s="732"/>
      <c r="F25" s="732"/>
      <c r="G25" s="732"/>
      <c r="H25" s="732"/>
    </row>
    <row r="26" spans="2:8" s="728" customFormat="1" ht="18" customHeight="1">
      <c r="B26" s="729"/>
      <c r="C26" s="733"/>
      <c r="D26" s="731"/>
      <c r="E26" s="732"/>
      <c r="F26" s="732"/>
      <c r="G26" s="732"/>
      <c r="H26" s="732"/>
    </row>
    <row r="27" spans="2:8" s="728" customFormat="1" ht="18" customHeight="1">
      <c r="B27" s="729">
        <v>1301</v>
      </c>
      <c r="C27" s="733" t="s">
        <v>187</v>
      </c>
      <c r="D27" s="731">
        <f>D28</f>
        <v>10788454.706582986</v>
      </c>
      <c r="E27" s="732"/>
      <c r="F27" s="732"/>
      <c r="G27" s="732"/>
      <c r="H27" s="732"/>
    </row>
    <row r="28" spans="2:9" s="728" customFormat="1" ht="18" customHeight="1">
      <c r="B28" s="729">
        <v>130101</v>
      </c>
      <c r="C28" s="733" t="s">
        <v>188</v>
      </c>
      <c r="D28" s="731">
        <f>SUM(PROYENOMINA!Y27)</f>
        <v>10788454.706582986</v>
      </c>
      <c r="E28" s="732"/>
      <c r="F28" s="732"/>
      <c r="G28" s="732"/>
      <c r="H28" s="732"/>
      <c r="I28" s="728">
        <v>2887519</v>
      </c>
    </row>
    <row r="29" spans="2:8" s="728" customFormat="1" ht="18" customHeight="1">
      <c r="B29" s="729"/>
      <c r="C29" s="733"/>
      <c r="D29" s="731"/>
      <c r="E29" s="732"/>
      <c r="F29" s="732"/>
      <c r="G29" s="732"/>
      <c r="H29" s="732"/>
    </row>
    <row r="30" spans="2:8" s="728" customFormat="1" ht="18" customHeight="1">
      <c r="B30" s="729">
        <v>1401</v>
      </c>
      <c r="C30" s="733" t="s">
        <v>189</v>
      </c>
      <c r="D30" s="731">
        <f>SUM(D31:D34)+1</f>
        <v>13485569.38322873</v>
      </c>
      <c r="E30" s="732"/>
      <c r="F30" s="732"/>
      <c r="G30" s="732"/>
      <c r="H30" s="732"/>
    </row>
    <row r="31" spans="2:9" s="728" customFormat="1" ht="18" customHeight="1">
      <c r="B31" s="729">
        <v>140101</v>
      </c>
      <c r="C31" s="733" t="s">
        <v>190</v>
      </c>
      <c r="D31" s="731">
        <f>SUM(PROYENOMINA!AA27)</f>
        <v>1348556.8383228732</v>
      </c>
      <c r="E31" s="732"/>
      <c r="F31" s="732"/>
      <c r="G31" s="732"/>
      <c r="H31" s="732"/>
      <c r="I31" s="728">
        <v>360939</v>
      </c>
    </row>
    <row r="32" spans="2:9" s="728" customFormat="1" ht="18" customHeight="1">
      <c r="B32" s="729">
        <v>140102</v>
      </c>
      <c r="C32" s="733" t="s">
        <v>112</v>
      </c>
      <c r="D32" s="731">
        <f>SUM(PROYENOMINA!Z27)</f>
        <v>8091341.029937237</v>
      </c>
      <c r="E32" s="732"/>
      <c r="F32" s="732"/>
      <c r="G32" s="732"/>
      <c r="H32" s="732"/>
      <c r="I32" s="728">
        <v>2165641</v>
      </c>
    </row>
    <row r="33" spans="2:9" s="728" customFormat="1" ht="18" customHeight="1">
      <c r="B33" s="729">
        <v>140103</v>
      </c>
      <c r="C33" s="733" t="s">
        <v>191</v>
      </c>
      <c r="D33" s="731">
        <f>SUM(PROYENOMINA!AC27)</f>
        <v>2697113.6766457465</v>
      </c>
      <c r="E33" s="732"/>
      <c r="F33" s="732"/>
      <c r="G33" s="732"/>
      <c r="H33" s="732"/>
      <c r="I33" s="728">
        <v>721879</v>
      </c>
    </row>
    <row r="34" spans="2:9" s="728" customFormat="1" ht="18" customHeight="1">
      <c r="B34" s="729">
        <v>140104</v>
      </c>
      <c r="C34" s="733" t="s">
        <v>192</v>
      </c>
      <c r="D34" s="731">
        <f>SUM(PROYENOMINA!AB27)</f>
        <v>1348556.8383228732</v>
      </c>
      <c r="E34" s="732"/>
      <c r="F34" s="732"/>
      <c r="G34" s="732"/>
      <c r="H34" s="732"/>
      <c r="I34" s="728">
        <v>360939</v>
      </c>
    </row>
    <row r="35" spans="2:8" s="728" customFormat="1" ht="18" customHeight="1">
      <c r="B35" s="729"/>
      <c r="C35" s="733"/>
      <c r="D35" s="731"/>
      <c r="E35" s="732"/>
      <c r="F35" s="732"/>
      <c r="G35" s="732"/>
      <c r="H35" s="732"/>
    </row>
    <row r="36" spans="2:8" s="728" customFormat="1" ht="18" customHeight="1">
      <c r="B36" s="729"/>
      <c r="C36" s="733"/>
      <c r="D36" s="731"/>
      <c r="E36" s="732"/>
      <c r="F36" s="732"/>
      <c r="G36" s="732"/>
      <c r="H36" s="732"/>
    </row>
    <row r="37" spans="2:8" s="728" customFormat="1" ht="18" customHeight="1">
      <c r="B37" s="729"/>
      <c r="C37" s="733"/>
      <c r="D37" s="734"/>
      <c r="E37" s="732"/>
      <c r="F37" s="732"/>
      <c r="G37" s="732"/>
      <c r="H37" s="732"/>
    </row>
    <row r="38" spans="2:8" s="728" customFormat="1" ht="18" customHeight="1">
      <c r="B38" s="735"/>
      <c r="C38" s="736"/>
      <c r="D38" s="732"/>
      <c r="E38" s="732"/>
      <c r="F38" s="732"/>
      <c r="G38" s="732"/>
      <c r="H38" s="732"/>
    </row>
    <row r="39" spans="2:8" s="728" customFormat="1" ht="18" customHeight="1">
      <c r="B39" s="737"/>
      <c r="C39" s="738"/>
      <c r="D39" s="739"/>
      <c r="E39" s="732"/>
      <c r="F39" s="732"/>
      <c r="G39" s="732"/>
      <c r="H39" s="732"/>
    </row>
    <row r="40" spans="2:8" s="728" customFormat="1" ht="18" customHeight="1">
      <c r="B40" s="740" t="s">
        <v>166</v>
      </c>
      <c r="C40" s="741" t="s">
        <v>1</v>
      </c>
      <c r="D40" s="742" t="s">
        <v>167</v>
      </c>
      <c r="E40" s="743"/>
      <c r="F40" s="743"/>
      <c r="G40" s="743"/>
      <c r="H40" s="743"/>
    </row>
    <row r="41" spans="2:8" s="728" customFormat="1" ht="18" customHeight="1">
      <c r="B41" s="721"/>
      <c r="C41" s="722"/>
      <c r="D41" s="723" t="s">
        <v>168</v>
      </c>
      <c r="E41" s="743"/>
      <c r="F41" s="743"/>
      <c r="G41" s="743"/>
      <c r="H41" s="743"/>
    </row>
    <row r="42" spans="2:8" s="728" customFormat="1" ht="18" customHeight="1">
      <c r="B42" s="729"/>
      <c r="C42" s="733"/>
      <c r="D42" s="731"/>
      <c r="E42" s="732"/>
      <c r="F42" s="732"/>
      <c r="G42" s="732"/>
      <c r="H42" s="732"/>
    </row>
    <row r="43" spans="2:8" s="728" customFormat="1" ht="18" customHeight="1">
      <c r="B43" s="744">
        <v>2</v>
      </c>
      <c r="C43" s="745" t="s">
        <v>193</v>
      </c>
      <c r="D43" s="726">
        <f>SUM(D44+D50+D68)</f>
        <v>158668005</v>
      </c>
      <c r="E43" s="727"/>
      <c r="F43" s="727"/>
      <c r="G43" s="727"/>
      <c r="H43" s="727"/>
    </row>
    <row r="44" spans="2:8" s="728" customFormat="1" ht="18" customHeight="1">
      <c r="B44" s="729">
        <v>1501</v>
      </c>
      <c r="C44" s="733" t="s">
        <v>194</v>
      </c>
      <c r="D44" s="726">
        <f>SUM(D45:D48)</f>
        <v>45000000</v>
      </c>
      <c r="E44" s="727"/>
      <c r="F44" s="727"/>
      <c r="G44" s="727"/>
      <c r="H44" s="727"/>
    </row>
    <row r="45" spans="2:8" s="728" customFormat="1" ht="18" customHeight="1">
      <c r="B45" s="729">
        <v>150101</v>
      </c>
      <c r="C45" s="733" t="s">
        <v>195</v>
      </c>
      <c r="D45" s="731">
        <v>15000000</v>
      </c>
      <c r="E45" s="732"/>
      <c r="F45" s="732"/>
      <c r="G45" s="732"/>
      <c r="H45" s="732"/>
    </row>
    <row r="46" spans="2:8" s="728" customFormat="1" ht="18" customHeight="1">
      <c r="B46" s="729">
        <v>150102</v>
      </c>
      <c r="C46" s="733" t="s">
        <v>196</v>
      </c>
      <c r="D46" s="731">
        <v>17000000</v>
      </c>
      <c r="E46" s="732"/>
      <c r="F46" s="732"/>
      <c r="G46" s="732"/>
      <c r="H46" s="732"/>
    </row>
    <row r="47" spans="2:8" s="728" customFormat="1" ht="18" customHeight="1">
      <c r="B47" s="729">
        <v>150103</v>
      </c>
      <c r="C47" s="733" t="s">
        <v>197</v>
      </c>
      <c r="D47" s="734">
        <v>13000000</v>
      </c>
      <c r="E47" s="732"/>
      <c r="F47" s="732"/>
      <c r="G47" s="732"/>
      <c r="H47" s="732"/>
    </row>
    <row r="48" spans="2:8" s="728" customFormat="1" ht="18" customHeight="1">
      <c r="B48" s="729">
        <v>150104</v>
      </c>
      <c r="C48" s="733" t="s">
        <v>198</v>
      </c>
      <c r="D48" s="734">
        <v>0</v>
      </c>
      <c r="E48" s="732"/>
      <c r="F48" s="732"/>
      <c r="G48" s="732"/>
      <c r="H48" s="732"/>
    </row>
    <row r="49" spans="2:8" s="728" customFormat="1" ht="18" customHeight="1">
      <c r="B49" s="729"/>
      <c r="C49" s="733"/>
      <c r="D49" s="731"/>
      <c r="E49" s="732"/>
      <c r="F49" s="732"/>
      <c r="G49" s="732"/>
      <c r="H49" s="732"/>
    </row>
    <row r="50" spans="2:8" s="728" customFormat="1" ht="18" customHeight="1">
      <c r="B50" s="729">
        <v>1601</v>
      </c>
      <c r="C50" s="733" t="s">
        <v>199</v>
      </c>
      <c r="D50" s="726">
        <f>SUM(D51:D66)</f>
        <v>112668005</v>
      </c>
      <c r="E50" s="727"/>
      <c r="F50" s="727"/>
      <c r="G50" s="727"/>
      <c r="H50" s="727"/>
    </row>
    <row r="51" spans="2:8" s="728" customFormat="1" ht="18" customHeight="1">
      <c r="B51" s="729">
        <v>160101</v>
      </c>
      <c r="C51" s="733" t="s">
        <v>200</v>
      </c>
      <c r="D51" s="731">
        <v>15000000</v>
      </c>
      <c r="E51" s="732"/>
      <c r="F51" s="732"/>
      <c r="G51" s="732"/>
      <c r="H51" s="732"/>
    </row>
    <row r="52" spans="2:8" s="728" customFormat="1" ht="18" customHeight="1">
      <c r="B52" s="729">
        <v>160102</v>
      </c>
      <c r="C52" s="733" t="s">
        <v>201</v>
      </c>
      <c r="D52" s="731">
        <v>26046505</v>
      </c>
      <c r="E52" s="732"/>
      <c r="F52" s="732"/>
      <c r="G52" s="732"/>
      <c r="H52" s="732"/>
    </row>
    <row r="53" spans="2:8" s="728" customFormat="1" ht="18" customHeight="1">
      <c r="B53" s="729">
        <v>160103</v>
      </c>
      <c r="C53" s="733" t="s">
        <v>202</v>
      </c>
      <c r="D53" s="731">
        <v>0</v>
      </c>
      <c r="E53" s="732"/>
      <c r="F53" s="732"/>
      <c r="G53" s="732"/>
      <c r="H53" s="732"/>
    </row>
    <row r="54" spans="2:8" s="728" customFormat="1" ht="18" customHeight="1">
      <c r="B54" s="729">
        <v>160104</v>
      </c>
      <c r="C54" s="733" t="s">
        <v>203</v>
      </c>
      <c r="D54" s="731">
        <v>30000000</v>
      </c>
      <c r="E54" s="732"/>
      <c r="F54" s="732"/>
      <c r="G54" s="732"/>
      <c r="H54" s="732"/>
    </row>
    <row r="55" spans="2:8" s="728" customFormat="1" ht="18" customHeight="1">
      <c r="B55" s="729">
        <v>160105</v>
      </c>
      <c r="C55" s="733" t="s">
        <v>204</v>
      </c>
      <c r="D55" s="731">
        <v>5000000</v>
      </c>
      <c r="E55" s="732"/>
      <c r="F55" s="732"/>
      <c r="G55" s="732"/>
      <c r="H55" s="732"/>
    </row>
    <row r="56" spans="2:8" s="728" customFormat="1" ht="18" customHeight="1">
      <c r="B56" s="729">
        <v>160106</v>
      </c>
      <c r="C56" s="733" t="s">
        <v>205</v>
      </c>
      <c r="D56" s="731">
        <v>5000000</v>
      </c>
      <c r="E56" s="732"/>
      <c r="F56" s="732"/>
      <c r="G56" s="732"/>
      <c r="H56" s="732"/>
    </row>
    <row r="57" spans="2:8" s="728" customFormat="1" ht="18" customHeight="1">
      <c r="B57" s="729">
        <v>160107</v>
      </c>
      <c r="C57" s="733" t="s">
        <v>206</v>
      </c>
      <c r="D57" s="731">
        <v>12000000</v>
      </c>
      <c r="E57" s="732"/>
      <c r="F57" s="732"/>
      <c r="G57" s="732"/>
      <c r="H57" s="732"/>
    </row>
    <row r="58" spans="2:8" s="728" customFormat="1" ht="18" customHeight="1">
      <c r="B58" s="729">
        <v>160108</v>
      </c>
      <c r="C58" s="733" t="s">
        <v>207</v>
      </c>
      <c r="D58" s="731">
        <v>0</v>
      </c>
      <c r="E58" s="732"/>
      <c r="F58" s="732"/>
      <c r="G58" s="732"/>
      <c r="H58" s="732"/>
    </row>
    <row r="59" spans="2:8" s="728" customFormat="1" ht="18" customHeight="1">
      <c r="B59" s="729">
        <v>160109</v>
      </c>
      <c r="C59" s="733" t="s">
        <v>271</v>
      </c>
      <c r="D59" s="731">
        <v>0</v>
      </c>
      <c r="E59" s="732"/>
      <c r="F59" s="732"/>
      <c r="G59" s="732"/>
      <c r="H59" s="732"/>
    </row>
    <row r="60" spans="2:8" s="728" customFormat="1" ht="18" customHeight="1">
      <c r="B60" s="729">
        <v>16010901</v>
      </c>
      <c r="C60" s="733" t="s">
        <v>208</v>
      </c>
      <c r="D60" s="731">
        <v>0</v>
      </c>
      <c r="E60" s="732"/>
      <c r="F60" s="732"/>
      <c r="G60" s="732"/>
      <c r="H60" s="732"/>
    </row>
    <row r="61" spans="2:8" s="728" customFormat="1" ht="18" customHeight="1">
      <c r="B61" s="729">
        <v>16010902</v>
      </c>
      <c r="C61" s="733" t="s">
        <v>209</v>
      </c>
      <c r="D61" s="746">
        <v>19621500</v>
      </c>
      <c r="E61" s="732"/>
      <c r="F61" s="732"/>
      <c r="G61" s="732"/>
      <c r="H61" s="732"/>
    </row>
    <row r="62" spans="2:8" s="728" customFormat="1" ht="18" customHeight="1">
      <c r="B62" s="729">
        <v>16010903</v>
      </c>
      <c r="C62" s="733" t="s">
        <v>210</v>
      </c>
      <c r="D62" s="731">
        <v>0</v>
      </c>
      <c r="E62" s="732"/>
      <c r="F62" s="732"/>
      <c r="G62" s="732"/>
      <c r="H62" s="732"/>
    </row>
    <row r="63" spans="2:8" s="728" customFormat="1" ht="18" customHeight="1">
      <c r="B63" s="729">
        <v>16010904</v>
      </c>
      <c r="C63" s="733" t="s">
        <v>211</v>
      </c>
      <c r="D63" s="731">
        <v>0</v>
      </c>
      <c r="E63" s="732"/>
      <c r="F63" s="732"/>
      <c r="G63" s="732"/>
      <c r="H63" s="732"/>
    </row>
    <row r="64" spans="2:8" s="728" customFormat="1" ht="18" customHeight="1">
      <c r="B64" s="729">
        <v>16010905</v>
      </c>
      <c r="C64" s="733" t="s">
        <v>212</v>
      </c>
      <c r="D64" s="731">
        <v>0</v>
      </c>
      <c r="E64" s="732"/>
      <c r="F64" s="732"/>
      <c r="G64" s="732"/>
      <c r="H64" s="732"/>
    </row>
    <row r="65" spans="2:8" s="728" customFormat="1" ht="18" customHeight="1">
      <c r="B65" s="729">
        <v>16010906</v>
      </c>
      <c r="C65" s="733" t="s">
        <v>213</v>
      </c>
      <c r="D65" s="731">
        <v>0</v>
      </c>
      <c r="E65" s="732"/>
      <c r="F65" s="732"/>
      <c r="G65" s="732"/>
      <c r="H65" s="732"/>
    </row>
    <row r="66" spans="2:8" s="728" customFormat="1" ht="18" customHeight="1">
      <c r="B66" s="729">
        <v>16010907</v>
      </c>
      <c r="C66" s="733" t="s">
        <v>264</v>
      </c>
      <c r="D66" s="731">
        <v>0</v>
      </c>
      <c r="E66" s="732"/>
      <c r="F66" s="732"/>
      <c r="G66" s="732"/>
      <c r="H66" s="732"/>
    </row>
    <row r="67" spans="2:8" s="728" customFormat="1" ht="18" customHeight="1">
      <c r="B67" s="729"/>
      <c r="C67" s="733"/>
      <c r="D67" s="731">
        <v>0</v>
      </c>
      <c r="E67" s="732"/>
      <c r="F67" s="732"/>
      <c r="G67" s="732"/>
      <c r="H67" s="732"/>
    </row>
    <row r="68" spans="2:8" s="728" customFormat="1" ht="18" customHeight="1">
      <c r="B68" s="729">
        <v>23</v>
      </c>
      <c r="C68" s="733" t="s">
        <v>214</v>
      </c>
      <c r="D68" s="726">
        <v>1000000</v>
      </c>
      <c r="E68" s="727"/>
      <c r="F68" s="727"/>
      <c r="G68" s="727"/>
      <c r="H68" s="727"/>
    </row>
    <row r="69" spans="2:8" s="728" customFormat="1" ht="18" customHeight="1">
      <c r="B69" s="729"/>
      <c r="C69" s="733"/>
      <c r="D69" s="731"/>
      <c r="E69" s="732"/>
      <c r="F69" s="732"/>
      <c r="G69" s="732"/>
      <c r="H69" s="732"/>
    </row>
    <row r="70" spans="2:8" s="728" customFormat="1" ht="18" customHeight="1">
      <c r="B70" s="744">
        <v>3</v>
      </c>
      <c r="C70" s="745" t="s">
        <v>215</v>
      </c>
      <c r="D70" s="726">
        <f>+D71+D80</f>
        <v>319735866.16443324</v>
      </c>
      <c r="E70" s="727"/>
      <c r="F70" s="727"/>
      <c r="G70" s="727"/>
      <c r="H70" s="727"/>
    </row>
    <row r="71" spans="2:8" s="728" customFormat="1" ht="18" customHeight="1">
      <c r="B71" s="729">
        <v>3601</v>
      </c>
      <c r="C71" s="733" t="s">
        <v>216</v>
      </c>
      <c r="D71" s="731">
        <f>SUM(D72:D75)-1</f>
        <v>91790995.18214545</v>
      </c>
      <c r="E71" s="732"/>
      <c r="F71" s="732"/>
      <c r="G71" s="732"/>
      <c r="H71" s="732"/>
    </row>
    <row r="72" spans="2:9" s="728" customFormat="1" ht="18" customHeight="1">
      <c r="B72" s="729">
        <v>360101</v>
      </c>
      <c r="C72" s="733" t="s">
        <v>217</v>
      </c>
      <c r="D72" s="747">
        <f>SUM('[1]PROYENOMINA'!W29)</f>
        <v>29273203.447697043</v>
      </c>
      <c r="E72" s="748"/>
      <c r="F72" s="748"/>
      <c r="G72" s="748"/>
      <c r="H72" s="748"/>
      <c r="I72" s="728">
        <v>8257433</v>
      </c>
    </row>
    <row r="73" spans="2:9" s="728" customFormat="1" ht="18" customHeight="1">
      <c r="B73" s="729">
        <v>360102</v>
      </c>
      <c r="C73" s="733" t="s">
        <v>218</v>
      </c>
      <c r="D73" s="747">
        <f>SUM('[1]PROYENOMINA'!AE29+'[1]PROYENOMINA'!AE44)</f>
        <v>30881745.2412</v>
      </c>
      <c r="E73" s="748"/>
      <c r="F73" s="748"/>
      <c r="G73" s="748"/>
      <c r="H73" s="748"/>
      <c r="I73" s="728">
        <v>4682079</v>
      </c>
    </row>
    <row r="74" spans="2:9" s="728" customFormat="1" ht="18" customHeight="1">
      <c r="B74" s="729">
        <v>360103</v>
      </c>
      <c r="C74" s="733" t="s">
        <v>219</v>
      </c>
      <c r="D74" s="747">
        <f>SUM('[1]PROYENOMINA'!AD29)</f>
        <v>30187067.26455</v>
      </c>
      <c r="E74" s="748"/>
      <c r="F74" s="748"/>
      <c r="G74" s="748"/>
      <c r="H74" s="748"/>
      <c r="I74" s="728">
        <v>6364700</v>
      </c>
    </row>
    <row r="75" spans="2:9" s="728" customFormat="1" ht="18" customHeight="1">
      <c r="B75" s="729">
        <v>360104</v>
      </c>
      <c r="C75" s="733" t="s">
        <v>220</v>
      </c>
      <c r="D75" s="747">
        <f>SUM('[1]PROYENOMINA'!AF29)+1</f>
        <v>1448980.2286984</v>
      </c>
      <c r="E75" s="748"/>
      <c r="F75" s="748"/>
      <c r="G75" s="748"/>
      <c r="H75" s="748"/>
      <c r="I75" s="728">
        <v>305505</v>
      </c>
    </row>
    <row r="76" spans="2:8" s="728" customFormat="1" ht="18" customHeight="1">
      <c r="B76" s="735"/>
      <c r="C76" s="736"/>
      <c r="D76" s="732"/>
      <c r="E76" s="732"/>
      <c r="F76" s="732"/>
      <c r="G76" s="732"/>
      <c r="H76" s="732"/>
    </row>
    <row r="77" spans="2:8" s="728" customFormat="1" ht="18" customHeight="1">
      <c r="B77" s="716" t="s">
        <v>166</v>
      </c>
      <c r="C77" s="717" t="s">
        <v>1</v>
      </c>
      <c r="D77" s="718" t="s">
        <v>167</v>
      </c>
      <c r="E77" s="743"/>
      <c r="F77" s="743"/>
      <c r="G77" s="743"/>
      <c r="H77" s="743"/>
    </row>
    <row r="78" spans="2:8" s="728" customFormat="1" ht="18" customHeight="1">
      <c r="B78" s="721"/>
      <c r="C78" s="722"/>
      <c r="D78" s="723" t="s">
        <v>168</v>
      </c>
      <c r="E78" s="743"/>
      <c r="F78" s="743"/>
      <c r="G78" s="743"/>
      <c r="H78" s="743"/>
    </row>
    <row r="79" spans="2:8" s="728" customFormat="1" ht="18" customHeight="1">
      <c r="B79" s="729"/>
      <c r="C79" s="733"/>
      <c r="D79" s="731"/>
      <c r="E79" s="732"/>
      <c r="F79" s="732"/>
      <c r="G79" s="732"/>
      <c r="H79" s="732"/>
    </row>
    <row r="80" spans="2:8" s="728" customFormat="1" ht="18" customHeight="1">
      <c r="B80" s="744">
        <v>4601</v>
      </c>
      <c r="C80" s="745" t="s">
        <v>221</v>
      </c>
      <c r="D80" s="726">
        <f>SUM(D82+D81+D83)</f>
        <v>227944870.98228782</v>
      </c>
      <c r="E80" s="727"/>
      <c r="F80" s="727"/>
      <c r="G80" s="727"/>
      <c r="H80" s="727"/>
    </row>
    <row r="81" spans="2:8" s="728" customFormat="1" ht="18" customHeight="1">
      <c r="B81" s="729">
        <v>460101</v>
      </c>
      <c r="C81" s="733" t="s">
        <v>222</v>
      </c>
      <c r="D81" s="731">
        <v>1000000</v>
      </c>
      <c r="E81" s="732"/>
      <c r="F81" s="732"/>
      <c r="G81" s="732"/>
      <c r="H81" s="732"/>
    </row>
    <row r="82" spans="2:8" s="728" customFormat="1" ht="18" customHeight="1">
      <c r="B82" s="729">
        <v>460102</v>
      </c>
      <c r="C82" s="733" t="s">
        <v>261</v>
      </c>
      <c r="D82" s="749">
        <v>2538250</v>
      </c>
      <c r="E82" s="732"/>
      <c r="F82" s="732"/>
      <c r="G82" s="732"/>
      <c r="H82" s="732"/>
    </row>
    <row r="83" spans="2:8" s="728" customFormat="1" ht="18" customHeight="1">
      <c r="B83" s="729">
        <v>460103</v>
      </c>
      <c r="C83" s="733" t="s">
        <v>223</v>
      </c>
      <c r="D83" s="731">
        <f>SUM(D84:D92)</f>
        <v>224406620.98228782</v>
      </c>
      <c r="E83" s="732"/>
      <c r="F83" s="732"/>
      <c r="G83" s="732"/>
      <c r="H83" s="732"/>
    </row>
    <row r="84" spans="2:8" s="728" customFormat="1" ht="18" customHeight="1">
      <c r="B84" s="729">
        <v>46010301</v>
      </c>
      <c r="C84" s="733" t="s">
        <v>224</v>
      </c>
      <c r="D84" s="731">
        <f>SUM('[1]INGRESOS04'!E8)</f>
        <v>35112000</v>
      </c>
      <c r="E84" s="732"/>
      <c r="F84" s="732"/>
      <c r="G84" s="732"/>
      <c r="H84" s="732"/>
    </row>
    <row r="85" spans="2:8" s="728" customFormat="1" ht="18" customHeight="1">
      <c r="B85" s="729">
        <v>46010302</v>
      </c>
      <c r="C85" s="733" t="s">
        <v>225</v>
      </c>
      <c r="D85" s="731">
        <f>SUM('[1]INGRESOS04'!E69)</f>
        <v>68953850.7</v>
      </c>
      <c r="E85" s="732"/>
      <c r="F85" s="732"/>
      <c r="G85" s="732"/>
      <c r="H85" s="732"/>
    </row>
    <row r="86" spans="2:8" s="728" customFormat="1" ht="18" customHeight="1">
      <c r="B86" s="729">
        <v>46010303</v>
      </c>
      <c r="C86" s="733" t="s">
        <v>226</v>
      </c>
      <c r="D86" s="731">
        <f>SUM('[1]INGRESOS04'!E20+'[1]INGRESOS04'!E17+'[1]INGRESOS04'!E19+'[1]INGRESOS04'!E44)</f>
        <v>3678241.9670836106</v>
      </c>
      <c r="E86" s="732"/>
      <c r="F86" s="732"/>
      <c r="G86" s="732"/>
      <c r="H86" s="732"/>
    </row>
    <row r="87" spans="2:8" s="728" customFormat="1" ht="18" customHeight="1">
      <c r="B87" s="729">
        <v>46010304</v>
      </c>
      <c r="C87" s="733" t="s">
        <v>227</v>
      </c>
      <c r="D87" s="731">
        <f>SUM('[1]INGRESOS04'!E15)</f>
        <v>6300000</v>
      </c>
      <c r="E87" s="732"/>
      <c r="F87" s="732"/>
      <c r="G87" s="732"/>
      <c r="H87" s="732"/>
    </row>
    <row r="88" spans="2:8" s="728" customFormat="1" ht="18" customHeight="1">
      <c r="B88" s="729">
        <v>46010305</v>
      </c>
      <c r="C88" s="750" t="s">
        <v>256</v>
      </c>
      <c r="D88" s="734">
        <f>SUM('[1]INGRESOS04'!E31)-SUM('[1]INGRESOS04'!E31)*0.2</f>
        <v>41259176.31218381</v>
      </c>
      <c r="E88" s="732"/>
      <c r="F88" s="732"/>
      <c r="G88" s="732"/>
      <c r="H88" s="732"/>
    </row>
    <row r="89" spans="2:8" s="728" customFormat="1" ht="18" customHeight="1">
      <c r="B89" s="751">
        <v>46010306</v>
      </c>
      <c r="C89" s="752" t="s">
        <v>268</v>
      </c>
      <c r="D89" s="731">
        <f>SUM('[1]INGRESOS04'!F74*0.15)</f>
        <v>1895039.179349518</v>
      </c>
      <c r="E89" s="732"/>
      <c r="F89" s="732"/>
      <c r="G89" s="732"/>
      <c r="H89" s="732"/>
    </row>
    <row r="90" spans="2:8" s="728" customFormat="1" ht="18" customHeight="1">
      <c r="B90" s="751">
        <v>46010307</v>
      </c>
      <c r="C90" s="752" t="s">
        <v>270</v>
      </c>
      <c r="D90" s="731">
        <f>(SUM('[1]INGRESOS04'!E31)+SUM('[1]INGRESOS04'!E32))*0.2</f>
        <v>21133497.82717094</v>
      </c>
      <c r="E90" s="732"/>
      <c r="F90" s="732"/>
      <c r="G90" s="732"/>
      <c r="H90" s="732"/>
    </row>
    <row r="91" spans="2:8" s="728" customFormat="1" ht="18" customHeight="1">
      <c r="B91" s="751">
        <v>46010308</v>
      </c>
      <c r="C91" s="752" t="s">
        <v>263</v>
      </c>
      <c r="D91" s="731">
        <f>SUM('[1]INGRESOS04'!E32)-SUM('[1]INGRESOS04'!E32)*0.2</f>
        <v>43274814.99649994</v>
      </c>
      <c r="E91" s="732"/>
      <c r="F91" s="732"/>
      <c r="G91" s="732"/>
      <c r="H91" s="732"/>
    </row>
    <row r="92" spans="2:8" s="728" customFormat="1" ht="18" customHeight="1">
      <c r="B92" s="751">
        <v>46010309</v>
      </c>
      <c r="C92" s="752" t="s">
        <v>436</v>
      </c>
      <c r="D92" s="753">
        <v>2800000</v>
      </c>
      <c r="E92" s="732"/>
      <c r="F92" s="732"/>
      <c r="G92" s="732"/>
      <c r="H92" s="732"/>
    </row>
    <row r="93" spans="2:9" s="728" customFormat="1" ht="18" customHeight="1">
      <c r="B93" s="754" t="s">
        <v>262</v>
      </c>
      <c r="C93" s="755"/>
      <c r="D93" s="756">
        <f>+D95-D83</f>
        <v>653054611.600374</v>
      </c>
      <c r="E93" s="727"/>
      <c r="F93" s="727"/>
      <c r="G93" s="727"/>
      <c r="H93" s="727"/>
      <c r="I93" s="728">
        <f>SUM(I8:I91)</f>
        <v>118261420</v>
      </c>
    </row>
    <row r="94" spans="2:8" s="728" customFormat="1" ht="18" customHeight="1">
      <c r="B94" s="754" t="s">
        <v>291</v>
      </c>
      <c r="C94" s="755"/>
      <c r="D94" s="756">
        <v>14000000</v>
      </c>
      <c r="E94" s="727"/>
      <c r="F94" s="727"/>
      <c r="G94" s="727"/>
      <c r="H94" s="727"/>
    </row>
    <row r="95" spans="2:8" s="728" customFormat="1" ht="18" customHeight="1">
      <c r="B95" s="745" t="s">
        <v>109</v>
      </c>
      <c r="C95" s="757"/>
      <c r="D95" s="758">
        <f>+D70+D43+D6+D94</f>
        <v>877461232.5826619</v>
      </c>
      <c r="E95" s="727"/>
      <c r="F95" s="727"/>
      <c r="G95" s="727"/>
      <c r="H95" s="727"/>
    </row>
    <row r="96" ht="8.25">
      <c r="D96" s="760">
        <f>+D97-D95</f>
        <v>0.41733813285827637</v>
      </c>
    </row>
    <row r="97" ht="8.25">
      <c r="D97" s="761">
        <v>877461233</v>
      </c>
    </row>
    <row r="99" ht="8.25">
      <c r="C99" s="762" t="s">
        <v>312</v>
      </c>
    </row>
    <row r="100" ht="8.25">
      <c r="C100" s="759" t="s">
        <v>309</v>
      </c>
    </row>
    <row r="101" ht="8.25">
      <c r="C101" s="762"/>
    </row>
  </sheetData>
  <sheetProtection/>
  <printOptions/>
  <pageMargins left="0.6692913385826772" right="0.5511811023622047" top="1.6141732283464567" bottom="0.9448818897637796" header="0.5905511811023623" footer="0.1968503937007874"/>
  <pageSetup horizontalDpi="120" verticalDpi="120" orientation="portrait" paperSize="5" scale="80" r:id="rId1"/>
  <headerFooter alignWithMargins="0">
    <oddHeader>&amp;C
Republica de Colombia
ALCALDIA DE PUERTO CARREÑO
Presupuesto 2009
</oddHeader>
    <oddFooter>&amp;C
Trabando con la Gente!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D63"/>
  <sheetViews>
    <sheetView zoomScalePageLayoutView="0" workbookViewId="0" topLeftCell="A3">
      <selection activeCell="D7" sqref="D7"/>
    </sheetView>
  </sheetViews>
  <sheetFormatPr defaultColWidth="11.421875" defaultRowHeight="12.75"/>
  <cols>
    <col min="2" max="2" width="8.8515625" style="0" customWidth="1"/>
    <col min="3" max="3" width="52.8515625" style="0" customWidth="1"/>
    <col min="4" max="4" width="14.421875" style="0" customWidth="1"/>
  </cols>
  <sheetData>
    <row r="1" spans="2:4" s="110" customFormat="1" ht="18" customHeight="1">
      <c r="B1" s="108"/>
      <c r="C1" s="132" t="s">
        <v>228</v>
      </c>
      <c r="D1" s="109"/>
    </row>
    <row r="2" spans="2:4" s="110" customFormat="1" ht="18" customHeight="1">
      <c r="B2" s="111"/>
      <c r="C2" s="133" t="s">
        <v>229</v>
      </c>
      <c r="D2" s="109"/>
    </row>
    <row r="3" spans="2:4" s="110" customFormat="1" ht="12.75" customHeight="1">
      <c r="B3" s="112"/>
      <c r="C3" s="113"/>
      <c r="D3" s="114"/>
    </row>
    <row r="4" spans="2:4" s="118" customFormat="1" ht="14.25" customHeight="1">
      <c r="B4" s="115" t="s">
        <v>166</v>
      </c>
      <c r="C4" s="116" t="s">
        <v>1</v>
      </c>
      <c r="D4" s="117" t="s">
        <v>167</v>
      </c>
    </row>
    <row r="5" spans="2:4" s="118" customFormat="1" ht="14.25" customHeight="1">
      <c r="B5" s="119"/>
      <c r="C5" s="120"/>
      <c r="D5" s="121" t="s">
        <v>168</v>
      </c>
    </row>
    <row r="6" spans="2:4" s="134" customFormat="1" ht="18" customHeight="1">
      <c r="B6" s="122">
        <v>1</v>
      </c>
      <c r="C6" s="123" t="s">
        <v>169</v>
      </c>
      <c r="D6" s="124">
        <f>SUM(D7+D22+D25)</f>
        <v>55090753.58621097</v>
      </c>
    </row>
    <row r="7" spans="2:4" s="125" customFormat="1" ht="18" customHeight="1">
      <c r="B7" s="126">
        <v>1103</v>
      </c>
      <c r="C7" s="127" t="s">
        <v>170</v>
      </c>
      <c r="D7" s="128">
        <f>SUM(D8:D19)</f>
        <v>50933537.16101019</v>
      </c>
    </row>
    <row r="8" spans="2:4" s="125" customFormat="1" ht="18" customHeight="1">
      <c r="B8" s="126">
        <v>110301</v>
      </c>
      <c r="C8" s="127" t="s">
        <v>171</v>
      </c>
      <c r="D8" s="128">
        <f>SUM(PROYENOMINA!H37+PROYENOMINA!U37)</f>
        <v>40785977.76132378</v>
      </c>
    </row>
    <row r="9" spans="2:4" s="125" customFormat="1" ht="18" customHeight="1">
      <c r="B9" s="126"/>
      <c r="C9" s="129" t="s">
        <v>172</v>
      </c>
      <c r="D9" s="128">
        <v>0</v>
      </c>
    </row>
    <row r="10" spans="2:4" s="125" customFormat="1" ht="18" customHeight="1">
      <c r="B10" s="126">
        <v>110303</v>
      </c>
      <c r="C10" s="129" t="s">
        <v>173</v>
      </c>
      <c r="D10" s="128">
        <v>0</v>
      </c>
    </row>
    <row r="11" spans="2:4" s="125" customFormat="1" ht="18" customHeight="1">
      <c r="B11" s="126">
        <v>110304</v>
      </c>
      <c r="C11" s="129" t="s">
        <v>174</v>
      </c>
      <c r="D11" s="128">
        <v>0</v>
      </c>
    </row>
    <row r="12" spans="2:4" s="125" customFormat="1" ht="18" customHeight="1">
      <c r="B12" s="126">
        <v>11030401</v>
      </c>
      <c r="C12" s="129" t="s">
        <v>175</v>
      </c>
      <c r="D12" s="128">
        <v>0</v>
      </c>
    </row>
    <row r="13" spans="2:4" s="125" customFormat="1" ht="18" customHeight="1">
      <c r="B13" s="126">
        <v>11030402</v>
      </c>
      <c r="C13" s="129" t="s">
        <v>176</v>
      </c>
      <c r="D13" s="128">
        <f>SUM(PROYENOMINA!J37)</f>
        <v>445320</v>
      </c>
    </row>
    <row r="14" spans="2:4" s="125" customFormat="1" ht="18" customHeight="1">
      <c r="B14" s="126">
        <v>11030403</v>
      </c>
      <c r="C14" s="129" t="s">
        <v>177</v>
      </c>
      <c r="D14" s="128">
        <f>SUM(PROYENOMINA!K37)</f>
        <v>637032</v>
      </c>
    </row>
    <row r="15" spans="2:4" s="125" customFormat="1" ht="18" customHeight="1">
      <c r="B15" s="126">
        <v>11030404</v>
      </c>
      <c r="C15" s="129" t="s">
        <v>178</v>
      </c>
      <c r="D15" s="128">
        <f>SUM(PROYENOMINA!L37)</f>
        <v>1309591.7625</v>
      </c>
    </row>
    <row r="16" spans="2:4" s="125" customFormat="1" ht="18" customHeight="1">
      <c r="B16" s="126">
        <v>11030405</v>
      </c>
      <c r="C16" s="129" t="s">
        <v>179</v>
      </c>
      <c r="D16" s="128">
        <f>SUM(PROYENOMINA!M37)</f>
        <v>1787953.0234375</v>
      </c>
    </row>
    <row r="17" spans="2:4" s="125" customFormat="1" ht="18" customHeight="1">
      <c r="B17" s="126">
        <v>11030406</v>
      </c>
      <c r="C17" s="129" t="s">
        <v>180</v>
      </c>
      <c r="D17" s="128">
        <f>SUM(PROYENOMINA!N37)</f>
        <v>1862451.0660807292</v>
      </c>
    </row>
    <row r="18" spans="2:4" s="125" customFormat="1" ht="18" customHeight="1">
      <c r="B18" s="126">
        <v>11030407</v>
      </c>
      <c r="C18" s="129" t="s">
        <v>181</v>
      </c>
      <c r="D18" s="128">
        <f>SUM(PROYENOMINA!O37)</f>
        <v>3880106.387668186</v>
      </c>
    </row>
    <row r="19" spans="2:4" s="125" customFormat="1" ht="18" customHeight="1">
      <c r="B19" s="126">
        <v>11030408</v>
      </c>
      <c r="C19" s="129" t="s">
        <v>182</v>
      </c>
      <c r="D19" s="128">
        <f>SUM(PROYENOMINA!T37)</f>
        <v>225105.16</v>
      </c>
    </row>
    <row r="20" spans="2:4" s="125" customFormat="1" ht="18" customHeight="1">
      <c r="B20" s="126">
        <v>11030409</v>
      </c>
      <c r="C20" s="129" t="s">
        <v>230</v>
      </c>
      <c r="D20" s="128">
        <v>0</v>
      </c>
    </row>
    <row r="21" spans="2:4" s="125" customFormat="1" ht="18" customHeight="1">
      <c r="B21" s="126"/>
      <c r="C21" s="129"/>
      <c r="D21" s="128"/>
    </row>
    <row r="22" spans="2:4" s="125" customFormat="1" ht="18" customHeight="1">
      <c r="B22" s="126">
        <v>1303</v>
      </c>
      <c r="C22" s="129" t="s">
        <v>187</v>
      </c>
      <c r="D22" s="128">
        <f>D23</f>
        <v>1847651.7445336806</v>
      </c>
    </row>
    <row r="23" spans="2:4" s="125" customFormat="1" ht="18" customHeight="1">
      <c r="B23" s="126">
        <v>130301</v>
      </c>
      <c r="C23" s="129" t="s">
        <v>188</v>
      </c>
      <c r="D23" s="128">
        <f>SUM(PROYENOMINA!Y37)</f>
        <v>1847651.7445336806</v>
      </c>
    </row>
    <row r="24" spans="2:4" s="125" customFormat="1" ht="18" customHeight="1">
      <c r="B24" s="126"/>
      <c r="C24" s="129"/>
      <c r="D24" s="128"/>
    </row>
    <row r="25" spans="2:4" s="125" customFormat="1" ht="18" customHeight="1">
      <c r="B25" s="126">
        <v>1403</v>
      </c>
      <c r="C25" s="129" t="s">
        <v>189</v>
      </c>
      <c r="D25" s="128">
        <f>SUM(D26:D29)</f>
        <v>2309564.6806671005</v>
      </c>
    </row>
    <row r="26" spans="2:4" s="125" customFormat="1" ht="18" customHeight="1">
      <c r="B26" s="126">
        <v>140301</v>
      </c>
      <c r="C26" s="129" t="s">
        <v>190</v>
      </c>
      <c r="D26" s="128">
        <f>SUM(PROYENOMINA!AA37)</f>
        <v>230956.46806671008</v>
      </c>
    </row>
    <row r="27" spans="2:4" s="125" customFormat="1" ht="18" customHeight="1">
      <c r="B27" s="126">
        <v>140302</v>
      </c>
      <c r="C27" s="129" t="s">
        <v>112</v>
      </c>
      <c r="D27" s="128">
        <f>SUM(PROYENOMINA!Z37)</f>
        <v>1385738.8084002603</v>
      </c>
    </row>
    <row r="28" spans="2:4" s="125" customFormat="1" ht="18" customHeight="1">
      <c r="B28" s="126">
        <v>140303</v>
      </c>
      <c r="C28" s="129" t="s">
        <v>191</v>
      </c>
      <c r="D28" s="128">
        <f>SUM(PROYENOMINA!AC37)</f>
        <v>461912.93613342015</v>
      </c>
    </row>
    <row r="29" spans="2:4" s="125" customFormat="1" ht="18" customHeight="1">
      <c r="B29" s="126">
        <v>140304</v>
      </c>
      <c r="C29" s="129" t="s">
        <v>192</v>
      </c>
      <c r="D29" s="128">
        <f>SUM(PROYENOMINA!AB37)</f>
        <v>230956.46806671008</v>
      </c>
    </row>
    <row r="30" spans="2:4" s="125" customFormat="1" ht="18" customHeight="1">
      <c r="B30" s="126"/>
      <c r="C30" s="129"/>
      <c r="D30" s="128"/>
    </row>
    <row r="31" spans="2:4" s="134" customFormat="1" ht="18" customHeight="1">
      <c r="B31" s="130">
        <v>2</v>
      </c>
      <c r="C31" s="131" t="s">
        <v>193</v>
      </c>
      <c r="D31" s="124">
        <f>SUM(D32+D41)</f>
        <v>5504842</v>
      </c>
    </row>
    <row r="32" spans="2:4" s="125" customFormat="1" ht="18" customHeight="1">
      <c r="B32" s="126">
        <v>1503</v>
      </c>
      <c r="C32" s="129" t="s">
        <v>194</v>
      </c>
      <c r="D32" s="128">
        <f>SUM(D33:D35)</f>
        <v>2506730</v>
      </c>
    </row>
    <row r="33" spans="2:4" s="125" customFormat="1" ht="18" customHeight="1">
      <c r="B33" s="126">
        <v>150301</v>
      </c>
      <c r="C33" s="129" t="s">
        <v>195</v>
      </c>
      <c r="D33" s="128">
        <v>1050000</v>
      </c>
    </row>
    <row r="34" spans="2:4" s="125" customFormat="1" ht="18" customHeight="1">
      <c r="B34" s="126">
        <v>150302</v>
      </c>
      <c r="C34" s="129" t="s">
        <v>196</v>
      </c>
      <c r="D34" s="128">
        <v>301730</v>
      </c>
    </row>
    <row r="35" spans="2:4" s="125" customFormat="1" ht="18" customHeight="1">
      <c r="B35" s="126">
        <v>150303</v>
      </c>
      <c r="C35" s="129" t="s">
        <v>197</v>
      </c>
      <c r="D35" s="128">
        <v>1155000</v>
      </c>
    </row>
    <row r="36" spans="2:4" s="125" customFormat="1" ht="18" customHeight="1">
      <c r="B36" s="126"/>
      <c r="C36" s="129"/>
      <c r="D36" s="160"/>
    </row>
    <row r="37" spans="2:4" s="125" customFormat="1" ht="18" customHeight="1">
      <c r="B37" s="175"/>
      <c r="C37" s="156"/>
      <c r="D37" s="176"/>
    </row>
    <row r="38" spans="2:4" s="125" customFormat="1" ht="18" customHeight="1">
      <c r="B38" s="175"/>
      <c r="C38" s="156"/>
      <c r="D38" s="176"/>
    </row>
    <row r="39" spans="2:4" s="125" customFormat="1" ht="18" customHeight="1">
      <c r="B39" s="115" t="s">
        <v>166</v>
      </c>
      <c r="C39" s="116" t="s">
        <v>1</v>
      </c>
      <c r="D39" s="117" t="s">
        <v>167</v>
      </c>
    </row>
    <row r="40" spans="2:4" s="125" customFormat="1" ht="18" customHeight="1">
      <c r="B40" s="119"/>
      <c r="C40" s="120"/>
      <c r="D40" s="121" t="s">
        <v>168</v>
      </c>
    </row>
    <row r="41" spans="2:4" s="125" customFormat="1" ht="18" customHeight="1">
      <c r="B41" s="126">
        <v>1603</v>
      </c>
      <c r="C41" s="129" t="s">
        <v>199</v>
      </c>
      <c r="D41" s="160">
        <f>SUM(D42:D49)</f>
        <v>2998112</v>
      </c>
    </row>
    <row r="42" spans="2:4" s="125" customFormat="1" ht="18" customHeight="1">
      <c r="B42" s="126">
        <v>160301</v>
      </c>
      <c r="C42" s="129" t="s">
        <v>200</v>
      </c>
      <c r="D42" s="128">
        <v>0</v>
      </c>
    </row>
    <row r="43" spans="2:4" s="125" customFormat="1" ht="18" customHeight="1">
      <c r="B43" s="126">
        <v>160302</v>
      </c>
      <c r="C43" s="129" t="s">
        <v>201</v>
      </c>
      <c r="D43" s="128">
        <v>0</v>
      </c>
    </row>
    <row r="44" spans="2:4" s="125" customFormat="1" ht="18" customHeight="1">
      <c r="B44" s="126">
        <v>160303</v>
      </c>
      <c r="C44" s="129" t="s">
        <v>202</v>
      </c>
      <c r="D44" s="128">
        <v>0</v>
      </c>
    </row>
    <row r="45" spans="2:4" s="125" customFormat="1" ht="18" customHeight="1">
      <c r="B45" s="126">
        <v>160304</v>
      </c>
      <c r="C45" s="129" t="s">
        <v>203</v>
      </c>
      <c r="D45" s="128">
        <v>2200010</v>
      </c>
    </row>
    <row r="46" spans="2:4" s="125" customFormat="1" ht="18" customHeight="1">
      <c r="B46" s="126">
        <v>160305</v>
      </c>
      <c r="C46" s="129" t="s">
        <v>204</v>
      </c>
      <c r="D46" s="128">
        <v>0</v>
      </c>
    </row>
    <row r="47" spans="2:4" s="125" customFormat="1" ht="18" customHeight="1">
      <c r="B47" s="126">
        <v>160306</v>
      </c>
      <c r="C47" s="129" t="s">
        <v>205</v>
      </c>
      <c r="D47" s="128">
        <v>0</v>
      </c>
    </row>
    <row r="48" spans="2:4" s="125" customFormat="1" ht="18" customHeight="1">
      <c r="B48" s="126">
        <v>160307</v>
      </c>
      <c r="C48" s="129" t="s">
        <v>206</v>
      </c>
      <c r="D48" s="128">
        <v>735000</v>
      </c>
    </row>
    <row r="49" spans="2:4" s="125" customFormat="1" ht="18" customHeight="1">
      <c r="B49" s="126">
        <v>160308</v>
      </c>
      <c r="C49" s="129" t="s">
        <v>439</v>
      </c>
      <c r="D49" s="128">
        <v>63102</v>
      </c>
    </row>
    <row r="50" spans="2:4" s="125" customFormat="1" ht="18" customHeight="1">
      <c r="B50" s="126"/>
      <c r="C50" s="129"/>
      <c r="D50" s="128"/>
    </row>
    <row r="51" spans="2:4" s="134" customFormat="1" ht="18" customHeight="1">
      <c r="B51" s="130">
        <v>3</v>
      </c>
      <c r="C51" s="131" t="s">
        <v>215</v>
      </c>
      <c r="D51" s="124">
        <f>+D52</f>
        <v>12090654.394302499</v>
      </c>
    </row>
    <row r="52" spans="2:4" s="125" customFormat="1" ht="18" customHeight="1">
      <c r="B52" s="126">
        <v>3603</v>
      </c>
      <c r="C52" s="129" t="s">
        <v>216</v>
      </c>
      <c r="D52" s="128">
        <f>SUM(D53:D56)</f>
        <v>12090654.394302499</v>
      </c>
    </row>
    <row r="53" spans="2:4" s="125" customFormat="1" ht="18" customHeight="1">
      <c r="B53" s="126">
        <v>360301</v>
      </c>
      <c r="C53" s="129" t="s">
        <v>217</v>
      </c>
      <c r="D53" s="128">
        <f>SUM(PROYENOMINA!W37+PROYENOMINA!X37)</f>
        <v>4730893.871966247</v>
      </c>
    </row>
    <row r="54" spans="2:4" s="125" customFormat="1" ht="18" customHeight="1">
      <c r="B54" s="126">
        <v>360302</v>
      </c>
      <c r="C54" s="129" t="s">
        <v>218</v>
      </c>
      <c r="D54" s="128">
        <f>SUM(PROYENOMINA!AE37)+1</f>
        <v>3346282.645</v>
      </c>
    </row>
    <row r="55" spans="2:4" s="125" customFormat="1" ht="18" customHeight="1">
      <c r="B55" s="126">
        <v>360303</v>
      </c>
      <c r="C55" s="129" t="s">
        <v>219</v>
      </c>
      <c r="D55" s="128">
        <v>3795133</v>
      </c>
    </row>
    <row r="56" spans="2:4" s="125" customFormat="1" ht="18" customHeight="1">
      <c r="B56" s="126">
        <v>360304</v>
      </c>
      <c r="C56" s="129" t="s">
        <v>220</v>
      </c>
      <c r="D56" s="128">
        <f>SUM(PROYENOMINA!AF37)</f>
        <v>218344.87733625</v>
      </c>
    </row>
    <row r="57" spans="2:4" s="125" customFormat="1" ht="18" customHeight="1">
      <c r="B57" s="126"/>
      <c r="C57" s="129"/>
      <c r="D57" s="128"/>
    </row>
    <row r="58" spans="2:4" s="134" customFormat="1" ht="18" customHeight="1">
      <c r="B58" s="130"/>
      <c r="C58" s="131" t="s">
        <v>109</v>
      </c>
      <c r="D58" s="124">
        <f>+D51+D31+D6</f>
        <v>72686249.98051347</v>
      </c>
    </row>
    <row r="59" ht="12.75">
      <c r="D59" s="565">
        <f>D60-D58</f>
        <v>0.019486531615257263</v>
      </c>
    </row>
    <row r="60" spans="3:4" ht="12.75">
      <c r="C60" s="156"/>
      <c r="D60" s="668">
        <v>72686250</v>
      </c>
    </row>
    <row r="62" ht="12.75">
      <c r="C62" s="456" t="s">
        <v>312</v>
      </c>
    </row>
    <row r="63" ht="12.75">
      <c r="C63" t="s">
        <v>309</v>
      </c>
    </row>
  </sheetData>
  <sheetProtection/>
  <printOptions/>
  <pageMargins left="0.8267716535433072" right="0.35433070866141736" top="1.6929133858267718" bottom="0.984251968503937" header="0" footer="0"/>
  <pageSetup horizontalDpi="120" verticalDpi="120" orientation="portrait" paperSize="5" scale="80" r:id="rId1"/>
  <headerFooter alignWithMargins="0">
    <oddHeader>&amp;CRepublica de Colombia
ALCALDIA DE PUERTO CARREÑO
Presupuesto 2009</oddHeader>
    <oddFooter>&amp;CTrabajando con la Gente!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D60"/>
  <sheetViews>
    <sheetView zoomScalePageLayoutView="0" workbookViewId="0" topLeftCell="A55">
      <selection activeCell="D68" sqref="D68"/>
    </sheetView>
  </sheetViews>
  <sheetFormatPr defaultColWidth="11.421875" defaultRowHeight="12.75"/>
  <cols>
    <col min="2" max="2" width="8.8515625" style="0" customWidth="1"/>
    <col min="3" max="3" width="53.00390625" style="0" customWidth="1"/>
    <col min="4" max="4" width="15.00390625" style="0" customWidth="1"/>
  </cols>
  <sheetData>
    <row r="1" spans="2:4" s="110" customFormat="1" ht="18" customHeight="1">
      <c r="B1" s="108"/>
      <c r="C1" s="132" t="s">
        <v>231</v>
      </c>
      <c r="D1" s="109"/>
    </row>
    <row r="2" spans="2:4" s="110" customFormat="1" ht="18" customHeight="1">
      <c r="B2" s="111"/>
      <c r="C2" s="133" t="s">
        <v>229</v>
      </c>
      <c r="D2" s="109"/>
    </row>
    <row r="3" spans="2:4" s="110" customFormat="1" ht="12.75" customHeight="1">
      <c r="B3" s="112"/>
      <c r="C3" s="113"/>
      <c r="D3" s="114"/>
    </row>
    <row r="4" spans="2:4" s="118" customFormat="1" ht="14.25" customHeight="1">
      <c r="B4" s="115" t="s">
        <v>166</v>
      </c>
      <c r="C4" s="116" t="s">
        <v>1</v>
      </c>
      <c r="D4" s="117" t="s">
        <v>167</v>
      </c>
    </row>
    <row r="5" spans="2:4" s="118" customFormat="1" ht="14.25" customHeight="1">
      <c r="B5" s="119"/>
      <c r="C5" s="120"/>
      <c r="D5" s="121" t="s">
        <v>168</v>
      </c>
    </row>
    <row r="6" spans="2:4" s="134" customFormat="1" ht="18" customHeight="1">
      <c r="B6" s="122">
        <v>1</v>
      </c>
      <c r="C6" s="123" t="s">
        <v>169</v>
      </c>
      <c r="D6" s="124">
        <f>SUM(D7+D19+D22+D25)</f>
        <v>86577440.22538196</v>
      </c>
    </row>
    <row r="7" spans="2:4" s="125" customFormat="1" ht="18" customHeight="1">
      <c r="B7" s="126">
        <v>1102</v>
      </c>
      <c r="C7" s="127" t="s">
        <v>170</v>
      </c>
      <c r="D7" s="128">
        <f>SUM(D8:D17)</f>
        <v>9906074.171006944</v>
      </c>
    </row>
    <row r="8" spans="2:4" s="125" customFormat="1" ht="18" customHeight="1">
      <c r="B8" s="126">
        <v>110201</v>
      </c>
      <c r="C8" s="127" t="s">
        <v>171</v>
      </c>
      <c r="D8" s="128">
        <f>SUM(PROYENOMINA!H44+PROYENOMINA!U44)</f>
        <v>7039696.024305556</v>
      </c>
    </row>
    <row r="9" spans="2:4" s="125" customFormat="1" ht="18" customHeight="1">
      <c r="B9" s="126">
        <v>110203</v>
      </c>
      <c r="C9" s="129" t="s">
        <v>173</v>
      </c>
      <c r="D9" s="128"/>
    </row>
    <row r="10" spans="2:4" s="125" customFormat="1" ht="18" customHeight="1">
      <c r="B10" s="126">
        <v>110204</v>
      </c>
      <c r="C10" s="129" t="s">
        <v>174</v>
      </c>
      <c r="D10" s="128"/>
    </row>
    <row r="11" spans="2:4" s="125" customFormat="1" ht="18" customHeight="1">
      <c r="B11" s="126">
        <v>11020402</v>
      </c>
      <c r="C11" s="129" t="s">
        <v>176</v>
      </c>
      <c r="D11" s="128">
        <f>SUM(PROYENOMINA!J44)</f>
        <v>445320</v>
      </c>
    </row>
    <row r="12" spans="2:4" s="125" customFormat="1" ht="18" customHeight="1">
      <c r="B12" s="126">
        <v>11020403</v>
      </c>
      <c r="C12" s="129" t="s">
        <v>177</v>
      </c>
      <c r="D12" s="128">
        <f>SUM(PROYENOMINA!K44)</f>
        <v>637032</v>
      </c>
    </row>
    <row r="13" spans="2:4" s="125" customFormat="1" ht="18" customHeight="1">
      <c r="B13" s="126">
        <v>11020404</v>
      </c>
      <c r="C13" s="129" t="s">
        <v>178</v>
      </c>
      <c r="D13" s="128">
        <f>SUM(PROYENOMINA!L44)</f>
        <v>288750</v>
      </c>
    </row>
    <row r="14" spans="2:4" s="125" customFormat="1" ht="18" customHeight="1">
      <c r="B14" s="126">
        <v>11020405</v>
      </c>
      <c r="C14" s="129" t="s">
        <v>179</v>
      </c>
      <c r="D14" s="128">
        <f>SUM(PROYENOMINA!M44)</f>
        <v>345879.25</v>
      </c>
    </row>
    <row r="15" spans="2:4" s="125" customFormat="1" ht="18" customHeight="1">
      <c r="B15" s="126">
        <v>11020406</v>
      </c>
      <c r="C15" s="129" t="s">
        <v>180</v>
      </c>
      <c r="D15" s="128">
        <f>SUM(PROYENOMINA!N44)</f>
        <v>360290.8854166667</v>
      </c>
    </row>
    <row r="16" spans="2:4" s="125" customFormat="1" ht="18" customHeight="1">
      <c r="B16" s="126">
        <v>11020407</v>
      </c>
      <c r="C16" s="129" t="s">
        <v>181</v>
      </c>
      <c r="D16" s="128">
        <f>SUM(PROYENOMINA!O44)</f>
        <v>750606.0112847221</v>
      </c>
    </row>
    <row r="17" spans="2:4" s="125" customFormat="1" ht="18" customHeight="1">
      <c r="B17" s="126">
        <v>11020408</v>
      </c>
      <c r="C17" s="129" t="s">
        <v>182</v>
      </c>
      <c r="D17" s="128">
        <f>SUM(PROYENOMINA!T44)</f>
        <v>38500</v>
      </c>
    </row>
    <row r="18" spans="2:4" s="125" customFormat="1" ht="18" customHeight="1">
      <c r="B18" s="126"/>
      <c r="C18" s="129"/>
      <c r="D18" s="128"/>
    </row>
    <row r="19" spans="2:4" s="125" customFormat="1" ht="18" customHeight="1">
      <c r="B19" s="126">
        <v>1202</v>
      </c>
      <c r="C19" s="129" t="s">
        <v>183</v>
      </c>
      <c r="D19" s="128">
        <f>D20</f>
        <v>75908170.80000001</v>
      </c>
    </row>
    <row r="20" spans="2:4" s="125" customFormat="1" ht="18" customHeight="1">
      <c r="B20" s="126">
        <v>120203</v>
      </c>
      <c r="C20" s="129" t="s">
        <v>185</v>
      </c>
      <c r="D20" s="128">
        <f>PROYENOMINA!I42</f>
        <v>75908170.80000001</v>
      </c>
    </row>
    <row r="21" spans="2:4" s="125" customFormat="1" ht="18" customHeight="1">
      <c r="B21" s="126"/>
      <c r="C21" s="129"/>
      <c r="D21" s="128"/>
    </row>
    <row r="22" spans="2:4" s="125" customFormat="1" ht="18" customHeight="1">
      <c r="B22" s="126">
        <v>1302</v>
      </c>
      <c r="C22" s="129" t="s">
        <v>187</v>
      </c>
      <c r="D22" s="128">
        <f>D23</f>
        <v>339197.4463888889</v>
      </c>
    </row>
    <row r="23" spans="2:4" s="125" customFormat="1" ht="18" customHeight="1">
      <c r="B23" s="126">
        <v>130201</v>
      </c>
      <c r="C23" s="129" t="s">
        <v>188</v>
      </c>
      <c r="D23" s="128">
        <f>SUM(PROYENOMINA!Y43)</f>
        <v>339197.4463888889</v>
      </c>
    </row>
    <row r="24" spans="2:4" s="125" customFormat="1" ht="18" customHeight="1">
      <c r="B24" s="126"/>
      <c r="C24" s="129"/>
      <c r="D24" s="128"/>
    </row>
    <row r="25" spans="2:4" s="125" customFormat="1" ht="18" customHeight="1">
      <c r="B25" s="126">
        <v>1402</v>
      </c>
      <c r="C25" s="129" t="s">
        <v>189</v>
      </c>
      <c r="D25" s="128">
        <f>SUM(D26:D29)</f>
        <v>423997.80798611103</v>
      </c>
    </row>
    <row r="26" spans="2:4" s="125" customFormat="1" ht="18" customHeight="1">
      <c r="B26" s="126">
        <v>140201</v>
      </c>
      <c r="C26" s="129" t="s">
        <v>190</v>
      </c>
      <c r="D26" s="128">
        <f>SUM(PROYENOMINA!AA43)</f>
        <v>42399.68079861111</v>
      </c>
    </row>
    <row r="27" spans="2:4" s="125" customFormat="1" ht="18" customHeight="1">
      <c r="B27" s="126">
        <v>140202</v>
      </c>
      <c r="C27" s="129" t="s">
        <v>112</v>
      </c>
      <c r="D27" s="128">
        <f>SUM(PROYENOMINA!Z44)</f>
        <v>254398.08479166665</v>
      </c>
    </row>
    <row r="28" spans="2:4" s="125" customFormat="1" ht="18" customHeight="1">
      <c r="B28" s="126">
        <v>140203</v>
      </c>
      <c r="C28" s="129" t="s">
        <v>191</v>
      </c>
      <c r="D28" s="128">
        <f>SUM(PROYENOMINA!AC43)+1</f>
        <v>84800.36159722222</v>
      </c>
    </row>
    <row r="29" spans="2:4" s="125" customFormat="1" ht="18" customHeight="1">
      <c r="B29" s="126">
        <v>140204</v>
      </c>
      <c r="C29" s="129" t="s">
        <v>192</v>
      </c>
      <c r="D29" s="128">
        <f>+D26</f>
        <v>42399.68079861111</v>
      </c>
    </row>
    <row r="30" spans="2:4" s="125" customFormat="1" ht="18" customHeight="1">
      <c r="B30" s="126"/>
      <c r="C30" s="129"/>
      <c r="D30" s="128"/>
    </row>
    <row r="31" spans="2:4" s="134" customFormat="1" ht="18" customHeight="1">
      <c r="B31" s="130">
        <v>2</v>
      </c>
      <c r="C31" s="131" t="s">
        <v>193</v>
      </c>
      <c r="D31" s="124">
        <f>SUM(D32+D42)</f>
        <v>6424033</v>
      </c>
    </row>
    <row r="32" spans="2:4" s="125" customFormat="1" ht="18" customHeight="1">
      <c r="B32" s="126">
        <v>1502</v>
      </c>
      <c r="C32" s="129" t="s">
        <v>194</v>
      </c>
      <c r="D32" s="128">
        <f>SUM(D33:D35)</f>
        <v>4610000</v>
      </c>
    </row>
    <row r="33" spans="2:4" s="125" customFormat="1" ht="18" customHeight="1">
      <c r="B33" s="126"/>
      <c r="C33" s="129" t="s">
        <v>195</v>
      </c>
      <c r="D33" s="128">
        <v>2000000</v>
      </c>
    </row>
    <row r="34" spans="2:4" s="125" customFormat="1" ht="18" customHeight="1">
      <c r="B34" s="126">
        <v>150202</v>
      </c>
      <c r="C34" s="129" t="s">
        <v>196</v>
      </c>
      <c r="D34" s="128">
        <v>1500000</v>
      </c>
    </row>
    <row r="35" spans="2:4" s="125" customFormat="1" ht="18" customHeight="1">
      <c r="B35" s="126">
        <v>150203</v>
      </c>
      <c r="C35" s="129" t="s">
        <v>197</v>
      </c>
      <c r="D35" s="128">
        <v>1110000</v>
      </c>
    </row>
    <row r="36" spans="2:4" s="125" customFormat="1" ht="18" customHeight="1">
      <c r="B36" s="126"/>
      <c r="C36" s="129"/>
      <c r="D36" s="128"/>
    </row>
    <row r="37" spans="2:4" s="125" customFormat="1" ht="18" customHeight="1">
      <c r="B37" s="126"/>
      <c r="C37" s="129"/>
      <c r="D37" s="160"/>
    </row>
    <row r="38" spans="2:4" s="125" customFormat="1" ht="18" customHeight="1">
      <c r="B38" s="175"/>
      <c r="C38" s="156"/>
      <c r="D38" s="176"/>
    </row>
    <row r="39" spans="2:4" s="125" customFormat="1" ht="18" customHeight="1">
      <c r="B39" s="175"/>
      <c r="C39" s="156"/>
      <c r="D39" s="176"/>
    </row>
    <row r="40" spans="2:4" s="125" customFormat="1" ht="18" customHeight="1">
      <c r="B40" s="115" t="s">
        <v>166</v>
      </c>
      <c r="C40" s="116" t="s">
        <v>1</v>
      </c>
      <c r="D40" s="117" t="s">
        <v>167</v>
      </c>
    </row>
    <row r="41" spans="2:4" s="125" customFormat="1" ht="18" customHeight="1">
      <c r="B41" s="119"/>
      <c r="C41" s="120"/>
      <c r="D41" s="121" t="s">
        <v>168</v>
      </c>
    </row>
    <row r="42" spans="2:4" s="125" customFormat="1" ht="18" customHeight="1">
      <c r="B42" s="126">
        <v>1602</v>
      </c>
      <c r="C42" s="129" t="s">
        <v>199</v>
      </c>
      <c r="D42" s="128">
        <f>SUM(D43:D44)</f>
        <v>1814033</v>
      </c>
    </row>
    <row r="43" spans="2:4" s="125" customFormat="1" ht="18" customHeight="1">
      <c r="B43" s="126">
        <v>160201</v>
      </c>
      <c r="C43" s="129" t="s">
        <v>200</v>
      </c>
      <c r="D43" s="128">
        <v>1014033</v>
      </c>
    </row>
    <row r="44" spans="2:4" s="125" customFormat="1" ht="18" customHeight="1">
      <c r="B44" s="126">
        <v>16022</v>
      </c>
      <c r="C44" s="129" t="s">
        <v>201</v>
      </c>
      <c r="D44" s="128">
        <v>800000</v>
      </c>
    </row>
    <row r="45" spans="2:4" s="125" customFormat="1" ht="18" customHeight="1">
      <c r="B45" s="126"/>
      <c r="C45" s="129"/>
      <c r="D45" s="128"/>
    </row>
    <row r="46" spans="2:4" s="134" customFormat="1" ht="18" customHeight="1">
      <c r="B46" s="130">
        <v>3</v>
      </c>
      <c r="C46" s="131" t="s">
        <v>215</v>
      </c>
      <c r="D46" s="124">
        <f>+D47</f>
        <v>2312857.262358264</v>
      </c>
    </row>
    <row r="47" spans="2:4" s="125" customFormat="1" ht="18" customHeight="1">
      <c r="B47" s="126">
        <v>3602</v>
      </c>
      <c r="C47" s="129" t="s">
        <v>216</v>
      </c>
      <c r="D47" s="128">
        <f>SUM(D48:D51)</f>
        <v>2312857.262358264</v>
      </c>
    </row>
    <row r="48" spans="2:4" s="125" customFormat="1" ht="18" customHeight="1">
      <c r="B48" s="126">
        <v>360201</v>
      </c>
      <c r="C48" s="129" t="s">
        <v>217</v>
      </c>
      <c r="D48" s="128">
        <f>SUM(PROYENOMINA!W44+PROYENOMINA!X44)</f>
        <v>920605.1998582638</v>
      </c>
    </row>
    <row r="49" spans="2:4" s="125" customFormat="1" ht="18" customHeight="1">
      <c r="B49" s="126">
        <v>360202</v>
      </c>
      <c r="C49" s="129" t="s">
        <v>218</v>
      </c>
      <c r="D49" s="128">
        <f>SUM(PROYENOMINA!AE43)</f>
        <v>577500</v>
      </c>
    </row>
    <row r="50" spans="2:4" s="125" customFormat="1" ht="18" customHeight="1">
      <c r="B50" s="126">
        <v>360203</v>
      </c>
      <c r="C50" s="129" t="s">
        <v>219</v>
      </c>
      <c r="D50" s="128">
        <f>SUM(PROYENOMINA!AD44)</f>
        <v>785039.0625</v>
      </c>
    </row>
    <row r="51" spans="2:4" s="125" customFormat="1" ht="18" customHeight="1">
      <c r="B51" s="126">
        <v>360204</v>
      </c>
      <c r="C51" s="129" t="s">
        <v>220</v>
      </c>
      <c r="D51" s="128">
        <v>29713</v>
      </c>
    </row>
    <row r="52" spans="2:4" s="125" customFormat="1" ht="18" customHeight="1">
      <c r="B52" s="130">
        <v>4602</v>
      </c>
      <c r="C52" s="131" t="s">
        <v>221</v>
      </c>
      <c r="D52" s="128">
        <f>D53</f>
        <v>200000</v>
      </c>
    </row>
    <row r="53" spans="2:4" s="125" customFormat="1" ht="18" customHeight="1">
      <c r="B53" s="126">
        <v>460203</v>
      </c>
      <c r="C53" s="129" t="s">
        <v>292</v>
      </c>
      <c r="D53" s="128">
        <v>200000</v>
      </c>
    </row>
    <row r="54" spans="2:4" s="125" customFormat="1" ht="18" customHeight="1">
      <c r="B54" s="130"/>
      <c r="C54" s="131"/>
      <c r="D54" s="128"/>
    </row>
    <row r="55" spans="2:4" s="134" customFormat="1" ht="18" customHeight="1">
      <c r="B55" s="130"/>
      <c r="C55" s="131" t="s">
        <v>109</v>
      </c>
      <c r="D55" s="124">
        <f>+D46+D31+D6+D52</f>
        <v>95514330.48774022</v>
      </c>
    </row>
    <row r="56" ht="12.75">
      <c r="D56" s="565">
        <f>D55-D57</f>
        <v>0.4877402186393738</v>
      </c>
    </row>
    <row r="57" spans="3:4" ht="12.75">
      <c r="C57" s="156"/>
      <c r="D57" s="668">
        <v>95514330</v>
      </c>
    </row>
    <row r="58" ht="12.75">
      <c r="C58" s="156"/>
    </row>
    <row r="59" spans="2:3" ht="12.75">
      <c r="B59" s="456" t="s">
        <v>312</v>
      </c>
      <c r="C59" s="177"/>
    </row>
    <row r="60" ht="12.75">
      <c r="B60" t="s">
        <v>309</v>
      </c>
    </row>
  </sheetData>
  <sheetProtection/>
  <printOptions/>
  <pageMargins left="0.4724409448818898" right="0.2362204724409449" top="0.7086614173228347" bottom="0.9055118110236221" header="0" footer="0"/>
  <pageSetup horizontalDpi="120" verticalDpi="120" orientation="portrait" paperSize="5" scale="80" r:id="rId1"/>
  <headerFooter alignWithMargins="0">
    <oddHeader>&amp;CRepublica de Colombia
ALCALDIA DE PUERTO CARREÑO
Presupuesto 2009</oddHeader>
    <oddFooter>&amp;CTrabajando con la Gente!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BV60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6.28125" style="0" customWidth="1"/>
    <col min="3" max="3" width="24.7109375" style="0" customWidth="1"/>
    <col min="4" max="4" width="8.8515625" style="0" customWidth="1"/>
    <col min="8" max="8" width="12.57421875" style="0" customWidth="1"/>
    <col min="13" max="13" width="12.57421875" style="0" bestFit="1" customWidth="1"/>
    <col min="15" max="16" width="12.8515625" style="0" customWidth="1"/>
    <col min="17" max="18" width="12.28125" style="0" customWidth="1"/>
    <col min="19" max="19" width="17.140625" style="0" customWidth="1"/>
    <col min="20" max="20" width="10.8515625" style="0" customWidth="1"/>
    <col min="21" max="21" width="10.140625" style="0" customWidth="1"/>
    <col min="22" max="22" width="14.00390625" style="0" customWidth="1"/>
    <col min="33" max="33" width="13.57421875" style="0" bestFit="1" customWidth="1"/>
  </cols>
  <sheetData>
    <row r="1" spans="2:74" s="88" customFormat="1" ht="12.75">
      <c r="B1" s="106"/>
      <c r="C1" s="40"/>
      <c r="D1" s="40"/>
      <c r="E1" s="86"/>
      <c r="F1" s="107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</row>
    <row r="2" spans="2:74" s="88" customFormat="1" ht="12.75">
      <c r="B2" s="106"/>
      <c r="C2" s="40"/>
      <c r="D2" s="40"/>
      <c r="E2" s="86"/>
      <c r="F2" s="107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</row>
    <row r="3" spans="2:74" s="88" customFormat="1" ht="12.75">
      <c r="B3" s="106"/>
      <c r="C3" s="40"/>
      <c r="D3" s="40"/>
      <c r="E3" s="86"/>
      <c r="F3" s="107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</row>
    <row r="4" spans="2:74" s="41" customFormat="1" ht="12.75">
      <c r="B4" s="34"/>
      <c r="C4" s="34"/>
      <c r="D4" s="35"/>
      <c r="E4" s="36"/>
      <c r="F4" s="37"/>
      <c r="G4" s="34"/>
      <c r="H4" s="34"/>
      <c r="I4" s="34"/>
      <c r="J4" s="38">
        <v>993591</v>
      </c>
      <c r="K4" s="38">
        <v>867400</v>
      </c>
      <c r="L4" s="39">
        <v>995949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40"/>
      <c r="AE4" s="40"/>
      <c r="AF4" s="40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</row>
    <row r="5" spans="2:74" s="47" customFormat="1" ht="12.75">
      <c r="B5" s="42" t="s">
        <v>93</v>
      </c>
      <c r="C5" s="43" t="s">
        <v>94</v>
      </c>
      <c r="D5" s="42" t="s">
        <v>95</v>
      </c>
      <c r="E5" s="44" t="s">
        <v>96</v>
      </c>
      <c r="F5" s="45" t="s">
        <v>97</v>
      </c>
      <c r="G5" s="44" t="s">
        <v>98</v>
      </c>
      <c r="H5" s="42" t="s">
        <v>99</v>
      </c>
      <c r="I5" s="43" t="s">
        <v>100</v>
      </c>
      <c r="J5" s="42" t="s">
        <v>101</v>
      </c>
      <c r="K5" s="43" t="s">
        <v>102</v>
      </c>
      <c r="L5" s="42" t="s">
        <v>103</v>
      </c>
      <c r="M5" s="43" t="s">
        <v>104</v>
      </c>
      <c r="N5" s="163" t="s">
        <v>105</v>
      </c>
      <c r="O5" s="42" t="s">
        <v>106</v>
      </c>
      <c r="P5" s="43"/>
      <c r="Q5" s="43"/>
      <c r="R5" s="43"/>
      <c r="S5" s="43" t="s">
        <v>94</v>
      </c>
      <c r="T5" s="42" t="s">
        <v>107</v>
      </c>
      <c r="U5" s="43" t="s">
        <v>108</v>
      </c>
      <c r="V5" s="42" t="s">
        <v>109</v>
      </c>
      <c r="W5" s="43" t="s">
        <v>110</v>
      </c>
      <c r="X5" s="186">
        <v>0.12</v>
      </c>
      <c r="Y5" s="42" t="s">
        <v>111</v>
      </c>
      <c r="Z5" s="43" t="s">
        <v>112</v>
      </c>
      <c r="AA5" s="42" t="s">
        <v>113</v>
      </c>
      <c r="AB5" s="43" t="s">
        <v>114</v>
      </c>
      <c r="AC5" s="42" t="s">
        <v>115</v>
      </c>
      <c r="AD5" s="43" t="s">
        <v>116</v>
      </c>
      <c r="AE5" s="42" t="s">
        <v>117</v>
      </c>
      <c r="AF5" s="43" t="s">
        <v>118</v>
      </c>
      <c r="AG5" s="42" t="s">
        <v>109</v>
      </c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</row>
    <row r="6" spans="2:74" s="47" customFormat="1" ht="13.5" thickBot="1">
      <c r="B6" s="48" t="s">
        <v>119</v>
      </c>
      <c r="C6" s="49"/>
      <c r="D6" s="48" t="s">
        <v>120</v>
      </c>
      <c r="E6" s="50" t="s">
        <v>297</v>
      </c>
      <c r="F6" s="51"/>
      <c r="G6" s="50">
        <v>2008</v>
      </c>
      <c r="H6" s="48" t="s">
        <v>122</v>
      </c>
      <c r="I6" s="49" t="s">
        <v>123</v>
      </c>
      <c r="J6" s="52">
        <v>37110</v>
      </c>
      <c r="K6" s="53">
        <v>53086</v>
      </c>
      <c r="L6" s="48" t="s">
        <v>124</v>
      </c>
      <c r="M6" s="54" t="s">
        <v>125</v>
      </c>
      <c r="N6" s="164" t="s">
        <v>126</v>
      </c>
      <c r="O6" s="172" t="s">
        <v>127</v>
      </c>
      <c r="P6" s="191"/>
      <c r="Q6" s="191"/>
      <c r="R6" s="191"/>
      <c r="S6" s="49"/>
      <c r="T6" s="48" t="s">
        <v>128</v>
      </c>
      <c r="U6" s="54" t="s">
        <v>126</v>
      </c>
      <c r="V6" s="48" t="s">
        <v>129</v>
      </c>
      <c r="W6" s="54" t="s">
        <v>130</v>
      </c>
      <c r="X6" s="48" t="s">
        <v>276</v>
      </c>
      <c r="Y6" s="48" t="s">
        <v>131</v>
      </c>
      <c r="Z6" s="54" t="s">
        <v>132</v>
      </c>
      <c r="AA6" s="48" t="s">
        <v>133</v>
      </c>
      <c r="AB6" s="54" t="s">
        <v>134</v>
      </c>
      <c r="AC6" s="48" t="s">
        <v>135</v>
      </c>
      <c r="AD6" s="54"/>
      <c r="AE6" s="48"/>
      <c r="AF6" s="54" t="s">
        <v>136</v>
      </c>
      <c r="AG6" s="48" t="s">
        <v>137</v>
      </c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</row>
    <row r="7" spans="2:74" s="62" customFormat="1" ht="12.75">
      <c r="B7" s="55">
        <v>1</v>
      </c>
      <c r="C7" s="56" t="s">
        <v>138</v>
      </c>
      <c r="D7" s="55">
        <v>1</v>
      </c>
      <c r="E7" s="57">
        <v>2289929</v>
      </c>
      <c r="F7" s="58">
        <v>0</v>
      </c>
      <c r="G7" s="59">
        <v>2420228</v>
      </c>
      <c r="H7" s="60">
        <f aca="true" t="shared" si="0" ref="H7:H28">B7*G7*12</f>
        <v>29042736</v>
      </c>
      <c r="I7" s="102">
        <f>G7*6</f>
        <v>14521368</v>
      </c>
      <c r="J7" s="60">
        <f aca="true" t="shared" si="1" ref="J7:J15">(IF(+G7&lt;=+$J$4,+$J$6,0))*12*B7</f>
        <v>0</v>
      </c>
      <c r="K7" s="59">
        <f aca="true" t="shared" si="2" ref="K7:K20">(IF(+G7&lt;=+$K$4,+$K$6,0))*12</f>
        <v>0</v>
      </c>
      <c r="L7" s="60">
        <f aca="true" t="shared" si="3" ref="L7:L15">(IF(+G7&lt;=+$L$4,(G7*0.5),(G7*0.35)))*B7</f>
        <v>847079.7999999999</v>
      </c>
      <c r="M7" s="59">
        <f>(SUM(H7:L7)-I7)/24</f>
        <v>1245408.9916666665</v>
      </c>
      <c r="N7" s="165">
        <f aca="true" t="shared" si="4" ref="N7:N28">(SUM(H7:M7)-I7)/24</f>
        <v>1297301.032986111</v>
      </c>
      <c r="O7" s="60">
        <f aca="true" t="shared" si="5" ref="O7:O28">(SUM(H7:N7)-I7)/12</f>
        <v>2702710.4853877313</v>
      </c>
      <c r="P7" s="59"/>
      <c r="Q7" s="59"/>
      <c r="R7" s="59"/>
      <c r="S7" s="56" t="s">
        <v>138</v>
      </c>
      <c r="T7" s="60">
        <f aca="true" t="shared" si="6" ref="T7:T28">H7/180</f>
        <v>161348.53333333333</v>
      </c>
      <c r="U7" s="59">
        <f aca="true" t="shared" si="7" ref="U7:U28">((J7+K7+L7+M7)/12)*23/30</f>
        <v>133686.78391203703</v>
      </c>
      <c r="V7" s="60">
        <f aca="true" t="shared" si="8" ref="V7:V28">SUM(H7:U7)</f>
        <v>49951639.627285875</v>
      </c>
      <c r="W7" s="59">
        <f aca="true" t="shared" si="9" ref="W7:W28">(+V7-T7-I7)*8.33/100</f>
        <v>2937901.293726247</v>
      </c>
      <c r="X7" s="60">
        <f>W7*12%</f>
        <v>352548.1552471496</v>
      </c>
      <c r="Y7" s="60">
        <f>(+V7-O7-T7-K7-I7)*4/100</f>
        <v>1302648.5043425923</v>
      </c>
      <c r="Z7" s="59">
        <f aca="true" t="shared" si="10" ref="Z7:Z28">(+V7-O7-T7-K7-I7)*3/100</f>
        <v>976986.3782569442</v>
      </c>
      <c r="AA7" s="60">
        <f aca="true" t="shared" si="11" ref="AA7:AA28">(+V7-O7-T7-K7-I7)*0.5/100</f>
        <v>162831.06304282404</v>
      </c>
      <c r="AB7" s="59">
        <f aca="true" t="shared" si="12" ref="AB7:AB28">+AA7</f>
        <v>162831.06304282404</v>
      </c>
      <c r="AC7" s="60">
        <f aca="true" t="shared" si="13" ref="AC7:AC28">+AB7*2</f>
        <v>325662.1260856481</v>
      </c>
      <c r="AD7" s="59">
        <f>(+H7+L7)*10.875/100</f>
        <v>3250517.46825</v>
      </c>
      <c r="AE7" s="60">
        <f>(+H7+L7)*8/100</f>
        <v>2391185.264</v>
      </c>
      <c r="AF7" s="59">
        <f aca="true" t="shared" si="14" ref="AF7:AF28">(+H7+L7)*0.522/100</f>
        <v>156024.838476</v>
      </c>
      <c r="AG7" s="60">
        <f aca="true" t="shared" si="15" ref="AG7:AG28">SUM(V7:AF7)</f>
        <v>61970775.78175611</v>
      </c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</row>
    <row r="8" spans="2:74" s="62" customFormat="1" ht="12.75">
      <c r="B8" s="55">
        <v>4</v>
      </c>
      <c r="C8" s="56" t="s">
        <v>139</v>
      </c>
      <c r="D8" s="55">
        <v>2</v>
      </c>
      <c r="E8" s="57">
        <v>1787893</v>
      </c>
      <c r="F8" s="58">
        <v>0.05</v>
      </c>
      <c r="G8" s="59">
        <f aca="true" t="shared" si="16" ref="G8:G28">+E8*(1+F8)</f>
        <v>1877287.6500000001</v>
      </c>
      <c r="H8" s="60">
        <f t="shared" si="0"/>
        <v>90109807.2</v>
      </c>
      <c r="I8" s="61"/>
      <c r="J8" s="60">
        <f t="shared" si="1"/>
        <v>0</v>
      </c>
      <c r="K8" s="59">
        <f t="shared" si="2"/>
        <v>0</v>
      </c>
      <c r="L8" s="60">
        <f t="shared" si="3"/>
        <v>2628202.71</v>
      </c>
      <c r="M8" s="59">
        <f aca="true" t="shared" si="17" ref="M8:M19">(H8+J8+K8+L8)/24</f>
        <v>3864083.74625</v>
      </c>
      <c r="N8" s="165">
        <f t="shared" si="4"/>
        <v>4025087.2356770835</v>
      </c>
      <c r="O8" s="60">
        <f t="shared" si="5"/>
        <v>8385598.40766059</v>
      </c>
      <c r="P8" s="59"/>
      <c r="Q8" s="59"/>
      <c r="R8" s="59"/>
      <c r="S8" s="56" t="s">
        <v>139</v>
      </c>
      <c r="T8" s="60">
        <f t="shared" si="6"/>
        <v>500610.04000000004</v>
      </c>
      <c r="U8" s="59">
        <f t="shared" si="7"/>
        <v>414784.96803819446</v>
      </c>
      <c r="V8" s="60">
        <f t="shared" si="8"/>
        <v>109928174.30762587</v>
      </c>
      <c r="W8" s="59">
        <f t="shared" si="9"/>
        <v>9115316.103493236</v>
      </c>
      <c r="X8" s="60">
        <f aca="true" t="shared" si="18" ref="X8:X26">W8*12%</f>
        <v>1093837.9324191883</v>
      </c>
      <c r="Y8" s="60">
        <f aca="true" t="shared" si="19" ref="Y8:Y26">(+V8-O8-T8-K8-I8)*4/100</f>
        <v>4041678.6343986113</v>
      </c>
      <c r="Z8" s="59">
        <f t="shared" si="10"/>
        <v>3031258.9757989584</v>
      </c>
      <c r="AA8" s="60">
        <f t="shared" si="11"/>
        <v>505209.8292998264</v>
      </c>
      <c r="AB8" s="59">
        <f t="shared" si="12"/>
        <v>505209.8292998264</v>
      </c>
      <c r="AC8" s="60">
        <f t="shared" si="13"/>
        <v>1010419.6585996528</v>
      </c>
      <c r="AD8" s="59">
        <f aca="true" t="shared" si="20" ref="AD8:AD28">(+H8+L8)*10.875/100</f>
        <v>10085258.5777125</v>
      </c>
      <c r="AE8" s="60">
        <f aca="true" t="shared" si="21" ref="AE8:AE28">(+H8+L8)*8/100</f>
        <v>7419040.7928</v>
      </c>
      <c r="AF8" s="59">
        <f t="shared" si="14"/>
        <v>484092.4117302</v>
      </c>
      <c r="AG8" s="60">
        <f t="shared" si="15"/>
        <v>147219497.05317786</v>
      </c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</row>
    <row r="9" spans="2:74" s="62" customFormat="1" ht="12.75" hidden="1">
      <c r="B9" s="55"/>
      <c r="C9" s="56"/>
      <c r="D9" s="55">
        <v>3</v>
      </c>
      <c r="E9" s="57"/>
      <c r="F9" s="58">
        <v>0.05</v>
      </c>
      <c r="G9" s="59">
        <f>+E9*(1+F9)</f>
        <v>0</v>
      </c>
      <c r="H9" s="60">
        <f t="shared" si="0"/>
        <v>0</v>
      </c>
      <c r="I9" s="61"/>
      <c r="J9" s="60">
        <f t="shared" si="1"/>
        <v>0</v>
      </c>
      <c r="K9" s="59">
        <f t="shared" si="2"/>
        <v>637032</v>
      </c>
      <c r="L9" s="60">
        <f t="shared" si="3"/>
        <v>0</v>
      </c>
      <c r="M9" s="59">
        <f t="shared" si="17"/>
        <v>26543</v>
      </c>
      <c r="N9" s="165">
        <f>(SUM(H9:M9)-I9)/24</f>
        <v>27648.958333333332</v>
      </c>
      <c r="O9" s="60">
        <f>(SUM(H9:N9)-I9)/12</f>
        <v>57601.99652777778</v>
      </c>
      <c r="P9" s="59"/>
      <c r="Q9" s="59"/>
      <c r="R9" s="59"/>
      <c r="S9" s="56" t="s">
        <v>139</v>
      </c>
      <c r="T9" s="60">
        <f>H9/180</f>
        <v>0</v>
      </c>
      <c r="U9" s="59">
        <f>((J9+K9+L9+M9)/12)*23/30</f>
        <v>42395.069444444445</v>
      </c>
      <c r="V9" s="60">
        <f>SUM(H9:U9)</f>
        <v>791221.0243055556</v>
      </c>
      <c r="W9" s="59">
        <f>(+V9-T9-I9)*8.33/100</f>
        <v>65908.71132465279</v>
      </c>
      <c r="X9" s="60">
        <f t="shared" si="18"/>
        <v>7909.045358958334</v>
      </c>
      <c r="Y9" s="60">
        <f>(+V9-O9-T9-K9-I9)*4/100</f>
        <v>3863.481111111115</v>
      </c>
      <c r="Z9" s="59">
        <f t="shared" si="10"/>
        <v>2897.610833333336</v>
      </c>
      <c r="AA9" s="60">
        <f>(+V9-O9-T9-K9-I9)*0.5/100</f>
        <v>482.93513888888936</v>
      </c>
      <c r="AB9" s="59">
        <f t="shared" si="12"/>
        <v>482.93513888888936</v>
      </c>
      <c r="AC9" s="60">
        <f t="shared" si="13"/>
        <v>965.8702777777787</v>
      </c>
      <c r="AD9" s="59">
        <f>(+H9+L9)*10.875/100</f>
        <v>0</v>
      </c>
      <c r="AE9" s="60">
        <f>(+H9+L9)*8/100</f>
        <v>0</v>
      </c>
      <c r="AF9" s="59">
        <f>(+H9+L9)*0.522/100</f>
        <v>0</v>
      </c>
      <c r="AG9" s="60">
        <f>SUM(V9:AF9)</f>
        <v>873731.6134891667</v>
      </c>
      <c r="AH9" s="63"/>
      <c r="AI9" s="63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</row>
    <row r="10" spans="2:74" s="62" customFormat="1" ht="12.75" hidden="1">
      <c r="B10" s="55"/>
      <c r="C10" s="56"/>
      <c r="D10" s="55">
        <v>4</v>
      </c>
      <c r="E10" s="57"/>
      <c r="F10" s="58">
        <v>0.05</v>
      </c>
      <c r="G10" s="59">
        <f>+E10*(1+F10)</f>
        <v>0</v>
      </c>
      <c r="H10" s="60">
        <f t="shared" si="0"/>
        <v>0</v>
      </c>
      <c r="I10" s="61"/>
      <c r="J10" s="60">
        <f t="shared" si="1"/>
        <v>0</v>
      </c>
      <c r="K10" s="59">
        <f t="shared" si="2"/>
        <v>637032</v>
      </c>
      <c r="L10" s="60">
        <f t="shared" si="3"/>
        <v>0</v>
      </c>
      <c r="M10" s="59">
        <f t="shared" si="17"/>
        <v>26543</v>
      </c>
      <c r="N10" s="165">
        <f>(SUM(H10:M10)-I10)/24</f>
        <v>27648.958333333332</v>
      </c>
      <c r="O10" s="60">
        <f>(SUM(H10:N10)-I10)/12</f>
        <v>57601.99652777778</v>
      </c>
      <c r="P10" s="59"/>
      <c r="Q10" s="59"/>
      <c r="R10" s="59"/>
      <c r="S10" s="56" t="s">
        <v>139</v>
      </c>
      <c r="T10" s="60">
        <f>H10/180</f>
        <v>0</v>
      </c>
      <c r="U10" s="59">
        <f>((J10+K10+L10+M10)/12)*23/30</f>
        <v>42395.069444444445</v>
      </c>
      <c r="V10" s="60">
        <f>SUM(H10:U10)</f>
        <v>791221.0243055556</v>
      </c>
      <c r="W10" s="59">
        <f>(+V10-T10-I10)*8.33/100</f>
        <v>65908.71132465279</v>
      </c>
      <c r="X10" s="60">
        <f t="shared" si="18"/>
        <v>7909.045358958334</v>
      </c>
      <c r="Y10" s="60">
        <f>(+V10-O10-T10-K10-I10)*4/100</f>
        <v>3863.481111111115</v>
      </c>
      <c r="Z10" s="59">
        <f t="shared" si="10"/>
        <v>2897.610833333336</v>
      </c>
      <c r="AA10" s="60">
        <f>(+V10-O10-T10-K10-I10)*0.5/100</f>
        <v>482.93513888888936</v>
      </c>
      <c r="AB10" s="59">
        <f t="shared" si="12"/>
        <v>482.93513888888936</v>
      </c>
      <c r="AC10" s="60">
        <f t="shared" si="13"/>
        <v>965.8702777777787</v>
      </c>
      <c r="AD10" s="59">
        <f>(+H10+L10)*10.875/100</f>
        <v>0</v>
      </c>
      <c r="AE10" s="60">
        <f>(+H10+L10)*8/100</f>
        <v>0</v>
      </c>
      <c r="AF10" s="59">
        <f>(+H10+L10)*0.522/100</f>
        <v>0</v>
      </c>
      <c r="AG10" s="60">
        <f>SUM(V10:AF10)</f>
        <v>873731.6134891667</v>
      </c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</row>
    <row r="11" spans="2:74" s="62" customFormat="1" ht="12.75" hidden="1">
      <c r="B11" s="55"/>
      <c r="C11" s="56"/>
      <c r="D11" s="55">
        <v>5</v>
      </c>
      <c r="E11" s="57"/>
      <c r="F11" s="58">
        <v>0.05</v>
      </c>
      <c r="G11" s="59">
        <f>+E11*(1+F11)</f>
        <v>0</v>
      </c>
      <c r="H11" s="60">
        <f t="shared" si="0"/>
        <v>0</v>
      </c>
      <c r="I11" s="61"/>
      <c r="J11" s="60">
        <f t="shared" si="1"/>
        <v>0</v>
      </c>
      <c r="K11" s="59">
        <f t="shared" si="2"/>
        <v>637032</v>
      </c>
      <c r="L11" s="60">
        <f t="shared" si="3"/>
        <v>0</v>
      </c>
      <c r="M11" s="59">
        <f t="shared" si="17"/>
        <v>26543</v>
      </c>
      <c r="N11" s="165">
        <f>(SUM(H11:M11)-I11)/24</f>
        <v>27648.958333333332</v>
      </c>
      <c r="O11" s="60">
        <f>(SUM(H11:N11)-I11)/12</f>
        <v>57601.99652777778</v>
      </c>
      <c r="P11" s="59"/>
      <c r="Q11" s="59"/>
      <c r="R11" s="59"/>
      <c r="S11" s="56" t="s">
        <v>139</v>
      </c>
      <c r="T11" s="60">
        <f>H11/180</f>
        <v>0</v>
      </c>
      <c r="U11" s="59">
        <f>((J11+K11+L11+M11)/12)*23/30</f>
        <v>42395.069444444445</v>
      </c>
      <c r="V11" s="60">
        <f>SUM(H11:U11)</f>
        <v>791221.0243055556</v>
      </c>
      <c r="W11" s="59">
        <f>(+V11-T11-I11)*8.33/100</f>
        <v>65908.71132465279</v>
      </c>
      <c r="X11" s="60">
        <f t="shared" si="18"/>
        <v>7909.045358958334</v>
      </c>
      <c r="Y11" s="60">
        <f>(+V11-O11-T11-K11-I11)*4/100</f>
        <v>3863.481111111115</v>
      </c>
      <c r="Z11" s="59">
        <f t="shared" si="10"/>
        <v>2897.610833333336</v>
      </c>
      <c r="AA11" s="60">
        <f>(+V11-O11-T11-K11-I11)*0.5/100</f>
        <v>482.93513888888936</v>
      </c>
      <c r="AB11" s="59">
        <f t="shared" si="12"/>
        <v>482.93513888888936</v>
      </c>
      <c r="AC11" s="60">
        <f t="shared" si="13"/>
        <v>965.8702777777787</v>
      </c>
      <c r="AD11" s="59">
        <f>(+H11+L11)*10.875/100</f>
        <v>0</v>
      </c>
      <c r="AE11" s="60">
        <f>(+H11+L11)*8/100</f>
        <v>0</v>
      </c>
      <c r="AF11" s="59">
        <f>(+H11+L11)*0.522/100</f>
        <v>0</v>
      </c>
      <c r="AG11" s="60">
        <f>SUM(V11:AF11)</f>
        <v>873731.6134891667</v>
      </c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</row>
    <row r="12" spans="2:74" s="62" customFormat="1" ht="12.75" hidden="1">
      <c r="B12" s="55"/>
      <c r="C12" s="56"/>
      <c r="D12" s="55">
        <v>6</v>
      </c>
      <c r="E12" s="57"/>
      <c r="F12" s="58">
        <v>0.05</v>
      </c>
      <c r="G12" s="59">
        <f>+E12*(1+F12)</f>
        <v>0</v>
      </c>
      <c r="H12" s="60">
        <f t="shared" si="0"/>
        <v>0</v>
      </c>
      <c r="I12" s="61"/>
      <c r="J12" s="60">
        <f t="shared" si="1"/>
        <v>0</v>
      </c>
      <c r="K12" s="59">
        <f t="shared" si="2"/>
        <v>637032</v>
      </c>
      <c r="L12" s="60">
        <f t="shared" si="3"/>
        <v>0</v>
      </c>
      <c r="M12" s="59">
        <f t="shared" si="17"/>
        <v>26543</v>
      </c>
      <c r="N12" s="165">
        <f>(SUM(H12:M12)-I12)/24</f>
        <v>27648.958333333332</v>
      </c>
      <c r="O12" s="60">
        <f>(SUM(H12:N12)-I12)/12</f>
        <v>57601.99652777778</v>
      </c>
      <c r="P12" s="59"/>
      <c r="Q12" s="59"/>
      <c r="R12" s="59"/>
      <c r="S12" s="56" t="s">
        <v>139</v>
      </c>
      <c r="T12" s="60">
        <f>H12/180</f>
        <v>0</v>
      </c>
      <c r="U12" s="59">
        <f>((J12+K12+L12+M12)/12)*23/30</f>
        <v>42395.069444444445</v>
      </c>
      <c r="V12" s="60">
        <f>SUM(H12:U12)</f>
        <v>791221.0243055556</v>
      </c>
      <c r="W12" s="59">
        <f>(+V12-T12-I12)*8.33/100</f>
        <v>65908.71132465279</v>
      </c>
      <c r="X12" s="60">
        <f t="shared" si="18"/>
        <v>7909.045358958334</v>
      </c>
      <c r="Y12" s="60">
        <f>(+V12-O12-T12-K12-I12)*4/100</f>
        <v>3863.481111111115</v>
      </c>
      <c r="Z12" s="59">
        <f t="shared" si="10"/>
        <v>2897.610833333336</v>
      </c>
      <c r="AA12" s="60">
        <f>(+V12-O12-T12-K12-I12)*0.5/100</f>
        <v>482.93513888888936</v>
      </c>
      <c r="AB12" s="59">
        <f t="shared" si="12"/>
        <v>482.93513888888936</v>
      </c>
      <c r="AC12" s="60">
        <f t="shared" si="13"/>
        <v>965.8702777777787</v>
      </c>
      <c r="AD12" s="59">
        <f>(+H12+L12)*10.875/100</f>
        <v>0</v>
      </c>
      <c r="AE12" s="60">
        <f>(+H12+L12)*8/100</f>
        <v>0</v>
      </c>
      <c r="AF12" s="59">
        <f>(+H12+L12)*0.522/100</f>
        <v>0</v>
      </c>
      <c r="AG12" s="60">
        <f>SUM(V12:AF12)</f>
        <v>873731.6134891667</v>
      </c>
      <c r="AH12" s="63"/>
      <c r="AI12" s="63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</row>
    <row r="13" spans="2:74" s="62" customFormat="1" ht="12.75" hidden="1">
      <c r="B13" s="55"/>
      <c r="C13" s="56"/>
      <c r="D13" s="55">
        <v>7</v>
      </c>
      <c r="E13" s="57"/>
      <c r="F13" s="58">
        <v>0.05</v>
      </c>
      <c r="G13" s="59">
        <f>+E13*(1+F13)</f>
        <v>0</v>
      </c>
      <c r="H13" s="60">
        <f t="shared" si="0"/>
        <v>0</v>
      </c>
      <c r="I13" s="61"/>
      <c r="J13" s="60">
        <f t="shared" si="1"/>
        <v>0</v>
      </c>
      <c r="K13" s="59">
        <f t="shared" si="2"/>
        <v>637032</v>
      </c>
      <c r="L13" s="60">
        <f t="shared" si="3"/>
        <v>0</v>
      </c>
      <c r="M13" s="59">
        <f t="shared" si="17"/>
        <v>26543</v>
      </c>
      <c r="N13" s="165">
        <f>(SUM(H13:M13)-I13)/24</f>
        <v>27648.958333333332</v>
      </c>
      <c r="O13" s="60">
        <f>(SUM(H13:N13)-I13)/12</f>
        <v>57601.99652777778</v>
      </c>
      <c r="P13" s="59"/>
      <c r="Q13" s="59"/>
      <c r="R13" s="59"/>
      <c r="S13" s="56" t="s">
        <v>139</v>
      </c>
      <c r="T13" s="60">
        <f>H13/180</f>
        <v>0</v>
      </c>
      <c r="U13" s="59">
        <f>((J13+K13+L13+M13)/12)*23/30</f>
        <v>42395.069444444445</v>
      </c>
      <c r="V13" s="60">
        <f>SUM(H13:U13)</f>
        <v>791221.0243055556</v>
      </c>
      <c r="W13" s="59">
        <f>(+V13-T13-I13)*8.33/100</f>
        <v>65908.71132465279</v>
      </c>
      <c r="X13" s="60">
        <f t="shared" si="18"/>
        <v>7909.045358958334</v>
      </c>
      <c r="Y13" s="60">
        <f>(+V13-O13-T13-K13-I13)*4/100</f>
        <v>3863.481111111115</v>
      </c>
      <c r="Z13" s="59">
        <f t="shared" si="10"/>
        <v>2897.610833333336</v>
      </c>
      <c r="AA13" s="60">
        <f>(+V13-O13-T13-K13-I13)*0.5/100</f>
        <v>482.93513888888936</v>
      </c>
      <c r="AB13" s="59">
        <f t="shared" si="12"/>
        <v>482.93513888888936</v>
      </c>
      <c r="AC13" s="60">
        <f t="shared" si="13"/>
        <v>965.8702777777787</v>
      </c>
      <c r="AD13" s="59">
        <f>(+H13+L13)*10.875/100</f>
        <v>0</v>
      </c>
      <c r="AE13" s="60">
        <f>(+H13+L13)*8/100</f>
        <v>0</v>
      </c>
      <c r="AF13" s="59">
        <f>(+H13+L13)*0.522/100</f>
        <v>0</v>
      </c>
      <c r="AG13" s="60">
        <f>SUM(V13:AF13)</f>
        <v>873731.6134891667</v>
      </c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</row>
    <row r="14" spans="2:74" s="62" customFormat="1" ht="12.75">
      <c r="B14" s="55">
        <v>1</v>
      </c>
      <c r="C14" s="56" t="s">
        <v>140</v>
      </c>
      <c r="D14" s="55">
        <v>8</v>
      </c>
      <c r="E14" s="57">
        <v>1523293</v>
      </c>
      <c r="F14" s="58">
        <v>0.05</v>
      </c>
      <c r="G14" s="59">
        <f t="shared" si="16"/>
        <v>1599457.6500000001</v>
      </c>
      <c r="H14" s="60">
        <f t="shared" si="0"/>
        <v>19193491.8</v>
      </c>
      <c r="I14" s="61"/>
      <c r="J14" s="60">
        <f t="shared" si="1"/>
        <v>0</v>
      </c>
      <c r="K14" s="59">
        <f t="shared" si="2"/>
        <v>0</v>
      </c>
      <c r="L14" s="60">
        <f t="shared" si="3"/>
        <v>559810.1775</v>
      </c>
      <c r="M14" s="59">
        <f t="shared" si="17"/>
        <v>823054.2490625</v>
      </c>
      <c r="N14" s="165">
        <f t="shared" si="4"/>
        <v>857348.1761067709</v>
      </c>
      <c r="O14" s="60">
        <f t="shared" si="5"/>
        <v>1786142.0335557724</v>
      </c>
      <c r="P14" s="59"/>
      <c r="Q14" s="59"/>
      <c r="R14" s="59"/>
      <c r="S14" s="56" t="s">
        <v>140</v>
      </c>
      <c r="T14" s="60">
        <f t="shared" si="6"/>
        <v>106630.51000000001</v>
      </c>
      <c r="U14" s="59">
        <f t="shared" si="7"/>
        <v>88349.67169704862</v>
      </c>
      <c r="V14" s="60">
        <f t="shared" si="8"/>
        <v>23414826.617922094</v>
      </c>
      <c r="W14" s="59">
        <f t="shared" si="9"/>
        <v>1941572.7357899102</v>
      </c>
      <c r="X14" s="60">
        <f t="shared" si="18"/>
        <v>232988.7282947892</v>
      </c>
      <c r="Y14" s="60">
        <f t="shared" si="19"/>
        <v>860882.1629746528</v>
      </c>
      <c r="Z14" s="59">
        <f t="shared" si="10"/>
        <v>645661.6222309896</v>
      </c>
      <c r="AA14" s="60">
        <f t="shared" si="11"/>
        <v>107610.2703718316</v>
      </c>
      <c r="AB14" s="59">
        <f t="shared" si="12"/>
        <v>107610.2703718316</v>
      </c>
      <c r="AC14" s="60">
        <f t="shared" si="13"/>
        <v>215220.5407436632</v>
      </c>
      <c r="AD14" s="59">
        <f t="shared" si="20"/>
        <v>2148171.590053125</v>
      </c>
      <c r="AE14" s="60">
        <f t="shared" si="21"/>
        <v>1580264.1582</v>
      </c>
      <c r="AF14" s="59">
        <f t="shared" si="14"/>
        <v>103112.23632254999</v>
      </c>
      <c r="AG14" s="60">
        <f t="shared" si="15"/>
        <v>31357920.933275435</v>
      </c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</row>
    <row r="15" spans="2:74" s="62" customFormat="1" ht="12.75">
      <c r="B15" s="55">
        <v>1</v>
      </c>
      <c r="C15" s="56" t="s">
        <v>141</v>
      </c>
      <c r="D15" s="55">
        <v>9</v>
      </c>
      <c r="E15" s="57">
        <v>1482640</v>
      </c>
      <c r="F15" s="58">
        <v>0.05</v>
      </c>
      <c r="G15" s="59">
        <f t="shared" si="16"/>
        <v>1556772</v>
      </c>
      <c r="H15" s="60">
        <f t="shared" si="0"/>
        <v>18681264</v>
      </c>
      <c r="I15" s="61"/>
      <c r="J15" s="60">
        <f t="shared" si="1"/>
        <v>0</v>
      </c>
      <c r="K15" s="59">
        <f t="shared" si="2"/>
        <v>0</v>
      </c>
      <c r="L15" s="60">
        <f t="shared" si="3"/>
        <v>544870.2</v>
      </c>
      <c r="M15" s="59">
        <f t="shared" si="17"/>
        <v>801088.9249999999</v>
      </c>
      <c r="N15" s="165">
        <f t="shared" si="4"/>
        <v>834467.6302083334</v>
      </c>
      <c r="O15" s="60">
        <f t="shared" si="5"/>
        <v>1738474.2296006943</v>
      </c>
      <c r="P15" s="59"/>
      <c r="Q15" s="59"/>
      <c r="R15" s="59"/>
      <c r="S15" s="56" t="s">
        <v>141</v>
      </c>
      <c r="T15" s="60">
        <f t="shared" si="6"/>
        <v>103784.8</v>
      </c>
      <c r="U15" s="59">
        <f t="shared" si="7"/>
        <v>85991.83298611111</v>
      </c>
      <c r="V15" s="60">
        <f t="shared" si="8"/>
        <v>22789941.61779514</v>
      </c>
      <c r="W15" s="59">
        <f t="shared" si="9"/>
        <v>1889756.862922335</v>
      </c>
      <c r="X15" s="60">
        <f t="shared" si="18"/>
        <v>226770.8235506802</v>
      </c>
      <c r="Y15" s="60">
        <f t="shared" si="19"/>
        <v>837907.3035277778</v>
      </c>
      <c r="Z15" s="59">
        <f t="shared" si="10"/>
        <v>628430.4776458334</v>
      </c>
      <c r="AA15" s="60">
        <f t="shared" si="11"/>
        <v>104738.41294097222</v>
      </c>
      <c r="AB15" s="59">
        <f t="shared" si="12"/>
        <v>104738.41294097222</v>
      </c>
      <c r="AC15" s="60">
        <f t="shared" si="13"/>
        <v>209476.82588194445</v>
      </c>
      <c r="AD15" s="59">
        <f t="shared" si="20"/>
        <v>2090842.0942499998</v>
      </c>
      <c r="AE15" s="60">
        <f t="shared" si="21"/>
        <v>1538090.736</v>
      </c>
      <c r="AF15" s="59">
        <f t="shared" si="14"/>
        <v>100360.420524</v>
      </c>
      <c r="AG15" s="60">
        <f t="shared" si="15"/>
        <v>30521053.98797965</v>
      </c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</row>
    <row r="16" spans="2:74" s="62" customFormat="1" ht="12.75">
      <c r="B16" s="55">
        <v>1</v>
      </c>
      <c r="C16" s="56" t="s">
        <v>142</v>
      </c>
      <c r="D16" s="55">
        <v>10</v>
      </c>
      <c r="E16" s="57">
        <v>1112390</v>
      </c>
      <c r="F16" s="58">
        <v>0.05</v>
      </c>
      <c r="G16" s="59">
        <f t="shared" si="16"/>
        <v>1168009.5</v>
      </c>
      <c r="H16" s="60">
        <f t="shared" si="0"/>
        <v>14016114</v>
      </c>
      <c r="I16" s="61"/>
      <c r="J16" s="60"/>
      <c r="K16" s="59">
        <f t="shared" si="2"/>
        <v>0</v>
      </c>
      <c r="L16" s="60">
        <f>(IF(+G16&lt;=+$L$4,(G16*0.5),(G16*0.35)))*B16</f>
        <v>408803.32499999995</v>
      </c>
      <c r="M16" s="59">
        <f t="shared" si="17"/>
        <v>601038.2218749999</v>
      </c>
      <c r="N16" s="165">
        <f t="shared" si="4"/>
        <v>626081.4811197916</v>
      </c>
      <c r="O16" s="60">
        <f t="shared" si="5"/>
        <v>1304336.418999566</v>
      </c>
      <c r="P16" s="59"/>
      <c r="Q16" s="59"/>
      <c r="R16" s="59"/>
      <c r="S16" s="56" t="s">
        <v>142</v>
      </c>
      <c r="T16" s="60">
        <f t="shared" si="6"/>
        <v>77867.3</v>
      </c>
      <c r="U16" s="59">
        <f t="shared" si="7"/>
        <v>64517.65438368055</v>
      </c>
      <c r="V16" s="60">
        <f t="shared" si="8"/>
        <v>17098758.40137804</v>
      </c>
      <c r="W16" s="59">
        <f t="shared" si="9"/>
        <v>1417840.2287447907</v>
      </c>
      <c r="X16" s="60">
        <f t="shared" si="18"/>
        <v>170140.82744937486</v>
      </c>
      <c r="Y16" s="60">
        <f t="shared" si="19"/>
        <v>628662.187295139</v>
      </c>
      <c r="Z16" s="59">
        <f t="shared" si="10"/>
        <v>471496.6404713542</v>
      </c>
      <c r="AA16" s="60">
        <f t="shared" si="11"/>
        <v>78582.77341189237</v>
      </c>
      <c r="AB16" s="59">
        <f t="shared" si="12"/>
        <v>78582.77341189237</v>
      </c>
      <c r="AC16" s="60">
        <f t="shared" si="13"/>
        <v>157165.54682378474</v>
      </c>
      <c r="AD16" s="59">
        <f t="shared" si="20"/>
        <v>1568709.7590937498</v>
      </c>
      <c r="AE16" s="60">
        <f t="shared" si="21"/>
        <v>1153993.386</v>
      </c>
      <c r="AF16" s="59">
        <f t="shared" si="14"/>
        <v>75298.0684365</v>
      </c>
      <c r="AG16" s="60">
        <f t="shared" si="15"/>
        <v>22899230.592516515</v>
      </c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</row>
    <row r="17" spans="2:74" s="62" customFormat="1" ht="12.75" hidden="1">
      <c r="B17" s="55">
        <v>0</v>
      </c>
      <c r="C17" s="56" t="s">
        <v>143</v>
      </c>
      <c r="D17" s="55">
        <v>11</v>
      </c>
      <c r="E17" s="57">
        <v>720160</v>
      </c>
      <c r="F17" s="58">
        <v>0.05</v>
      </c>
      <c r="G17" s="59">
        <f>+E17*(1+F17)</f>
        <v>756168</v>
      </c>
      <c r="H17" s="60">
        <f t="shared" si="0"/>
        <v>0</v>
      </c>
      <c r="I17" s="61"/>
      <c r="J17" s="60"/>
      <c r="K17" s="59">
        <f t="shared" si="2"/>
        <v>637032</v>
      </c>
      <c r="L17" s="60">
        <f>(IF(+G17&lt;=+$L$4,(G17*0.5),(G17*0.35)))*B17</f>
        <v>0</v>
      </c>
      <c r="M17" s="59">
        <f t="shared" si="17"/>
        <v>26543</v>
      </c>
      <c r="N17" s="165">
        <f>(SUM(H17:M17)-I17)/24</f>
        <v>27648.958333333332</v>
      </c>
      <c r="O17" s="60">
        <f>(SUM(H17:N17)-I17)/12</f>
        <v>57601.99652777778</v>
      </c>
      <c r="P17" s="59"/>
      <c r="Q17" s="59"/>
      <c r="R17" s="59"/>
      <c r="S17" s="56" t="s">
        <v>142</v>
      </c>
      <c r="T17" s="60">
        <f>H17/180</f>
        <v>0</v>
      </c>
      <c r="U17" s="59">
        <f>((J17+K17+L17+M17)/12)*23/30</f>
        <v>42395.069444444445</v>
      </c>
      <c r="V17" s="60">
        <f>SUM(H17:U17)</f>
        <v>791221.0243055556</v>
      </c>
      <c r="W17" s="59">
        <f>(+V17-T17-I17)*8.33/100</f>
        <v>65908.71132465279</v>
      </c>
      <c r="X17" s="60">
        <f t="shared" si="18"/>
        <v>7909.045358958334</v>
      </c>
      <c r="Y17" s="60">
        <f>(+V17-O17-T17-K17-I17)*4/100</f>
        <v>3863.481111111115</v>
      </c>
      <c r="Z17" s="59">
        <f>(+V17-O17-T17-K17-I17)*3/100</f>
        <v>2897.610833333336</v>
      </c>
      <c r="AA17" s="60">
        <f>(+V17-O17-T17-K17-I17)*0.5/100</f>
        <v>482.93513888888936</v>
      </c>
      <c r="AB17" s="59">
        <f t="shared" si="12"/>
        <v>482.93513888888936</v>
      </c>
      <c r="AC17" s="60">
        <f t="shared" si="13"/>
        <v>965.8702777777787</v>
      </c>
      <c r="AD17" s="59">
        <f>(+H17+L17)*10.875/100</f>
        <v>0</v>
      </c>
      <c r="AE17" s="60">
        <f>(+H17+L17)*8/100</f>
        <v>0</v>
      </c>
      <c r="AF17" s="59">
        <f>(+H17+L17)*0.522/100</f>
        <v>0</v>
      </c>
      <c r="AG17" s="60">
        <f>SUM(V17:AF17)</f>
        <v>873731.6134891667</v>
      </c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</row>
    <row r="18" spans="2:74" s="62" customFormat="1" ht="12.75" hidden="1">
      <c r="B18" s="55"/>
      <c r="C18" s="56"/>
      <c r="D18" s="55">
        <v>12</v>
      </c>
      <c r="E18" s="57"/>
      <c r="F18" s="58">
        <v>0.05</v>
      </c>
      <c r="G18" s="59">
        <f>+E18*(1+F18)</f>
        <v>0</v>
      </c>
      <c r="H18" s="60">
        <f t="shared" si="0"/>
        <v>0</v>
      </c>
      <c r="I18" s="61"/>
      <c r="J18" s="60"/>
      <c r="K18" s="59">
        <f t="shared" si="2"/>
        <v>637032</v>
      </c>
      <c r="L18" s="60">
        <f>(IF(+G18&lt;=+$L$4,(G18*0.5),(G18*0.35)))*B18</f>
        <v>0</v>
      </c>
      <c r="M18" s="59">
        <f t="shared" si="17"/>
        <v>26543</v>
      </c>
      <c r="N18" s="165">
        <f>(SUM(H18:M18)-I18)/24</f>
        <v>27648.958333333332</v>
      </c>
      <c r="O18" s="60">
        <f>(SUM(H18:N18)-I18)/12</f>
        <v>57601.99652777778</v>
      </c>
      <c r="P18" s="59"/>
      <c r="Q18" s="59"/>
      <c r="R18" s="59"/>
      <c r="S18" s="56" t="s">
        <v>142</v>
      </c>
      <c r="T18" s="60">
        <f>H18/180</f>
        <v>0</v>
      </c>
      <c r="U18" s="59">
        <f>((J18+K18+L18+M18)/12)*23/30</f>
        <v>42395.069444444445</v>
      </c>
      <c r="V18" s="60">
        <f>SUM(H18:U18)</f>
        <v>791221.0243055556</v>
      </c>
      <c r="W18" s="59">
        <f>(+V18-T18-I18)*8.33/100</f>
        <v>65908.71132465279</v>
      </c>
      <c r="X18" s="60">
        <f t="shared" si="18"/>
        <v>7909.045358958334</v>
      </c>
      <c r="Y18" s="60">
        <f>(+V18-O18-T18-K18-I18)*4/100</f>
        <v>3863.481111111115</v>
      </c>
      <c r="Z18" s="59">
        <f>(+V18-O18-T18-K18-I18)*3/100</f>
        <v>2897.610833333336</v>
      </c>
      <c r="AA18" s="60">
        <f>(+V18-O18-T18-K18-I18)*0.5/100</f>
        <v>482.93513888888936</v>
      </c>
      <c r="AB18" s="59">
        <f t="shared" si="12"/>
        <v>482.93513888888936</v>
      </c>
      <c r="AC18" s="60">
        <f t="shared" si="13"/>
        <v>965.8702777777787</v>
      </c>
      <c r="AD18" s="59">
        <f>(+H18+L18)*10.875/100</f>
        <v>0</v>
      </c>
      <c r="AE18" s="60">
        <f>(+H18+L18)*8/100</f>
        <v>0</v>
      </c>
      <c r="AF18" s="59">
        <f>(+H18+L18)*0.522/100</f>
        <v>0</v>
      </c>
      <c r="AG18" s="60">
        <f>SUM(V18:AF18)</f>
        <v>873731.6134891667</v>
      </c>
      <c r="AH18" s="63"/>
      <c r="AI18" s="63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</row>
    <row r="19" spans="2:74" s="62" customFormat="1" ht="12.75" hidden="1">
      <c r="B19" s="55"/>
      <c r="C19" s="56"/>
      <c r="D19" s="55">
        <v>13</v>
      </c>
      <c r="E19" s="57"/>
      <c r="F19" s="58">
        <v>0.05</v>
      </c>
      <c r="G19" s="59">
        <f>+E19*(1+F19)</f>
        <v>0</v>
      </c>
      <c r="H19" s="60">
        <f t="shared" si="0"/>
        <v>0</v>
      </c>
      <c r="I19" s="61"/>
      <c r="J19" s="60"/>
      <c r="K19" s="59">
        <f t="shared" si="2"/>
        <v>637032</v>
      </c>
      <c r="L19" s="60">
        <f>(IF(+G19&lt;=+$L$4,(G19*0.5),(G19*0.35)))*B19</f>
        <v>0</v>
      </c>
      <c r="M19" s="59">
        <f t="shared" si="17"/>
        <v>26543</v>
      </c>
      <c r="N19" s="165">
        <f>(SUM(H19:M19)-I19)/24</f>
        <v>27648.958333333332</v>
      </c>
      <c r="O19" s="60">
        <f>(SUM(H19:N19)-I19)/12</f>
        <v>57601.99652777778</v>
      </c>
      <c r="P19" s="59"/>
      <c r="Q19" s="59"/>
      <c r="R19" s="59"/>
      <c r="S19" s="56" t="s">
        <v>142</v>
      </c>
      <c r="T19" s="60">
        <f>H19/180</f>
        <v>0</v>
      </c>
      <c r="U19" s="59">
        <f>((J19+K19+L19+M19)/12)*23/30</f>
        <v>42395.069444444445</v>
      </c>
      <c r="V19" s="60">
        <f>SUM(H19:U19)</f>
        <v>791221.0243055556</v>
      </c>
      <c r="W19" s="59">
        <f>(+V19-T19-I19)*8.33/100</f>
        <v>65908.71132465279</v>
      </c>
      <c r="X19" s="60">
        <f t="shared" si="18"/>
        <v>7909.045358958334</v>
      </c>
      <c r="Y19" s="60">
        <f>(+V19-O19-T19-K19-I19)*4/100</f>
        <v>3863.481111111115</v>
      </c>
      <c r="Z19" s="59">
        <f>(+V19-O19-T19-K19-I19)*3/100</f>
        <v>2897.610833333336</v>
      </c>
      <c r="AA19" s="60">
        <f>(+V19-O19-T19-K19-I19)*0.5/100</f>
        <v>482.93513888888936</v>
      </c>
      <c r="AB19" s="59">
        <f t="shared" si="12"/>
        <v>482.93513888888936</v>
      </c>
      <c r="AC19" s="60">
        <f t="shared" si="13"/>
        <v>965.8702777777787</v>
      </c>
      <c r="AD19" s="59">
        <f>(+H19+L19)*10.875/100</f>
        <v>0</v>
      </c>
      <c r="AE19" s="60">
        <f>(+H19+L19)*8/100</f>
        <v>0</v>
      </c>
      <c r="AF19" s="59">
        <f>(+H19+L19)*0.522/100</f>
        <v>0</v>
      </c>
      <c r="AG19" s="60">
        <f>SUM(V19:AF19)</f>
        <v>873731.6134891667</v>
      </c>
      <c r="AH19" s="63"/>
      <c r="AI19" s="63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</row>
    <row r="20" spans="2:74" s="62" customFormat="1" ht="12.75">
      <c r="B20" s="55">
        <v>1</v>
      </c>
      <c r="C20" s="56" t="s">
        <v>144</v>
      </c>
      <c r="D20" s="64">
        <v>14</v>
      </c>
      <c r="E20" s="57">
        <v>785318</v>
      </c>
      <c r="F20" s="58">
        <v>0.05</v>
      </c>
      <c r="G20" s="59">
        <f t="shared" si="16"/>
        <v>824583.9</v>
      </c>
      <c r="H20" s="60">
        <f t="shared" si="0"/>
        <v>9895006.8</v>
      </c>
      <c r="I20" s="61"/>
      <c r="J20" s="60">
        <f>(IF(+G20&lt;=+$J$4,+$J$6,0))*12*B20</f>
        <v>445320</v>
      </c>
      <c r="K20" s="59">
        <f t="shared" si="2"/>
        <v>637032</v>
      </c>
      <c r="L20" s="60">
        <f>(IF(+G20&lt;=+$L$4,(G20*0.5),(G20*0.35)))*B20</f>
        <v>412291.95</v>
      </c>
      <c r="M20" s="59">
        <f>(SUM(H20:L20)-I20)/24</f>
        <v>474568.78125</v>
      </c>
      <c r="N20" s="165">
        <f t="shared" si="4"/>
        <v>494342.48046875</v>
      </c>
      <c r="O20" s="60">
        <f t="shared" si="5"/>
        <v>1029880.1676432291</v>
      </c>
      <c r="P20" s="59"/>
      <c r="Q20" s="59"/>
      <c r="R20" s="59"/>
      <c r="S20" s="56" t="s">
        <v>144</v>
      </c>
      <c r="T20" s="60">
        <f t="shared" si="6"/>
        <v>54972.26</v>
      </c>
      <c r="U20" s="59">
        <f t="shared" si="7"/>
        <v>125810.81338541668</v>
      </c>
      <c r="V20" s="60">
        <f t="shared" si="8"/>
        <v>13569225.252747394</v>
      </c>
      <c r="W20" s="59">
        <f t="shared" si="9"/>
        <v>1125737.274295858</v>
      </c>
      <c r="X20" s="60">
        <f t="shared" si="18"/>
        <v>135088.47291550296</v>
      </c>
      <c r="Y20" s="60">
        <f t="shared" si="19"/>
        <v>473893.63300416665</v>
      </c>
      <c r="Z20" s="59">
        <f t="shared" si="10"/>
        <v>355420.224753125</v>
      </c>
      <c r="AA20" s="60">
        <f t="shared" si="11"/>
        <v>59236.70412552083</v>
      </c>
      <c r="AB20" s="59">
        <f t="shared" si="12"/>
        <v>59236.70412552083</v>
      </c>
      <c r="AC20" s="60">
        <f t="shared" si="13"/>
        <v>118473.40825104166</v>
      </c>
      <c r="AD20" s="59">
        <f t="shared" si="20"/>
        <v>1120918.7390625</v>
      </c>
      <c r="AE20" s="60">
        <f t="shared" si="21"/>
        <v>824583.9</v>
      </c>
      <c r="AF20" s="59">
        <f t="shared" si="14"/>
        <v>53804.099474999995</v>
      </c>
      <c r="AG20" s="60">
        <f t="shared" si="15"/>
        <v>17895618.41275563</v>
      </c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</row>
    <row r="21" spans="2:74" s="62" customFormat="1" ht="12.75" hidden="1">
      <c r="B21" s="55"/>
      <c r="C21" s="56"/>
      <c r="D21" s="55">
        <v>15</v>
      </c>
      <c r="E21" s="57"/>
      <c r="F21" s="58">
        <v>0.05</v>
      </c>
      <c r="G21" s="59">
        <f t="shared" si="16"/>
        <v>0</v>
      </c>
      <c r="H21" s="60">
        <f t="shared" si="0"/>
        <v>0</v>
      </c>
      <c r="I21" s="61"/>
      <c r="J21" s="60"/>
      <c r="K21" s="59">
        <f aca="true" t="shared" si="22" ref="K21:K26">(IF(+G21&lt;=+$K$4,+$K$6,0))*12*B21</f>
        <v>0</v>
      </c>
      <c r="L21" s="60">
        <f>B21*G21*0.5</f>
        <v>0</v>
      </c>
      <c r="M21" s="59">
        <f>(SUM(H21:L21)-I21)/24</f>
        <v>0</v>
      </c>
      <c r="N21" s="165">
        <f t="shared" si="4"/>
        <v>0</v>
      </c>
      <c r="O21" s="60">
        <f t="shared" si="5"/>
        <v>0</v>
      </c>
      <c r="P21" s="59"/>
      <c r="Q21" s="59"/>
      <c r="R21" s="59"/>
      <c r="S21" s="56"/>
      <c r="T21" s="60">
        <f t="shared" si="6"/>
        <v>0</v>
      </c>
      <c r="U21" s="59">
        <f t="shared" si="7"/>
        <v>0</v>
      </c>
      <c r="V21" s="60">
        <f t="shared" si="8"/>
        <v>0</v>
      </c>
      <c r="W21" s="59">
        <f t="shared" si="9"/>
        <v>0</v>
      </c>
      <c r="X21" s="60">
        <f t="shared" si="18"/>
        <v>0</v>
      </c>
      <c r="Y21" s="60">
        <f t="shared" si="19"/>
        <v>0</v>
      </c>
      <c r="Z21" s="59">
        <f t="shared" si="10"/>
        <v>0</v>
      </c>
      <c r="AA21" s="60">
        <f t="shared" si="11"/>
        <v>0</v>
      </c>
      <c r="AB21" s="59">
        <f t="shared" si="12"/>
        <v>0</v>
      </c>
      <c r="AC21" s="60">
        <f t="shared" si="13"/>
        <v>0</v>
      </c>
      <c r="AD21" s="59">
        <f t="shared" si="20"/>
        <v>0</v>
      </c>
      <c r="AE21" s="60">
        <f t="shared" si="21"/>
        <v>0</v>
      </c>
      <c r="AF21" s="59">
        <f t="shared" si="14"/>
        <v>0</v>
      </c>
      <c r="AG21" s="60">
        <f t="shared" si="15"/>
        <v>0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</row>
    <row r="22" spans="2:74" s="62" customFormat="1" ht="12.75" hidden="1">
      <c r="B22" s="55">
        <v>0</v>
      </c>
      <c r="C22" s="56" t="s">
        <v>145</v>
      </c>
      <c r="D22" s="55">
        <v>16</v>
      </c>
      <c r="E22" s="57">
        <v>430000</v>
      </c>
      <c r="F22" s="58">
        <v>0.05</v>
      </c>
      <c r="G22" s="59">
        <f t="shared" si="16"/>
        <v>451500</v>
      </c>
      <c r="H22" s="60">
        <f t="shared" si="0"/>
        <v>0</v>
      </c>
      <c r="I22" s="61"/>
      <c r="J22" s="60"/>
      <c r="K22" s="59">
        <f t="shared" si="22"/>
        <v>0</v>
      </c>
      <c r="L22" s="60">
        <f>B22*G22*0.5</f>
        <v>0</v>
      </c>
      <c r="M22" s="59">
        <f>(SUM(H22:L22)-I22)/24</f>
        <v>0</v>
      </c>
      <c r="N22" s="165">
        <f t="shared" si="4"/>
        <v>0</v>
      </c>
      <c r="O22" s="60">
        <f t="shared" si="5"/>
        <v>0</v>
      </c>
      <c r="P22" s="59"/>
      <c r="Q22" s="59"/>
      <c r="R22" s="59"/>
      <c r="S22" s="56" t="s">
        <v>145</v>
      </c>
      <c r="T22" s="60">
        <f t="shared" si="6"/>
        <v>0</v>
      </c>
      <c r="U22" s="59">
        <f t="shared" si="7"/>
        <v>0</v>
      </c>
      <c r="V22" s="60">
        <f t="shared" si="8"/>
        <v>0</v>
      </c>
      <c r="W22" s="59">
        <f t="shared" si="9"/>
        <v>0</v>
      </c>
      <c r="X22" s="60">
        <f t="shared" si="18"/>
        <v>0</v>
      </c>
      <c r="Y22" s="60">
        <f t="shared" si="19"/>
        <v>0</v>
      </c>
      <c r="Z22" s="59">
        <f t="shared" si="10"/>
        <v>0</v>
      </c>
      <c r="AA22" s="60">
        <f t="shared" si="11"/>
        <v>0</v>
      </c>
      <c r="AB22" s="59">
        <f t="shared" si="12"/>
        <v>0</v>
      </c>
      <c r="AC22" s="60">
        <f t="shared" si="13"/>
        <v>0</v>
      </c>
      <c r="AD22" s="59">
        <f t="shared" si="20"/>
        <v>0</v>
      </c>
      <c r="AE22" s="60">
        <f t="shared" si="21"/>
        <v>0</v>
      </c>
      <c r="AF22" s="59">
        <f t="shared" si="14"/>
        <v>0</v>
      </c>
      <c r="AG22" s="60">
        <f t="shared" si="15"/>
        <v>0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</row>
    <row r="23" spans="2:74" s="62" customFormat="1" ht="12.75" hidden="1">
      <c r="B23" s="55"/>
      <c r="C23" s="56"/>
      <c r="D23" s="55">
        <v>17</v>
      </c>
      <c r="E23" s="57"/>
      <c r="F23" s="58">
        <v>0.05</v>
      </c>
      <c r="G23" s="59">
        <f t="shared" si="16"/>
        <v>0</v>
      </c>
      <c r="H23" s="60">
        <f t="shared" si="0"/>
        <v>0</v>
      </c>
      <c r="I23" s="61"/>
      <c r="J23" s="60"/>
      <c r="K23" s="59">
        <f t="shared" si="22"/>
        <v>0</v>
      </c>
      <c r="L23" s="60">
        <f>B23*G23*0.5</f>
        <v>0</v>
      </c>
      <c r="M23" s="59">
        <f>(SUM(H23:L23)-I23)/24</f>
        <v>0</v>
      </c>
      <c r="N23" s="165">
        <f t="shared" si="4"/>
        <v>0</v>
      </c>
      <c r="O23" s="60">
        <f t="shared" si="5"/>
        <v>0</v>
      </c>
      <c r="P23" s="59"/>
      <c r="Q23" s="59"/>
      <c r="R23" s="59"/>
      <c r="S23" s="56"/>
      <c r="T23" s="60">
        <f t="shared" si="6"/>
        <v>0</v>
      </c>
      <c r="U23" s="59">
        <f t="shared" si="7"/>
        <v>0</v>
      </c>
      <c r="V23" s="60">
        <f t="shared" si="8"/>
        <v>0</v>
      </c>
      <c r="W23" s="59">
        <f t="shared" si="9"/>
        <v>0</v>
      </c>
      <c r="X23" s="60">
        <f t="shared" si="18"/>
        <v>0</v>
      </c>
      <c r="Y23" s="60">
        <f t="shared" si="19"/>
        <v>0</v>
      </c>
      <c r="Z23" s="59">
        <f t="shared" si="10"/>
        <v>0</v>
      </c>
      <c r="AA23" s="60">
        <f t="shared" si="11"/>
        <v>0</v>
      </c>
      <c r="AB23" s="59">
        <f t="shared" si="12"/>
        <v>0</v>
      </c>
      <c r="AC23" s="60">
        <f t="shared" si="13"/>
        <v>0</v>
      </c>
      <c r="AD23" s="59">
        <f t="shared" si="20"/>
        <v>0</v>
      </c>
      <c r="AE23" s="60">
        <f t="shared" si="21"/>
        <v>0</v>
      </c>
      <c r="AF23" s="59">
        <f t="shared" si="14"/>
        <v>0</v>
      </c>
      <c r="AG23" s="60">
        <f t="shared" si="15"/>
        <v>0</v>
      </c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</row>
    <row r="24" spans="2:74" s="65" customFormat="1" ht="12.75">
      <c r="B24" s="55">
        <v>6</v>
      </c>
      <c r="C24" s="56" t="s">
        <v>146</v>
      </c>
      <c r="D24" s="55">
        <v>18</v>
      </c>
      <c r="E24" s="57">
        <v>639209</v>
      </c>
      <c r="F24" s="58">
        <v>0.05</v>
      </c>
      <c r="G24" s="59">
        <f t="shared" si="16"/>
        <v>671169.4500000001</v>
      </c>
      <c r="H24" s="60">
        <f t="shared" si="0"/>
        <v>48324200.400000006</v>
      </c>
      <c r="I24" s="61"/>
      <c r="J24" s="60">
        <f>(IF(+G24&lt;=+$J$4,+$J$6,0))*12*B24</f>
        <v>2671920</v>
      </c>
      <c r="K24" s="59">
        <f t="shared" si="22"/>
        <v>3822192</v>
      </c>
      <c r="L24" s="60">
        <f>(IF(+G24&lt;=+$L$4,(G24*0.5),(G24*0.35)))*B24</f>
        <v>2013508.35</v>
      </c>
      <c r="M24" s="59">
        <f>(H24+J24+K24+L24)/24</f>
        <v>2367992.5312500005</v>
      </c>
      <c r="N24" s="165">
        <f t="shared" si="4"/>
        <v>2466658.8867187505</v>
      </c>
      <c r="O24" s="60">
        <f t="shared" si="5"/>
        <v>5138872.680664063</v>
      </c>
      <c r="P24" s="59"/>
      <c r="Q24" s="59"/>
      <c r="R24" s="59"/>
      <c r="S24" s="56" t="s">
        <v>146</v>
      </c>
      <c r="T24" s="60">
        <f t="shared" si="6"/>
        <v>268467.78</v>
      </c>
      <c r="U24" s="59">
        <f t="shared" si="7"/>
        <v>694830.8229687499</v>
      </c>
      <c r="V24" s="60">
        <f t="shared" si="8"/>
        <v>67768643.45160156</v>
      </c>
      <c r="W24" s="59">
        <f t="shared" si="9"/>
        <v>5622764.633444411</v>
      </c>
      <c r="X24" s="60">
        <f t="shared" si="18"/>
        <v>674731.7560133293</v>
      </c>
      <c r="Y24" s="60">
        <f t="shared" si="19"/>
        <v>2341564.4396375</v>
      </c>
      <c r="Z24" s="59">
        <f t="shared" si="10"/>
        <v>1756173.3297281251</v>
      </c>
      <c r="AA24" s="60">
        <f t="shared" si="11"/>
        <v>292695.5549546875</v>
      </c>
      <c r="AB24" s="59">
        <f t="shared" si="12"/>
        <v>292695.5549546875</v>
      </c>
      <c r="AC24" s="60">
        <f t="shared" si="13"/>
        <v>585391.109909375</v>
      </c>
      <c r="AD24" s="59">
        <f t="shared" si="20"/>
        <v>5474225.8265625015</v>
      </c>
      <c r="AE24" s="60">
        <f t="shared" si="21"/>
        <v>4027016.7000000007</v>
      </c>
      <c r="AF24" s="59">
        <f t="shared" si="14"/>
        <v>262762.83967500005</v>
      </c>
      <c r="AG24" s="60">
        <f t="shared" si="15"/>
        <v>89098665.1964812</v>
      </c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</row>
    <row r="25" spans="2:74" s="62" customFormat="1" ht="12.75">
      <c r="B25" s="55">
        <v>4</v>
      </c>
      <c r="C25" s="56" t="s">
        <v>147</v>
      </c>
      <c r="D25" s="55">
        <v>19</v>
      </c>
      <c r="E25" s="57">
        <v>535590</v>
      </c>
      <c r="F25" s="58">
        <v>0.05</v>
      </c>
      <c r="G25" s="59">
        <f t="shared" si="16"/>
        <v>562369.5</v>
      </c>
      <c r="H25" s="60">
        <f t="shared" si="0"/>
        <v>26993736</v>
      </c>
      <c r="I25" s="61"/>
      <c r="J25" s="60">
        <f>(IF(+G25&lt;=+$J$4,+$J$6,0))*12*B25</f>
        <v>1781280</v>
      </c>
      <c r="K25" s="59">
        <f t="shared" si="22"/>
        <v>2548128</v>
      </c>
      <c r="L25" s="60">
        <f>(IF(+G25&lt;=+$L$4,(G25*0.5),(G25*0.35)))*B25</f>
        <v>1124739</v>
      </c>
      <c r="M25" s="59">
        <f>(H25+J25+K25+L25)/24</f>
        <v>1351995.125</v>
      </c>
      <c r="N25" s="165">
        <f t="shared" si="4"/>
        <v>1408328.2552083333</v>
      </c>
      <c r="O25" s="60">
        <f t="shared" si="5"/>
        <v>2934017.1983506945</v>
      </c>
      <c r="P25" s="59"/>
      <c r="Q25" s="59"/>
      <c r="R25" s="59"/>
      <c r="S25" s="56" t="s">
        <v>147</v>
      </c>
      <c r="T25" s="60">
        <f t="shared" si="6"/>
        <v>149965.2</v>
      </c>
      <c r="U25" s="59">
        <f t="shared" si="7"/>
        <v>434836.8579861111</v>
      </c>
      <c r="V25" s="60">
        <f t="shared" si="8"/>
        <v>38727025.636545144</v>
      </c>
      <c r="W25" s="59">
        <f t="shared" si="9"/>
        <v>3213469.1343642105</v>
      </c>
      <c r="X25" s="60">
        <f t="shared" si="18"/>
        <v>385616.2961237052</v>
      </c>
      <c r="Y25" s="60">
        <f t="shared" si="19"/>
        <v>1323796.6095277776</v>
      </c>
      <c r="Z25" s="59">
        <f t="shared" si="10"/>
        <v>992847.4571458334</v>
      </c>
      <c r="AA25" s="60">
        <f t="shared" si="11"/>
        <v>165474.5761909722</v>
      </c>
      <c r="AB25" s="59">
        <f t="shared" si="12"/>
        <v>165474.5761909722</v>
      </c>
      <c r="AC25" s="60">
        <f t="shared" si="13"/>
        <v>330949.1523819444</v>
      </c>
      <c r="AD25" s="59">
        <f t="shared" si="20"/>
        <v>3057884.15625</v>
      </c>
      <c r="AE25" s="60">
        <f t="shared" si="21"/>
        <v>2249478</v>
      </c>
      <c r="AF25" s="59">
        <f t="shared" si="14"/>
        <v>146778.4395</v>
      </c>
      <c r="AG25" s="60">
        <f t="shared" si="15"/>
        <v>50758794.03422055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</row>
    <row r="26" spans="2:74" s="62" customFormat="1" ht="13.5" thickBot="1">
      <c r="B26" s="55">
        <v>2</v>
      </c>
      <c r="C26" s="56" t="s">
        <v>148</v>
      </c>
      <c r="D26" s="55">
        <v>21</v>
      </c>
      <c r="E26" s="57">
        <v>494542</v>
      </c>
      <c r="F26" s="58">
        <v>0.05</v>
      </c>
      <c r="G26" s="59">
        <f t="shared" si="16"/>
        <v>519269.10000000003</v>
      </c>
      <c r="H26" s="60">
        <f t="shared" si="0"/>
        <v>12462458.4</v>
      </c>
      <c r="I26" s="61"/>
      <c r="J26" s="60">
        <f>(IF(+G26&lt;=+$J$4,+$J$6,0))*12*B26</f>
        <v>890640</v>
      </c>
      <c r="K26" s="59">
        <f t="shared" si="22"/>
        <v>1274064</v>
      </c>
      <c r="L26" s="60">
        <f>(IF(+G26&lt;=+$L$4,(G26*0.5),(G26*0.35)))*B26</f>
        <v>519269.10000000003</v>
      </c>
      <c r="M26" s="59">
        <f>(H26+J26+K26+L26)/24</f>
        <v>631101.3125</v>
      </c>
      <c r="N26" s="165">
        <f t="shared" si="4"/>
        <v>657397.2005208334</v>
      </c>
      <c r="O26" s="60">
        <f t="shared" si="5"/>
        <v>1369577.5010850695</v>
      </c>
      <c r="P26" s="59"/>
      <c r="Q26" s="59"/>
      <c r="R26" s="59"/>
      <c r="S26" s="56" t="s">
        <v>148</v>
      </c>
      <c r="T26" s="66">
        <f t="shared" si="6"/>
        <v>69235.88</v>
      </c>
      <c r="U26" s="59">
        <f t="shared" si="7"/>
        <v>211796.4207986111</v>
      </c>
      <c r="V26" s="60">
        <f t="shared" si="8"/>
        <v>18085539.814904515</v>
      </c>
      <c r="W26" s="59">
        <f t="shared" si="9"/>
        <v>1500758.117777546</v>
      </c>
      <c r="X26" s="60">
        <f t="shared" si="18"/>
        <v>180090.9741333055</v>
      </c>
      <c r="Y26" s="60">
        <f t="shared" si="19"/>
        <v>614906.4973527777</v>
      </c>
      <c r="Z26" s="59">
        <f t="shared" si="10"/>
        <v>461179.87301458337</v>
      </c>
      <c r="AA26" s="60">
        <f t="shared" si="11"/>
        <v>76863.31216909722</v>
      </c>
      <c r="AB26" s="59">
        <f t="shared" si="12"/>
        <v>76863.31216909722</v>
      </c>
      <c r="AC26" s="60">
        <f t="shared" si="13"/>
        <v>153726.62433819444</v>
      </c>
      <c r="AD26" s="59">
        <f t="shared" si="20"/>
        <v>1411762.865625</v>
      </c>
      <c r="AE26" s="60">
        <f t="shared" si="21"/>
        <v>1038538.2</v>
      </c>
      <c r="AF26" s="59">
        <f t="shared" si="14"/>
        <v>67764.61755</v>
      </c>
      <c r="AG26" s="60">
        <f t="shared" si="15"/>
        <v>23667994.20903412</v>
      </c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</row>
    <row r="27" spans="2:74" s="62" customFormat="1" ht="13.5" hidden="1" thickBot="1">
      <c r="B27" s="55">
        <v>0</v>
      </c>
      <c r="C27" s="56" t="s">
        <v>149</v>
      </c>
      <c r="D27" s="55">
        <v>22</v>
      </c>
      <c r="E27" s="57">
        <v>260100</v>
      </c>
      <c r="F27" s="58">
        <v>0.04</v>
      </c>
      <c r="G27" s="59">
        <f t="shared" si="16"/>
        <v>270504</v>
      </c>
      <c r="H27" s="60">
        <f t="shared" si="0"/>
        <v>0</v>
      </c>
      <c r="I27" s="61"/>
      <c r="J27" s="60"/>
      <c r="K27" s="59"/>
      <c r="L27" s="60">
        <f>B27*G27*0.5</f>
        <v>0</v>
      </c>
      <c r="M27" s="59">
        <f>(SUM(H27:L27)-I27)/24</f>
        <v>0</v>
      </c>
      <c r="N27" s="165">
        <f t="shared" si="4"/>
        <v>0</v>
      </c>
      <c r="O27" s="60">
        <f t="shared" si="5"/>
        <v>0</v>
      </c>
      <c r="P27" s="59"/>
      <c r="Q27" s="59"/>
      <c r="R27" s="59"/>
      <c r="S27" s="56" t="s">
        <v>149</v>
      </c>
      <c r="T27" s="60">
        <f t="shared" si="6"/>
        <v>0</v>
      </c>
      <c r="U27" s="59">
        <f t="shared" si="7"/>
        <v>0</v>
      </c>
      <c r="V27" s="60">
        <f t="shared" si="8"/>
        <v>0</v>
      </c>
      <c r="W27" s="59">
        <f t="shared" si="9"/>
        <v>0</v>
      </c>
      <c r="X27" s="60"/>
      <c r="Y27" s="60">
        <f>(+V27-O27-T27-K27-I27)*4/100</f>
        <v>0</v>
      </c>
      <c r="Z27" s="59">
        <f t="shared" si="10"/>
        <v>0</v>
      </c>
      <c r="AA27" s="60">
        <f t="shared" si="11"/>
        <v>0</v>
      </c>
      <c r="AB27" s="59">
        <f t="shared" si="12"/>
        <v>0</v>
      </c>
      <c r="AC27" s="60">
        <f t="shared" si="13"/>
        <v>0</v>
      </c>
      <c r="AD27" s="59">
        <f t="shared" si="20"/>
        <v>0</v>
      </c>
      <c r="AE27" s="60">
        <f t="shared" si="21"/>
        <v>0</v>
      </c>
      <c r="AF27" s="59">
        <f t="shared" si="14"/>
        <v>0</v>
      </c>
      <c r="AG27" s="60">
        <f t="shared" si="15"/>
        <v>0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</row>
    <row r="28" spans="2:74" s="62" customFormat="1" ht="13.5" hidden="1" thickBot="1">
      <c r="B28" s="55">
        <v>0</v>
      </c>
      <c r="C28" s="56" t="s">
        <v>150</v>
      </c>
      <c r="D28" s="55" t="s">
        <v>151</v>
      </c>
      <c r="E28" s="57">
        <v>436347</v>
      </c>
      <c r="F28" s="58">
        <v>0.04</v>
      </c>
      <c r="G28" s="59">
        <f t="shared" si="16"/>
        <v>453800.88</v>
      </c>
      <c r="H28" s="60">
        <f t="shared" si="0"/>
        <v>0</v>
      </c>
      <c r="I28" s="61"/>
      <c r="J28" s="60"/>
      <c r="K28" s="59"/>
      <c r="L28" s="60">
        <f>B28*G28*0.5</f>
        <v>0</v>
      </c>
      <c r="M28" s="59">
        <f>(H28+J28+K28+L28)/24</f>
        <v>0</v>
      </c>
      <c r="N28" s="165">
        <f t="shared" si="4"/>
        <v>0</v>
      </c>
      <c r="O28" s="60">
        <f t="shared" si="5"/>
        <v>0</v>
      </c>
      <c r="P28" s="59"/>
      <c r="Q28" s="59"/>
      <c r="R28" s="59"/>
      <c r="S28" s="56" t="s">
        <v>150</v>
      </c>
      <c r="T28" s="60">
        <f t="shared" si="6"/>
        <v>0</v>
      </c>
      <c r="U28" s="59">
        <f t="shared" si="7"/>
        <v>0</v>
      </c>
      <c r="V28" s="60">
        <f t="shared" si="8"/>
        <v>0</v>
      </c>
      <c r="W28" s="59">
        <f t="shared" si="9"/>
        <v>0</v>
      </c>
      <c r="X28" s="60"/>
      <c r="Y28" s="60">
        <f>(+V28-O28-T28-K28)*4/100</f>
        <v>0</v>
      </c>
      <c r="Z28" s="59">
        <f t="shared" si="10"/>
        <v>0</v>
      </c>
      <c r="AA28" s="60">
        <f t="shared" si="11"/>
        <v>0</v>
      </c>
      <c r="AB28" s="59">
        <f t="shared" si="12"/>
        <v>0</v>
      </c>
      <c r="AC28" s="60">
        <f t="shared" si="13"/>
        <v>0</v>
      </c>
      <c r="AD28" s="59">
        <f t="shared" si="20"/>
        <v>0</v>
      </c>
      <c r="AE28" s="60">
        <f t="shared" si="21"/>
        <v>0</v>
      </c>
      <c r="AF28" s="59">
        <f t="shared" si="14"/>
        <v>0</v>
      </c>
      <c r="AG28" s="60">
        <f t="shared" si="15"/>
        <v>0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</row>
    <row r="29" spans="2:74" s="76" customFormat="1" ht="13.5" thickBot="1">
      <c r="B29" s="67">
        <f>SUM(B7:B28)</f>
        <v>21</v>
      </c>
      <c r="C29" s="68" t="s">
        <v>152</v>
      </c>
      <c r="D29" s="69"/>
      <c r="E29" s="72">
        <f>SUM(E7:E28)</f>
        <v>12497411</v>
      </c>
      <c r="F29" s="72"/>
      <c r="G29" s="72">
        <f aca="true" t="shared" si="23" ref="G29:O29">SUM(G7:G28)</f>
        <v>13131119.63</v>
      </c>
      <c r="H29" s="73">
        <f t="shared" si="23"/>
        <v>268718814.6</v>
      </c>
      <c r="I29" s="73">
        <f t="shared" si="23"/>
        <v>14521368</v>
      </c>
      <c r="J29" s="73">
        <f t="shared" si="23"/>
        <v>5789160</v>
      </c>
      <c r="K29" s="72">
        <f t="shared" si="23"/>
        <v>13377672</v>
      </c>
      <c r="L29" s="73">
        <f t="shared" si="23"/>
        <v>9058574.6125</v>
      </c>
      <c r="M29" s="72">
        <f t="shared" si="23"/>
        <v>12372675.883854166</v>
      </c>
      <c r="N29" s="166">
        <f t="shared" si="23"/>
        <v>12888204.045681423</v>
      </c>
      <c r="O29" s="171">
        <f t="shared" si="23"/>
        <v>26850425.09516963</v>
      </c>
      <c r="P29" s="82"/>
      <c r="Q29" s="82"/>
      <c r="R29" s="82"/>
      <c r="S29" s="68" t="s">
        <v>152</v>
      </c>
      <c r="T29" s="73">
        <f aca="true" t="shared" si="24" ref="T29:AG29">SUM(T7:T28)</f>
        <v>1492882.3033333337</v>
      </c>
      <c r="U29" s="72">
        <f t="shared" si="24"/>
        <v>2593766.3817115165</v>
      </c>
      <c r="V29" s="73">
        <f t="shared" si="24"/>
        <v>367663542.92225003</v>
      </c>
      <c r="W29" s="72">
        <f t="shared" si="24"/>
        <v>29292386.07515577</v>
      </c>
      <c r="X29" s="72">
        <f t="shared" si="24"/>
        <v>3515086.3290186916</v>
      </c>
      <c r="Y29" s="73">
        <f t="shared" si="24"/>
        <v>12456847.820949884</v>
      </c>
      <c r="Z29" s="72">
        <f t="shared" si="24"/>
        <v>9342635.865712412</v>
      </c>
      <c r="AA29" s="73">
        <f t="shared" si="24"/>
        <v>1557105.9776187355</v>
      </c>
      <c r="AB29" s="72">
        <f t="shared" si="24"/>
        <v>1557105.9776187355</v>
      </c>
      <c r="AC29" s="73">
        <f t="shared" si="24"/>
        <v>3114211.955237471</v>
      </c>
      <c r="AD29" s="72">
        <f t="shared" si="24"/>
        <v>30208291.076859377</v>
      </c>
      <c r="AE29" s="73">
        <f t="shared" si="24"/>
        <v>22222191.137</v>
      </c>
      <c r="AF29" s="72">
        <f t="shared" si="24"/>
        <v>1449997.97168925</v>
      </c>
      <c r="AG29" s="73">
        <f t="shared" si="24"/>
        <v>482379403.10911053</v>
      </c>
      <c r="AH29" s="74"/>
      <c r="AI29" s="74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</row>
    <row r="30" spans="2:74" s="76" customFormat="1" ht="12.75">
      <c r="B30" s="77"/>
      <c r="C30" s="78"/>
      <c r="D30" s="79"/>
      <c r="E30" s="80"/>
      <c r="F30" s="81"/>
      <c r="G30" s="82"/>
      <c r="H30" s="83"/>
      <c r="I30" s="82"/>
      <c r="J30" s="83"/>
      <c r="K30" s="82"/>
      <c r="L30" s="83"/>
      <c r="M30" s="82"/>
      <c r="N30" s="167"/>
      <c r="O30" s="83"/>
      <c r="P30" s="82"/>
      <c r="Q30" s="82"/>
      <c r="R30" s="82"/>
      <c r="S30" s="78"/>
      <c r="T30" s="83"/>
      <c r="U30" s="82"/>
      <c r="V30" s="83"/>
      <c r="W30" s="82"/>
      <c r="X30" s="82"/>
      <c r="Y30" s="83"/>
      <c r="Z30" s="82"/>
      <c r="AA30" s="83"/>
      <c r="AB30" s="82"/>
      <c r="AC30" s="83"/>
      <c r="AD30" s="82"/>
      <c r="AE30" s="83"/>
      <c r="AF30" s="82"/>
      <c r="AG30" s="83"/>
      <c r="AH30" s="74"/>
      <c r="AI30" s="74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</row>
    <row r="31" spans="2:74" s="76" customFormat="1" ht="12.75">
      <c r="B31" s="77"/>
      <c r="C31" s="78"/>
      <c r="D31" s="79"/>
      <c r="E31" s="80"/>
      <c r="F31" s="81"/>
      <c r="G31" s="82"/>
      <c r="H31" s="83"/>
      <c r="I31" s="82"/>
      <c r="J31" s="83"/>
      <c r="K31" s="82"/>
      <c r="L31" s="83"/>
      <c r="M31" s="82"/>
      <c r="N31" s="167"/>
      <c r="O31" s="167"/>
      <c r="P31" s="82"/>
      <c r="Q31" s="82"/>
      <c r="R31" s="82"/>
      <c r="S31" s="78"/>
      <c r="T31" s="83"/>
      <c r="U31" s="82"/>
      <c r="V31" s="83"/>
      <c r="W31" s="82"/>
      <c r="X31" s="82"/>
      <c r="Y31" s="83"/>
      <c r="Z31" s="82"/>
      <c r="AA31" s="83"/>
      <c r="AB31" s="82"/>
      <c r="AC31" s="83"/>
      <c r="AD31" s="82"/>
      <c r="AE31" s="83"/>
      <c r="AF31" s="82"/>
      <c r="AG31" s="83"/>
      <c r="AH31" s="74"/>
      <c r="AI31" s="74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</row>
    <row r="32" spans="2:74" s="47" customFormat="1" ht="12.75">
      <c r="B32" s="42" t="s">
        <v>93</v>
      </c>
      <c r="C32" s="43" t="s">
        <v>94</v>
      </c>
      <c r="D32" s="42" t="s">
        <v>95</v>
      </c>
      <c r="E32" s="44" t="s">
        <v>96</v>
      </c>
      <c r="F32" s="45" t="s">
        <v>97</v>
      </c>
      <c r="G32" s="44" t="s">
        <v>98</v>
      </c>
      <c r="H32" s="42" t="s">
        <v>99</v>
      </c>
      <c r="I32" s="43" t="s">
        <v>153</v>
      </c>
      <c r="J32" s="42" t="s">
        <v>101</v>
      </c>
      <c r="K32" s="43" t="s">
        <v>102</v>
      </c>
      <c r="L32" s="42" t="s">
        <v>103</v>
      </c>
      <c r="M32" s="43" t="s">
        <v>104</v>
      </c>
      <c r="N32" s="163" t="s">
        <v>105</v>
      </c>
      <c r="O32" s="163" t="s">
        <v>106</v>
      </c>
      <c r="P32" s="193"/>
      <c r="Q32" s="191"/>
      <c r="R32" s="191"/>
      <c r="S32" s="43" t="s">
        <v>94</v>
      </c>
      <c r="T32" s="42" t="s">
        <v>107</v>
      </c>
      <c r="U32" s="43" t="s">
        <v>108</v>
      </c>
      <c r="V32" s="42" t="s">
        <v>109</v>
      </c>
      <c r="W32" s="43" t="s">
        <v>110</v>
      </c>
      <c r="X32" s="43"/>
      <c r="Y32" s="42" t="s">
        <v>111</v>
      </c>
      <c r="Z32" s="43" t="s">
        <v>112</v>
      </c>
      <c r="AA32" s="42" t="s">
        <v>113</v>
      </c>
      <c r="AB32" s="43" t="s">
        <v>114</v>
      </c>
      <c r="AC32" s="42" t="s">
        <v>115</v>
      </c>
      <c r="AD32" s="43" t="s">
        <v>116</v>
      </c>
      <c r="AE32" s="42" t="s">
        <v>117</v>
      </c>
      <c r="AF32" s="43" t="s">
        <v>118</v>
      </c>
      <c r="AG32" s="42" t="s">
        <v>109</v>
      </c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</row>
    <row r="33" spans="2:74" s="47" customFormat="1" ht="13.5" thickBot="1">
      <c r="B33" s="48" t="s">
        <v>119</v>
      </c>
      <c r="C33" s="49"/>
      <c r="D33" s="48" t="s">
        <v>154</v>
      </c>
      <c r="E33" s="50" t="s">
        <v>297</v>
      </c>
      <c r="F33" s="51"/>
      <c r="G33" s="50">
        <v>2008</v>
      </c>
      <c r="H33" s="48" t="s">
        <v>122</v>
      </c>
      <c r="I33" s="49" t="s">
        <v>122</v>
      </c>
      <c r="J33" s="52"/>
      <c r="K33" s="53"/>
      <c r="L33" s="48" t="s">
        <v>124</v>
      </c>
      <c r="M33" s="54" t="s">
        <v>125</v>
      </c>
      <c r="N33" s="164" t="s">
        <v>126</v>
      </c>
      <c r="O33" s="194" t="s">
        <v>127</v>
      </c>
      <c r="P33" s="193"/>
      <c r="Q33" s="191"/>
      <c r="R33" s="191"/>
      <c r="S33" s="49"/>
      <c r="T33" s="48" t="s">
        <v>128</v>
      </c>
      <c r="U33" s="54" t="s">
        <v>126</v>
      </c>
      <c r="V33" s="48" t="s">
        <v>129</v>
      </c>
      <c r="W33" s="54" t="s">
        <v>130</v>
      </c>
      <c r="X33" s="54"/>
      <c r="Y33" s="48" t="s">
        <v>131</v>
      </c>
      <c r="Z33" s="54" t="s">
        <v>132</v>
      </c>
      <c r="AA33" s="48" t="s">
        <v>133</v>
      </c>
      <c r="AB33" s="54" t="s">
        <v>134</v>
      </c>
      <c r="AC33" s="48" t="s">
        <v>135</v>
      </c>
      <c r="AD33" s="54"/>
      <c r="AE33" s="48"/>
      <c r="AF33" s="54" t="s">
        <v>136</v>
      </c>
      <c r="AG33" s="48" t="s">
        <v>137</v>
      </c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</row>
    <row r="34" spans="2:74" s="88" customFormat="1" ht="12.75" hidden="1">
      <c r="B34" s="84"/>
      <c r="C34" s="40"/>
      <c r="D34" s="85"/>
      <c r="E34" s="86"/>
      <c r="F34" s="87"/>
      <c r="G34" s="40"/>
      <c r="H34" s="85"/>
      <c r="I34" s="40"/>
      <c r="J34" s="85"/>
      <c r="K34" s="40"/>
      <c r="L34" s="85"/>
      <c r="M34" s="40"/>
      <c r="N34" s="168"/>
      <c r="O34" s="168"/>
      <c r="P34" s="168"/>
      <c r="Q34" s="61"/>
      <c r="R34" s="61"/>
      <c r="S34" s="40"/>
      <c r="T34" s="85"/>
      <c r="U34" s="40"/>
      <c r="V34" s="85"/>
      <c r="W34" s="40"/>
      <c r="X34" s="40"/>
      <c r="Y34" s="85"/>
      <c r="Z34" s="40"/>
      <c r="AA34" s="85"/>
      <c r="AB34" s="40"/>
      <c r="AC34" s="85"/>
      <c r="AD34" s="40"/>
      <c r="AE34" s="85"/>
      <c r="AF34" s="40"/>
      <c r="AG34" s="85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</row>
    <row r="35" spans="2:74" s="94" customFormat="1" ht="12.75" hidden="1">
      <c r="B35" s="89" t="s">
        <v>93</v>
      </c>
      <c r="C35" s="90" t="s">
        <v>94</v>
      </c>
      <c r="D35" s="89" t="s">
        <v>95</v>
      </c>
      <c r="E35" s="91" t="s">
        <v>96</v>
      </c>
      <c r="F35" s="92" t="s">
        <v>97</v>
      </c>
      <c r="G35" s="90" t="s">
        <v>96</v>
      </c>
      <c r="H35" s="89" t="s">
        <v>99</v>
      </c>
      <c r="I35" s="90" t="s">
        <v>100</v>
      </c>
      <c r="J35" s="89" t="s">
        <v>101</v>
      </c>
      <c r="K35" s="90" t="s">
        <v>102</v>
      </c>
      <c r="L35" s="89" t="s">
        <v>103</v>
      </c>
      <c r="M35" s="90" t="s">
        <v>104</v>
      </c>
      <c r="N35" s="169" t="s">
        <v>105</v>
      </c>
      <c r="O35" s="195" t="s">
        <v>106</v>
      </c>
      <c r="P35" s="195"/>
      <c r="Q35" s="192"/>
      <c r="R35" s="192"/>
      <c r="S35" s="90" t="s">
        <v>94</v>
      </c>
      <c r="T35" s="89" t="s">
        <v>107</v>
      </c>
      <c r="U35" s="90" t="s">
        <v>108</v>
      </c>
      <c r="V35" s="89" t="s">
        <v>109</v>
      </c>
      <c r="W35" s="90" t="s">
        <v>110</v>
      </c>
      <c r="X35" s="90"/>
      <c r="Y35" s="89" t="s">
        <v>111</v>
      </c>
      <c r="Z35" s="90" t="s">
        <v>112</v>
      </c>
      <c r="AA35" s="89" t="s">
        <v>113</v>
      </c>
      <c r="AB35" s="90" t="s">
        <v>114</v>
      </c>
      <c r="AC35" s="89" t="s">
        <v>115</v>
      </c>
      <c r="AD35" s="90" t="s">
        <v>116</v>
      </c>
      <c r="AE35" s="89" t="s">
        <v>117</v>
      </c>
      <c r="AF35" s="90" t="s">
        <v>118</v>
      </c>
      <c r="AG35" s="89" t="s">
        <v>109</v>
      </c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</row>
    <row r="36" spans="2:74" s="94" customFormat="1" ht="13.5" hidden="1" thickBot="1">
      <c r="B36" s="95" t="s">
        <v>119</v>
      </c>
      <c r="C36" s="96"/>
      <c r="D36" s="95" t="s">
        <v>154</v>
      </c>
      <c r="E36" s="97" t="s">
        <v>121</v>
      </c>
      <c r="F36" s="98"/>
      <c r="G36" s="99" t="s">
        <v>155</v>
      </c>
      <c r="H36" s="95" t="s">
        <v>122</v>
      </c>
      <c r="I36" s="96" t="s">
        <v>156</v>
      </c>
      <c r="J36" s="100">
        <f>21451*1.062</f>
        <v>22780.962</v>
      </c>
      <c r="K36" s="101">
        <f>26413*1.09</f>
        <v>28790.170000000002</v>
      </c>
      <c r="L36" s="95" t="s">
        <v>124</v>
      </c>
      <c r="M36" s="99" t="s">
        <v>125</v>
      </c>
      <c r="N36" s="170" t="s">
        <v>126</v>
      </c>
      <c r="O36" s="195" t="s">
        <v>127</v>
      </c>
      <c r="P36" s="195"/>
      <c r="Q36" s="192"/>
      <c r="R36" s="192"/>
      <c r="S36" s="96"/>
      <c r="T36" s="95" t="s">
        <v>128</v>
      </c>
      <c r="U36" s="99" t="s">
        <v>126</v>
      </c>
      <c r="V36" s="95" t="s">
        <v>129</v>
      </c>
      <c r="W36" s="99" t="s">
        <v>130</v>
      </c>
      <c r="X36" s="99"/>
      <c r="Y36" s="95" t="s">
        <v>131</v>
      </c>
      <c r="Z36" s="99" t="s">
        <v>132</v>
      </c>
      <c r="AA36" s="95" t="s">
        <v>133</v>
      </c>
      <c r="AB36" s="99" t="s">
        <v>134</v>
      </c>
      <c r="AC36" s="95" t="s">
        <v>135</v>
      </c>
      <c r="AD36" s="99"/>
      <c r="AE36" s="95"/>
      <c r="AF36" s="99" t="s">
        <v>136</v>
      </c>
      <c r="AG36" s="95" t="s">
        <v>137</v>
      </c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</row>
    <row r="37" spans="2:74" s="62" customFormat="1" ht="12.75">
      <c r="B37" s="55">
        <v>1</v>
      </c>
      <c r="C37" s="56" t="s">
        <v>157</v>
      </c>
      <c r="D37" s="55">
        <v>1</v>
      </c>
      <c r="E37" s="57">
        <v>2163329</v>
      </c>
      <c r="F37" s="58">
        <v>0</v>
      </c>
      <c r="G37" s="59">
        <v>2420228</v>
      </c>
      <c r="H37" s="60">
        <f>B37*G37*12</f>
        <v>29042736</v>
      </c>
      <c r="I37" s="61"/>
      <c r="J37" s="60">
        <f>(IF(+G37&lt;=+$J$4,+$J$6,0))*12*B37</f>
        <v>0</v>
      </c>
      <c r="K37" s="59">
        <f>(IF(+G37&lt;=+$K$4,+$K$6,0))*12</f>
        <v>0</v>
      </c>
      <c r="L37" s="60">
        <f>(IF(+G37&lt;=+$L$4,(G37*0.5),(G37*0.35)))*B37</f>
        <v>847079.7999999999</v>
      </c>
      <c r="M37" s="59">
        <f>(SUM(H37:L37)-I37)/24</f>
        <v>1245408.9916666667</v>
      </c>
      <c r="N37" s="165">
        <f>(SUM(H37:M37)-I37)/24</f>
        <v>1297301.0329861112</v>
      </c>
      <c r="O37" s="165">
        <f>(SUM(H37:N37)-I37)/12</f>
        <v>2702710.485387732</v>
      </c>
      <c r="P37" s="165"/>
      <c r="Q37" s="59"/>
      <c r="R37" s="59"/>
      <c r="S37" s="56" t="s">
        <v>157</v>
      </c>
      <c r="T37" s="60">
        <f>H37/180</f>
        <v>161348.53333333333</v>
      </c>
      <c r="U37" s="59">
        <f>((J37+K37+L37+M37)/12)*23/30</f>
        <v>133686.78391203703</v>
      </c>
      <c r="V37" s="60">
        <f>SUM(H37:U37)</f>
        <v>35430271.62728588</v>
      </c>
      <c r="W37" s="59">
        <f>(+V37-T37-I37)*8.33/100</f>
        <v>2937901.2937262477</v>
      </c>
      <c r="X37" s="59">
        <f>W37*12%</f>
        <v>352548.1552471497</v>
      </c>
      <c r="Y37" s="60">
        <f>(+V37-O37-T37-K37-I37)*4/100</f>
        <v>1302648.5043425926</v>
      </c>
      <c r="Z37" s="59">
        <f>(+V37-O37-T37-K37-I37)*3/100</f>
        <v>976986.3782569445</v>
      </c>
      <c r="AA37" s="60">
        <f>(+V37-O37-T37-K37-I37)*0.5/100</f>
        <v>162831.06304282407</v>
      </c>
      <c r="AB37" s="59">
        <f>+AA37</f>
        <v>162831.06304282407</v>
      </c>
      <c r="AC37" s="60">
        <f>+AB37*2</f>
        <v>325662.12608564814</v>
      </c>
      <c r="AD37" s="59">
        <f>(+H37+L37)*10.875/100</f>
        <v>3250517.46825</v>
      </c>
      <c r="AE37" s="60">
        <f>(+H37+L37)*8/100</f>
        <v>2391185.264</v>
      </c>
      <c r="AF37" s="59">
        <f>(+H37+L37)*0.522/100</f>
        <v>156024.838476</v>
      </c>
      <c r="AG37" s="60">
        <f>SUM(V37:AF37)</f>
        <v>47449407.781756125</v>
      </c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</row>
    <row r="38" spans="2:74" s="65" customFormat="1" ht="12.75">
      <c r="B38" s="55">
        <v>1</v>
      </c>
      <c r="C38" s="56" t="s">
        <v>146</v>
      </c>
      <c r="D38" s="55">
        <v>2</v>
      </c>
      <c r="E38" s="57">
        <v>772727</v>
      </c>
      <c r="F38" s="58">
        <v>0.05</v>
      </c>
      <c r="G38" s="59">
        <f>+E38*(1+F38)</f>
        <v>811363.35</v>
      </c>
      <c r="H38" s="60">
        <f>B38*G38*12</f>
        <v>9736360.2</v>
      </c>
      <c r="I38" s="61"/>
      <c r="J38" s="60">
        <f>(IF(+G38&lt;=+$J$4,+$J$6,0))*12*B38</f>
        <v>445320</v>
      </c>
      <c r="K38" s="59">
        <f>(IF(+G38&lt;=+$K$4,+$K$6,0))*12*B38</f>
        <v>637032</v>
      </c>
      <c r="L38" s="60">
        <f>(IF(+G38&lt;=+$L$4,(G38*0.5),(G38*0.35)))*B38</f>
        <v>405681.675</v>
      </c>
      <c r="M38" s="59">
        <f>(SUM(H38:L38)-I38)/24</f>
        <v>467683.078125</v>
      </c>
      <c r="N38" s="165">
        <f>(SUM(H38:M38)-I38)/24</f>
        <v>487169.873046875</v>
      </c>
      <c r="O38" s="165">
        <f>(SUM(H38:N38)-I38)/12</f>
        <v>1014937.2355143229</v>
      </c>
      <c r="P38" s="165"/>
      <c r="Q38" s="59"/>
      <c r="R38" s="59"/>
      <c r="S38" s="56" t="s">
        <v>146</v>
      </c>
      <c r="T38" s="60">
        <f>H38/180</f>
        <v>54090.89</v>
      </c>
      <c r="U38" s="59">
        <f>((J38+K38+L38+M38)/12)*23/30</f>
        <v>124948.57033854166</v>
      </c>
      <c r="V38" s="60">
        <f>SUM(H38:U38)</f>
        <v>13373223.52202474</v>
      </c>
      <c r="W38" s="59">
        <f>(+V38-T38-I38)*8.33/100</f>
        <v>1109483.7482476607</v>
      </c>
      <c r="X38" s="59">
        <f>W38*12%</f>
        <v>133138.04978971928</v>
      </c>
      <c r="Y38" s="60">
        <f>(+V38-O38-T38-K38-I38)*4/100</f>
        <v>466686.53586041665</v>
      </c>
      <c r="Z38" s="59">
        <f>(+V38-O38-T38-K38-I38)*3/100</f>
        <v>350014.90189531253</v>
      </c>
      <c r="AA38" s="60">
        <f>(+V38-O38-T38-K38-I38)*0.5/100</f>
        <v>58335.81698255208</v>
      </c>
      <c r="AB38" s="59">
        <f>+AA38</f>
        <v>58335.81698255208</v>
      </c>
      <c r="AC38" s="60">
        <f>+AB38*2</f>
        <v>116671.63396510416</v>
      </c>
      <c r="AD38" s="59">
        <f>(+H38+L38)*10.875/100</f>
        <v>1102947.05390625</v>
      </c>
      <c r="AE38" s="60">
        <f>(+H38+L38)*8/100</f>
        <v>811363.35</v>
      </c>
      <c r="AF38" s="59">
        <f>(+H38+L38)*0.522/100</f>
        <v>52941.458587500005</v>
      </c>
      <c r="AG38" s="60">
        <f>SUM(V38:AF38)</f>
        <v>17633141.888241813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</row>
    <row r="39" spans="2:74" s="76" customFormat="1" ht="12.75">
      <c r="B39" s="67">
        <f>SUM(B37:B38)</f>
        <v>2</v>
      </c>
      <c r="C39" s="68" t="s">
        <v>158</v>
      </c>
      <c r="D39" s="69"/>
      <c r="E39" s="70"/>
      <c r="F39" s="71"/>
      <c r="G39" s="72">
        <f>SUM(G37:G38)</f>
        <v>3231591.35</v>
      </c>
      <c r="H39" s="73">
        <f aca="true" t="shared" si="25" ref="H39:AG39">SUM(H37:H38)</f>
        <v>38779096.2</v>
      </c>
      <c r="I39" s="72">
        <f t="shared" si="25"/>
        <v>0</v>
      </c>
      <c r="J39" s="73">
        <f>SUM(J37:J38)</f>
        <v>445320</v>
      </c>
      <c r="K39" s="72">
        <f t="shared" si="25"/>
        <v>637032</v>
      </c>
      <c r="L39" s="73">
        <f t="shared" si="25"/>
        <v>1252761.4749999999</v>
      </c>
      <c r="M39" s="72">
        <f t="shared" si="25"/>
        <v>1713092.0697916667</v>
      </c>
      <c r="N39" s="166">
        <f t="shared" si="25"/>
        <v>1784470.9060329862</v>
      </c>
      <c r="O39" s="166">
        <f t="shared" si="25"/>
        <v>3717647.7209020546</v>
      </c>
      <c r="P39" s="167"/>
      <c r="Q39" s="82"/>
      <c r="R39" s="82"/>
      <c r="S39" s="68" t="s">
        <v>158</v>
      </c>
      <c r="T39" s="73">
        <f t="shared" si="25"/>
        <v>215439.42333333334</v>
      </c>
      <c r="U39" s="72">
        <f t="shared" si="25"/>
        <v>258635.35425057868</v>
      </c>
      <c r="V39" s="73">
        <f t="shared" si="25"/>
        <v>48803495.14931062</v>
      </c>
      <c r="W39" s="72">
        <f t="shared" si="25"/>
        <v>4047385.0419739084</v>
      </c>
      <c r="X39" s="72">
        <f t="shared" si="25"/>
        <v>485686.205036869</v>
      </c>
      <c r="Y39" s="73">
        <f t="shared" si="25"/>
        <v>1769335.0402030093</v>
      </c>
      <c r="Z39" s="72">
        <f t="shared" si="25"/>
        <v>1327001.280152257</v>
      </c>
      <c r="AA39" s="73">
        <f t="shared" si="25"/>
        <v>221166.88002537616</v>
      </c>
      <c r="AB39" s="72">
        <f t="shared" si="25"/>
        <v>221166.88002537616</v>
      </c>
      <c r="AC39" s="73">
        <f t="shared" si="25"/>
        <v>442333.7600507523</v>
      </c>
      <c r="AD39" s="72">
        <f t="shared" si="25"/>
        <v>4353464.52215625</v>
      </c>
      <c r="AE39" s="73">
        <f t="shared" si="25"/>
        <v>3202548.614</v>
      </c>
      <c r="AF39" s="72">
        <f t="shared" si="25"/>
        <v>208966.2970635</v>
      </c>
      <c r="AG39" s="73">
        <f t="shared" si="25"/>
        <v>65082549.66999794</v>
      </c>
      <c r="AH39" s="74"/>
      <c r="AI39" s="74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</row>
    <row r="40" spans="2:74" s="88" customFormat="1" ht="14.25" customHeight="1">
      <c r="B40" s="84"/>
      <c r="C40" s="40"/>
      <c r="D40" s="85"/>
      <c r="E40" s="86"/>
      <c r="F40" s="87"/>
      <c r="G40" s="40"/>
      <c r="H40" s="85"/>
      <c r="I40" s="40"/>
      <c r="J40" s="85"/>
      <c r="K40" s="40"/>
      <c r="L40" s="85"/>
      <c r="M40" s="40"/>
      <c r="N40" s="168"/>
      <c r="O40" s="168"/>
      <c r="P40" s="168"/>
      <c r="Q40" s="61"/>
      <c r="R40" s="61"/>
      <c r="S40" s="40"/>
      <c r="T40" s="85"/>
      <c r="U40" s="40"/>
      <c r="V40" s="85"/>
      <c r="W40" s="40"/>
      <c r="X40" s="40"/>
      <c r="Y40" s="85"/>
      <c r="Z40" s="40"/>
      <c r="AA40" s="85"/>
      <c r="AB40" s="40"/>
      <c r="AC40" s="85"/>
      <c r="AD40" s="40"/>
      <c r="AE40" s="85"/>
      <c r="AF40" s="40"/>
      <c r="AG40" s="85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</row>
    <row r="41" spans="2:74" s="88" customFormat="1" ht="12.75">
      <c r="B41" s="84"/>
      <c r="C41" s="40"/>
      <c r="D41" s="85"/>
      <c r="E41" s="86"/>
      <c r="F41" s="87"/>
      <c r="G41" s="40"/>
      <c r="H41" s="85"/>
      <c r="I41" s="40"/>
      <c r="J41" s="85"/>
      <c r="K41" s="40"/>
      <c r="L41" s="85"/>
      <c r="M41" s="40"/>
      <c r="N41" s="168"/>
      <c r="O41" s="168"/>
      <c r="P41" s="168"/>
      <c r="Q41" s="61"/>
      <c r="R41" s="61"/>
      <c r="S41" s="40"/>
      <c r="T41" s="85"/>
      <c r="U41" s="40"/>
      <c r="V41" s="85"/>
      <c r="W41" s="40"/>
      <c r="X41" s="40"/>
      <c r="Y41" s="85"/>
      <c r="Z41" s="40"/>
      <c r="AA41" s="85"/>
      <c r="AB41" s="40"/>
      <c r="AC41" s="85"/>
      <c r="AD41" s="40"/>
      <c r="AE41" s="85"/>
      <c r="AF41" s="40"/>
      <c r="AG41" s="85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</row>
    <row r="42" spans="2:74" s="47" customFormat="1" ht="12.75">
      <c r="B42" s="42" t="s">
        <v>93</v>
      </c>
      <c r="C42" s="43" t="s">
        <v>94</v>
      </c>
      <c r="D42" s="42" t="s">
        <v>95</v>
      </c>
      <c r="E42" s="44" t="s">
        <v>96</v>
      </c>
      <c r="F42" s="45" t="s">
        <v>97</v>
      </c>
      <c r="G42" s="44" t="s">
        <v>98</v>
      </c>
      <c r="H42" s="42" t="s">
        <v>99</v>
      </c>
      <c r="I42" s="43" t="s">
        <v>153</v>
      </c>
      <c r="J42" s="42" t="s">
        <v>101</v>
      </c>
      <c r="K42" s="43" t="s">
        <v>102</v>
      </c>
      <c r="L42" s="42" t="s">
        <v>103</v>
      </c>
      <c r="M42" s="43" t="s">
        <v>104</v>
      </c>
      <c r="N42" s="163" t="s">
        <v>105</v>
      </c>
      <c r="O42" s="163" t="s">
        <v>106</v>
      </c>
      <c r="P42" s="193"/>
      <c r="Q42" s="191"/>
      <c r="R42" s="191"/>
      <c r="S42" s="43" t="s">
        <v>94</v>
      </c>
      <c r="T42" s="42" t="s">
        <v>107</v>
      </c>
      <c r="U42" s="43" t="s">
        <v>108</v>
      </c>
      <c r="V42" s="42" t="s">
        <v>109</v>
      </c>
      <c r="W42" s="43" t="s">
        <v>110</v>
      </c>
      <c r="X42" s="43"/>
      <c r="Y42" s="42" t="s">
        <v>111</v>
      </c>
      <c r="Z42" s="43" t="s">
        <v>112</v>
      </c>
      <c r="AA42" s="42" t="s">
        <v>113</v>
      </c>
      <c r="AB42" s="43" t="s">
        <v>114</v>
      </c>
      <c r="AC42" s="42" t="s">
        <v>115</v>
      </c>
      <c r="AD42" s="43" t="s">
        <v>116</v>
      </c>
      <c r="AE42" s="42" t="s">
        <v>117</v>
      </c>
      <c r="AF42" s="43" t="s">
        <v>118</v>
      </c>
      <c r="AG42" s="42" t="s">
        <v>109</v>
      </c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</row>
    <row r="43" spans="2:74" s="47" customFormat="1" ht="13.5" thickBot="1">
      <c r="B43" s="48" t="s">
        <v>119</v>
      </c>
      <c r="C43" s="49"/>
      <c r="D43" s="48" t="s">
        <v>154</v>
      </c>
      <c r="E43" s="50" t="s">
        <v>297</v>
      </c>
      <c r="F43" s="51"/>
      <c r="G43" s="50" t="s">
        <v>298</v>
      </c>
      <c r="H43" s="48" t="s">
        <v>122</v>
      </c>
      <c r="I43" s="49" t="s">
        <v>122</v>
      </c>
      <c r="J43" s="52"/>
      <c r="K43" s="53"/>
      <c r="L43" s="48" t="s">
        <v>124</v>
      </c>
      <c r="M43" s="54" t="s">
        <v>125</v>
      </c>
      <c r="N43" s="164" t="s">
        <v>126</v>
      </c>
      <c r="O43" s="194" t="s">
        <v>127</v>
      </c>
      <c r="P43" s="193"/>
      <c r="Q43" s="191"/>
      <c r="R43" s="191"/>
      <c r="S43" s="49"/>
      <c r="T43" s="48" t="s">
        <v>128</v>
      </c>
      <c r="U43" s="54" t="s">
        <v>126</v>
      </c>
      <c r="V43" s="48" t="s">
        <v>129</v>
      </c>
      <c r="W43" s="54" t="s">
        <v>130</v>
      </c>
      <c r="X43" s="54"/>
      <c r="Y43" s="48" t="s">
        <v>131</v>
      </c>
      <c r="Z43" s="54" t="s">
        <v>132</v>
      </c>
      <c r="AA43" s="48" t="s">
        <v>133</v>
      </c>
      <c r="AB43" s="54" t="s">
        <v>134</v>
      </c>
      <c r="AC43" s="48" t="s">
        <v>135</v>
      </c>
      <c r="AD43" s="54"/>
      <c r="AE43" s="48"/>
      <c r="AF43" s="54" t="s">
        <v>136</v>
      </c>
      <c r="AG43" s="48" t="s">
        <v>137</v>
      </c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</row>
    <row r="44" spans="2:74" s="62" customFormat="1" ht="12.75">
      <c r="B44" s="55">
        <v>11</v>
      </c>
      <c r="C44" s="56" t="s">
        <v>159</v>
      </c>
      <c r="D44" s="55">
        <v>1</v>
      </c>
      <c r="E44" s="57">
        <v>80674</v>
      </c>
      <c r="F44" s="58">
        <v>0</v>
      </c>
      <c r="G44" s="59">
        <f>+E44*(1+F44)</f>
        <v>80674</v>
      </c>
      <c r="H44" s="60"/>
      <c r="I44" s="102">
        <f>+B44*G44*82</f>
        <v>72767948</v>
      </c>
      <c r="J44" s="60"/>
      <c r="K44" s="59"/>
      <c r="L44" s="60"/>
      <c r="M44" s="59"/>
      <c r="N44" s="165"/>
      <c r="O44" s="165"/>
      <c r="P44" s="165"/>
      <c r="Q44" s="59"/>
      <c r="R44" s="59"/>
      <c r="S44" s="56" t="s">
        <v>159</v>
      </c>
      <c r="T44" s="60"/>
      <c r="U44" s="59"/>
      <c r="V44" s="60">
        <f>SUM(H44:U44)</f>
        <v>72767948</v>
      </c>
      <c r="W44" s="59"/>
      <c r="X44" s="59"/>
      <c r="Y44" s="60"/>
      <c r="Z44" s="59"/>
      <c r="AA44" s="60"/>
      <c r="AB44" s="59"/>
      <c r="AC44" s="60"/>
      <c r="AD44" s="59">
        <v>0</v>
      </c>
      <c r="AE44" s="60">
        <f>(+I44)*12/100</f>
        <v>8732153.76</v>
      </c>
      <c r="AF44" s="59">
        <v>0</v>
      </c>
      <c r="AG44" s="60">
        <f>SUM(V44:AF44)</f>
        <v>81500101.76</v>
      </c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</row>
    <row r="45" spans="2:74" s="65" customFormat="1" ht="12.75">
      <c r="B45" s="55">
        <v>1</v>
      </c>
      <c r="C45" s="56" t="s">
        <v>146</v>
      </c>
      <c r="D45" s="55">
        <v>2</v>
      </c>
      <c r="E45" s="57">
        <v>433700</v>
      </c>
      <c r="F45" s="58">
        <v>0.05</v>
      </c>
      <c r="G45" s="59">
        <f>+E45*(1+F45)</f>
        <v>455385</v>
      </c>
      <c r="H45" s="60">
        <f>B45*G45*12</f>
        <v>5464620</v>
      </c>
      <c r="I45" s="102"/>
      <c r="J45" s="60">
        <f>(IF(+G45&lt;=+$J$4,+$J$6,0))*12*B45</f>
        <v>445320</v>
      </c>
      <c r="K45" s="59">
        <f>(IF(+G45&lt;=+$K$4,+$K$6,0))*12*B45</f>
        <v>637032</v>
      </c>
      <c r="L45" s="60">
        <f>(IF(+G45&lt;=+$L$4,(G45*0.5),(G45*0.35)))*B45</f>
        <v>227692.5</v>
      </c>
      <c r="M45" s="59">
        <f>(H45+J45+K45+L45)/24</f>
        <v>282277.6875</v>
      </c>
      <c r="N45" s="165">
        <f>(SUM(H45:M45)-I45)/24</f>
        <v>294039.2578125</v>
      </c>
      <c r="O45" s="165">
        <f>(SUM(H45:N45)-I45)/12</f>
        <v>612581.787109375</v>
      </c>
      <c r="P45" s="165"/>
      <c r="Q45" s="59"/>
      <c r="R45" s="59"/>
      <c r="S45" s="56" t="s">
        <v>146</v>
      </c>
      <c r="T45" s="60">
        <f>H45/180</f>
        <v>30359</v>
      </c>
      <c r="U45" s="59">
        <f>((J45+K45+L45+M45)/12)*23/30</f>
        <v>101731.6953125</v>
      </c>
      <c r="V45" s="60">
        <f>SUM(H45:U45)</f>
        <v>8095653.927734375</v>
      </c>
      <c r="W45" s="59">
        <f>(+V45-T45-I45)*8.33/100</f>
        <v>671839.0674802734</v>
      </c>
      <c r="X45" s="59">
        <f>W45*12%</f>
        <v>80620.68809763281</v>
      </c>
      <c r="Y45" s="60">
        <f>(+V45-O45-T45-K45-I45)*4/100</f>
        <v>272627.245625</v>
      </c>
      <c r="Z45" s="59">
        <f>(+V45-O45-T45-K45-I45)*3/100</f>
        <v>204470.43421875</v>
      </c>
      <c r="AA45" s="60">
        <f>(+V45-O45-T45-K45-I45)*0.5/100</f>
        <v>34078.405703125</v>
      </c>
      <c r="AB45" s="59">
        <f>+AA45</f>
        <v>34078.405703125</v>
      </c>
      <c r="AC45" s="60">
        <f>+AB45*2</f>
        <v>68156.81140625</v>
      </c>
      <c r="AD45" s="59">
        <f>(+H45+L45)*10.875/100</f>
        <v>619038.984375</v>
      </c>
      <c r="AE45" s="60">
        <f>(+H45+L45)*8/100</f>
        <v>455385</v>
      </c>
      <c r="AF45" s="59">
        <f>(+H45+L45)*0.522/100</f>
        <v>29713.87125</v>
      </c>
      <c r="AG45" s="60">
        <f>SUM(V45:AF45)</f>
        <v>10565662.841593532</v>
      </c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</row>
    <row r="46" spans="2:74" s="76" customFormat="1" ht="12.75">
      <c r="B46" s="67">
        <f>SUM(B44:B45)</f>
        <v>12</v>
      </c>
      <c r="C46" s="68" t="s">
        <v>160</v>
      </c>
      <c r="D46" s="69"/>
      <c r="E46" s="70"/>
      <c r="F46" s="71"/>
      <c r="G46" s="72">
        <f aca="true" t="shared" si="26" ref="G46:AG46">SUM(G44:G45)</f>
        <v>536059</v>
      </c>
      <c r="H46" s="73">
        <f t="shared" si="26"/>
        <v>5464620</v>
      </c>
      <c r="I46" s="72">
        <f t="shared" si="26"/>
        <v>72767948</v>
      </c>
      <c r="J46" s="73">
        <f>SUM(J44:J45)</f>
        <v>445320</v>
      </c>
      <c r="K46" s="72">
        <f>SUM(K44:K45)</f>
        <v>637032</v>
      </c>
      <c r="L46" s="73">
        <f t="shared" si="26"/>
        <v>227692.5</v>
      </c>
      <c r="M46" s="72">
        <f t="shared" si="26"/>
        <v>282277.6875</v>
      </c>
      <c r="N46" s="166">
        <f t="shared" si="26"/>
        <v>294039.2578125</v>
      </c>
      <c r="O46" s="166">
        <f t="shared" si="26"/>
        <v>612581.787109375</v>
      </c>
      <c r="P46" s="167"/>
      <c r="Q46" s="82"/>
      <c r="R46" s="82"/>
      <c r="S46" s="68" t="s">
        <v>160</v>
      </c>
      <c r="T46" s="73">
        <f t="shared" si="26"/>
        <v>30359</v>
      </c>
      <c r="U46" s="72">
        <f t="shared" si="26"/>
        <v>101731.6953125</v>
      </c>
      <c r="V46" s="73">
        <f t="shared" si="26"/>
        <v>80863601.92773438</v>
      </c>
      <c r="W46" s="72">
        <f t="shared" si="26"/>
        <v>671839.0674802734</v>
      </c>
      <c r="X46" s="72">
        <f t="shared" si="26"/>
        <v>80620.68809763281</v>
      </c>
      <c r="Y46" s="73">
        <f t="shared" si="26"/>
        <v>272627.245625</v>
      </c>
      <c r="Z46" s="72">
        <f t="shared" si="26"/>
        <v>204470.43421875</v>
      </c>
      <c r="AA46" s="73">
        <f t="shared" si="26"/>
        <v>34078.405703125</v>
      </c>
      <c r="AB46" s="72">
        <f t="shared" si="26"/>
        <v>34078.405703125</v>
      </c>
      <c r="AC46" s="73">
        <f t="shared" si="26"/>
        <v>68156.81140625</v>
      </c>
      <c r="AD46" s="72">
        <f t="shared" si="26"/>
        <v>619038.984375</v>
      </c>
      <c r="AE46" s="73">
        <f t="shared" si="26"/>
        <v>9187538.76</v>
      </c>
      <c r="AF46" s="72">
        <f t="shared" si="26"/>
        <v>29713.87125</v>
      </c>
      <c r="AG46" s="73">
        <f t="shared" si="26"/>
        <v>92065764.60159354</v>
      </c>
      <c r="AH46" s="74"/>
      <c r="AI46" s="74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</row>
    <row r="47" spans="2:74" s="76" customFormat="1" ht="12.75">
      <c r="B47" s="103"/>
      <c r="C47" s="78"/>
      <c r="D47" s="104"/>
      <c r="E47" s="80"/>
      <c r="F47" s="105"/>
      <c r="G47" s="82"/>
      <c r="H47" s="82"/>
      <c r="I47" s="82"/>
      <c r="J47" s="82"/>
      <c r="K47" s="82"/>
      <c r="L47" s="82"/>
      <c r="M47" s="82"/>
      <c r="N47" s="82"/>
      <c r="O47" s="167"/>
      <c r="P47" s="167"/>
      <c r="Q47" s="82"/>
      <c r="R47" s="82"/>
      <c r="S47" s="78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74"/>
      <c r="AI47" s="74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</row>
    <row r="48" spans="2:74" s="76" customFormat="1" ht="12.75">
      <c r="B48" s="103"/>
      <c r="C48" s="78"/>
      <c r="D48" s="104"/>
      <c r="E48" s="80"/>
      <c r="F48" s="105"/>
      <c r="G48" s="82"/>
      <c r="H48" s="82"/>
      <c r="I48" s="82"/>
      <c r="J48" s="82"/>
      <c r="K48" s="82"/>
      <c r="L48" s="82"/>
      <c r="M48" s="82"/>
      <c r="N48" s="82"/>
      <c r="O48" s="167"/>
      <c r="P48" s="167"/>
      <c r="Q48" s="82"/>
      <c r="R48" s="82"/>
      <c r="S48" s="78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74"/>
      <c r="AI48" s="74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</row>
    <row r="49" spans="2:74" s="76" customFormat="1" ht="12.75">
      <c r="B49" s="103"/>
      <c r="C49" s="78"/>
      <c r="D49" s="104"/>
      <c r="E49" s="80"/>
      <c r="F49" s="105"/>
      <c r="G49" s="82"/>
      <c r="H49" s="82"/>
      <c r="I49" s="82"/>
      <c r="J49" s="82"/>
      <c r="K49" s="82"/>
      <c r="L49" s="82"/>
      <c r="M49" s="82"/>
      <c r="N49" s="82"/>
      <c r="O49" s="167"/>
      <c r="P49" s="167"/>
      <c r="Q49" s="82"/>
      <c r="R49" s="82"/>
      <c r="S49" s="78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74"/>
      <c r="AI49" s="74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</row>
    <row r="50" spans="2:74" s="47" customFormat="1" ht="12.75">
      <c r="B50" s="42" t="s">
        <v>93</v>
      </c>
      <c r="C50" s="43" t="s">
        <v>94</v>
      </c>
      <c r="D50" s="42" t="s">
        <v>95</v>
      </c>
      <c r="E50" s="44" t="s">
        <v>96</v>
      </c>
      <c r="F50" s="45" t="s">
        <v>97</v>
      </c>
      <c r="G50" s="44" t="s">
        <v>98</v>
      </c>
      <c r="H50" s="42" t="s">
        <v>99</v>
      </c>
      <c r="I50" s="43" t="s">
        <v>153</v>
      </c>
      <c r="J50" s="42" t="s">
        <v>101</v>
      </c>
      <c r="K50" s="43" t="s">
        <v>102</v>
      </c>
      <c r="L50" s="42" t="s">
        <v>103</v>
      </c>
      <c r="M50" s="43" t="s">
        <v>104</v>
      </c>
      <c r="N50" s="163" t="s">
        <v>105</v>
      </c>
      <c r="O50" s="163" t="s">
        <v>106</v>
      </c>
      <c r="P50" s="193"/>
      <c r="Q50" s="191"/>
      <c r="R50" s="191"/>
      <c r="S50" s="43" t="s">
        <v>94</v>
      </c>
      <c r="T50" s="42" t="s">
        <v>107</v>
      </c>
      <c r="U50" s="43" t="s">
        <v>108</v>
      </c>
      <c r="V50" s="42" t="s">
        <v>109</v>
      </c>
      <c r="W50" s="43" t="s">
        <v>110</v>
      </c>
      <c r="X50" s="43"/>
      <c r="Y50" s="42" t="s">
        <v>111</v>
      </c>
      <c r="Z50" s="43" t="s">
        <v>112</v>
      </c>
      <c r="AA50" s="42" t="s">
        <v>113</v>
      </c>
      <c r="AB50" s="43" t="s">
        <v>114</v>
      </c>
      <c r="AC50" s="42" t="s">
        <v>115</v>
      </c>
      <c r="AD50" s="43" t="s">
        <v>116</v>
      </c>
      <c r="AE50" s="42" t="s">
        <v>117</v>
      </c>
      <c r="AF50" s="43" t="s">
        <v>118</v>
      </c>
      <c r="AG50" s="42" t="s">
        <v>109</v>
      </c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</row>
    <row r="51" spans="2:74" s="47" customFormat="1" ht="13.5" thickBot="1">
      <c r="B51" s="48" t="s">
        <v>119</v>
      </c>
      <c r="C51" s="49"/>
      <c r="D51" s="48" t="s">
        <v>154</v>
      </c>
      <c r="E51" s="50" t="s">
        <v>249</v>
      </c>
      <c r="F51" s="51"/>
      <c r="G51" s="50">
        <v>2004</v>
      </c>
      <c r="H51" s="48" t="s">
        <v>122</v>
      </c>
      <c r="I51" s="49" t="s">
        <v>122</v>
      </c>
      <c r="J51" s="52"/>
      <c r="K51" s="53"/>
      <c r="L51" s="48" t="s">
        <v>124</v>
      </c>
      <c r="M51" s="54" t="s">
        <v>125</v>
      </c>
      <c r="N51" s="164" t="s">
        <v>126</v>
      </c>
      <c r="O51" s="194" t="s">
        <v>127</v>
      </c>
      <c r="P51" s="193"/>
      <c r="Q51" s="191"/>
      <c r="R51" s="191"/>
      <c r="S51" s="49"/>
      <c r="T51" s="48" t="s">
        <v>128</v>
      </c>
      <c r="U51" s="54" t="s">
        <v>126</v>
      </c>
      <c r="V51" s="48" t="s">
        <v>129</v>
      </c>
      <c r="W51" s="54" t="s">
        <v>130</v>
      </c>
      <c r="X51" s="54"/>
      <c r="Y51" s="48" t="s">
        <v>131</v>
      </c>
      <c r="Z51" s="54" t="s">
        <v>132</v>
      </c>
      <c r="AA51" s="48" t="s">
        <v>133</v>
      </c>
      <c r="AB51" s="54" t="s">
        <v>134</v>
      </c>
      <c r="AC51" s="48" t="s">
        <v>135</v>
      </c>
      <c r="AD51" s="54"/>
      <c r="AE51" s="48"/>
      <c r="AF51" s="54" t="s">
        <v>136</v>
      </c>
      <c r="AG51" s="48" t="s">
        <v>137</v>
      </c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</row>
    <row r="52" spans="2:74" s="62" customFormat="1" ht="12.75">
      <c r="B52" s="55">
        <v>1</v>
      </c>
      <c r="C52" s="56" t="s">
        <v>161</v>
      </c>
      <c r="D52" s="55">
        <v>1</v>
      </c>
      <c r="E52" s="57">
        <v>1710902</v>
      </c>
      <c r="F52" s="58">
        <v>0.05</v>
      </c>
      <c r="G52" s="59">
        <f>+E52*(1+F52)</f>
        <v>1796447.1</v>
      </c>
      <c r="H52" s="60">
        <f>B52*G52*12</f>
        <v>21557365.200000003</v>
      </c>
      <c r="I52" s="61"/>
      <c r="J52" s="60">
        <f>(IF(+G52&lt;=+$J$4,+$J$6,0))*12*B52</f>
        <v>0</v>
      </c>
      <c r="K52" s="59">
        <f>(IF(+G52&lt;=+$K$4,+$K$6,0))*12</f>
        <v>0</v>
      </c>
      <c r="L52" s="60">
        <f>(IF(+G52&lt;=+$L$4,(G52*0.5),(G52*0.35)))*B52</f>
        <v>628756.485</v>
      </c>
      <c r="M52" s="59">
        <f>(SUM(H52:L52)-I52)/24</f>
        <v>924421.7368750001</v>
      </c>
      <c r="N52" s="165">
        <f>(SUM(H52:M52)-I52)/24</f>
        <v>962939.3092447919</v>
      </c>
      <c r="O52" s="165">
        <f>(SUM(H52:N52)-I52)/12</f>
        <v>2006123.5609266497</v>
      </c>
      <c r="P52" s="165"/>
      <c r="Q52" s="59"/>
      <c r="R52" s="59"/>
      <c r="S52" s="56" t="s">
        <v>161</v>
      </c>
      <c r="T52" s="60">
        <f>H52/180</f>
        <v>119763.14000000001</v>
      </c>
      <c r="U52" s="59">
        <f>((J52+K52+L52+M52)/12)*23/30</f>
        <v>99230.8308420139</v>
      </c>
      <c r="V52" s="60">
        <f>SUM(H52:U52)</f>
        <v>26298600.26288846</v>
      </c>
      <c r="W52" s="59">
        <f>(+V52-T52-I52)*8.33/100</f>
        <v>2180697.1323366086</v>
      </c>
      <c r="X52" s="59">
        <f>W52*12%</f>
        <v>261683.65588039302</v>
      </c>
      <c r="Y52" s="60">
        <f>(+V52-O52-T52-K52)*4/100</f>
        <v>966908.5424784725</v>
      </c>
      <c r="Z52" s="59">
        <f>(+V52-O52-T52-K52-I52)*3/100</f>
        <v>725181.4068588543</v>
      </c>
      <c r="AA52" s="60">
        <f>(+V52-O52-T52-K52-I52)*0.5/100</f>
        <v>120863.56780980906</v>
      </c>
      <c r="AB52" s="59">
        <f>+AA52</f>
        <v>120863.56780980906</v>
      </c>
      <c r="AC52" s="60">
        <f>+AB52*2</f>
        <v>241727.13561961812</v>
      </c>
      <c r="AD52" s="59">
        <f>(+H52+L52)*10.875/100</f>
        <v>2412740.7332437504</v>
      </c>
      <c r="AE52" s="60">
        <f>(+H52+L52)*8/100</f>
        <v>1774889.7348000002</v>
      </c>
      <c r="AF52" s="59">
        <f>(+H52+L52)*0.522/100</f>
        <v>115811.55519570003</v>
      </c>
      <c r="AG52" s="60">
        <f>SUM(V52:AF52)</f>
        <v>35219967.29492147</v>
      </c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</row>
    <row r="53" spans="2:74" s="65" customFormat="1" ht="12.75">
      <c r="B53" s="55">
        <v>1</v>
      </c>
      <c r="C53" s="56" t="s">
        <v>140</v>
      </c>
      <c r="D53" s="55">
        <v>2</v>
      </c>
      <c r="E53" s="57">
        <v>1457697</v>
      </c>
      <c r="F53" s="58">
        <v>0.05</v>
      </c>
      <c r="G53" s="59">
        <f>+E53*(1+F53)</f>
        <v>1530581.85</v>
      </c>
      <c r="H53" s="60">
        <f>B53*G53*12</f>
        <v>18366982.200000003</v>
      </c>
      <c r="I53" s="61"/>
      <c r="J53" s="60">
        <f>(IF(+G53&lt;=+$J$4,+$J$6,0))*12*B53</f>
        <v>0</v>
      </c>
      <c r="K53" s="59">
        <f>(IF(+G53&lt;=+$K$4,+$K$6,0))*12*B53</f>
        <v>0</v>
      </c>
      <c r="L53" s="60">
        <f>(IF(+G53&lt;=+$L$4,(G53*0.5),(G53*0.35)))*B53</f>
        <v>535703.6475</v>
      </c>
      <c r="M53" s="59">
        <f>(H53+J53+K53+L53)/24</f>
        <v>787611.9103125002</v>
      </c>
      <c r="N53" s="165">
        <f>(SUM(H53:M53)-I53)/24</f>
        <v>820429.0732421876</v>
      </c>
      <c r="O53" s="165">
        <f>(SUM(H53:N53)-I53)/12</f>
        <v>1709227.2359212243</v>
      </c>
      <c r="P53" s="165"/>
      <c r="Q53" s="59"/>
      <c r="R53" s="59"/>
      <c r="S53" s="56" t="s">
        <v>140</v>
      </c>
      <c r="T53" s="60">
        <f>H53/180</f>
        <v>102038.79000000002</v>
      </c>
      <c r="U53" s="59">
        <f>((J53+K53+L53+M53)/12)*23/30</f>
        <v>84545.16063802085</v>
      </c>
      <c r="V53" s="60">
        <f>SUM(H53:U53)</f>
        <v>22406538.017613932</v>
      </c>
      <c r="W53" s="59">
        <f>(+V53-T53-I53)*8.33/100</f>
        <v>1857964.7856602406</v>
      </c>
      <c r="X53" s="59">
        <f>W53*12%</f>
        <v>222955.77427922885</v>
      </c>
      <c r="Y53" s="60">
        <f>(+V53-O53-T53-K53)*4/100</f>
        <v>823810.8796677084</v>
      </c>
      <c r="Z53" s="59">
        <f>(+V53-O53-T53-K53-I53)*3/100</f>
        <v>617858.1597507814</v>
      </c>
      <c r="AA53" s="60">
        <f>(+V53-O53-T53-K53-I53)*0.5/100</f>
        <v>102976.35995846355</v>
      </c>
      <c r="AB53" s="59">
        <f>+AA53</f>
        <v>102976.35995846355</v>
      </c>
      <c r="AC53" s="60">
        <f>+AB53*2</f>
        <v>205952.7199169271</v>
      </c>
      <c r="AD53" s="59">
        <f>(+H53+L53)*10.875/100</f>
        <v>2055667.0859156253</v>
      </c>
      <c r="AE53" s="60">
        <f>(+H53+L53)*8/100</f>
        <v>1512214.8678000004</v>
      </c>
      <c r="AF53" s="59">
        <f>(+H53+L53)*0.522/100</f>
        <v>98672.02012395002</v>
      </c>
      <c r="AG53" s="60">
        <f>SUM(V53:AF53)</f>
        <v>30007587.030645322</v>
      </c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</row>
    <row r="54" spans="2:74" s="76" customFormat="1" ht="12.75">
      <c r="B54" s="67">
        <f>SUM(B52:B53)</f>
        <v>2</v>
      </c>
      <c r="C54" s="68" t="s">
        <v>162</v>
      </c>
      <c r="D54" s="69"/>
      <c r="E54" s="70"/>
      <c r="F54" s="71"/>
      <c r="G54" s="72">
        <f aca="true" t="shared" si="27" ref="G54:AG54">SUM(G52:G53)</f>
        <v>3327028.95</v>
      </c>
      <c r="H54" s="73">
        <f t="shared" si="27"/>
        <v>39924347.400000006</v>
      </c>
      <c r="I54" s="72">
        <f t="shared" si="27"/>
        <v>0</v>
      </c>
      <c r="J54" s="73">
        <f t="shared" si="27"/>
        <v>0</v>
      </c>
      <c r="K54" s="72">
        <f t="shared" si="27"/>
        <v>0</v>
      </c>
      <c r="L54" s="73">
        <f t="shared" si="27"/>
        <v>1164460.1324999998</v>
      </c>
      <c r="M54" s="72">
        <f t="shared" si="27"/>
        <v>1712033.6471875003</v>
      </c>
      <c r="N54" s="166">
        <f t="shared" si="27"/>
        <v>1783368.3824869795</v>
      </c>
      <c r="O54" s="166">
        <f t="shared" si="27"/>
        <v>3715350.7968478743</v>
      </c>
      <c r="P54" s="167"/>
      <c r="Q54" s="82"/>
      <c r="R54" s="82"/>
      <c r="S54" s="68" t="s">
        <v>162</v>
      </c>
      <c r="T54" s="73">
        <f t="shared" si="27"/>
        <v>221801.93000000005</v>
      </c>
      <c r="U54" s="72">
        <f t="shared" si="27"/>
        <v>183775.99148003475</v>
      </c>
      <c r="V54" s="73">
        <f t="shared" si="27"/>
        <v>48705138.280502394</v>
      </c>
      <c r="W54" s="72">
        <f t="shared" si="27"/>
        <v>4038661.917996849</v>
      </c>
      <c r="X54" s="72">
        <f t="shared" si="27"/>
        <v>484639.4301596219</v>
      </c>
      <c r="Y54" s="73">
        <f t="shared" si="27"/>
        <v>1790719.4221461809</v>
      </c>
      <c r="Z54" s="72">
        <f t="shared" si="27"/>
        <v>1343039.5666096357</v>
      </c>
      <c r="AA54" s="73">
        <f t="shared" si="27"/>
        <v>223839.9277682726</v>
      </c>
      <c r="AB54" s="72">
        <f t="shared" si="27"/>
        <v>223839.9277682726</v>
      </c>
      <c r="AC54" s="73">
        <f t="shared" si="27"/>
        <v>447679.8555365452</v>
      </c>
      <c r="AD54" s="72">
        <f t="shared" si="27"/>
        <v>4468407.8191593755</v>
      </c>
      <c r="AE54" s="73">
        <f t="shared" si="27"/>
        <v>3287104.602600001</v>
      </c>
      <c r="AF54" s="72">
        <f t="shared" si="27"/>
        <v>214483.57531965006</v>
      </c>
      <c r="AG54" s="73">
        <f t="shared" si="27"/>
        <v>65227554.3255668</v>
      </c>
      <c r="AH54" s="74"/>
      <c r="AI54" s="74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</row>
    <row r="55" spans="2:74" s="88" customFormat="1" ht="12.75">
      <c r="B55" s="106"/>
      <c r="C55" s="40"/>
      <c r="D55" s="40"/>
      <c r="E55" s="86"/>
      <c r="F55" s="107"/>
      <c r="G55" s="40"/>
      <c r="H55" s="40"/>
      <c r="I55" s="40"/>
      <c r="J55" s="40"/>
      <c r="K55" s="40"/>
      <c r="L55" s="40"/>
      <c r="M55" s="40"/>
      <c r="N55" s="40"/>
      <c r="O55" s="40"/>
      <c r="P55" s="168"/>
      <c r="Q55" s="61"/>
      <c r="R55" s="61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</row>
    <row r="56" spans="16:18" ht="12.75">
      <c r="P56" s="196"/>
      <c r="Q56" s="137"/>
      <c r="R56" s="137"/>
    </row>
    <row r="57" spans="3:4" ht="12.75">
      <c r="C57" s="177"/>
      <c r="D57" s="177"/>
    </row>
    <row r="58" spans="3:4" ht="12.75">
      <c r="C58" s="177" t="s">
        <v>269</v>
      </c>
      <c r="D58" s="177"/>
    </row>
    <row r="60" ht="12.75">
      <c r="C60" s="24"/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N129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1.8515625" style="307" customWidth="1"/>
    <col min="2" max="2" width="4.8515625" style="307" customWidth="1"/>
    <col min="3" max="3" width="69.8515625" style="307" customWidth="1"/>
    <col min="4" max="4" width="14.140625" style="307" customWidth="1"/>
    <col min="5" max="5" width="17.140625" style="307" customWidth="1"/>
    <col min="6" max="6" width="16.28125" style="307" customWidth="1"/>
    <col min="7" max="9" width="11.421875" style="307" customWidth="1"/>
    <col min="10" max="10" width="16.57421875" style="307" bestFit="1" customWidth="1"/>
    <col min="11" max="11" width="5.421875" style="307" customWidth="1"/>
    <col min="12" max="12" width="23.7109375" style="307" customWidth="1"/>
    <col min="13" max="13" width="3.8515625" style="307" customWidth="1"/>
    <col min="14" max="14" width="13.8515625" style="307" bestFit="1" customWidth="1"/>
    <col min="15" max="16384" width="11.421875" style="307" customWidth="1"/>
  </cols>
  <sheetData>
    <row r="1" spans="2:7" ht="13.5">
      <c r="B1" s="566"/>
      <c r="C1" s="567"/>
      <c r="D1" s="568" t="s">
        <v>232</v>
      </c>
      <c r="E1" s="569"/>
      <c r="F1" s="570"/>
      <c r="G1" s="571"/>
    </row>
    <row r="2" spans="2:7" ht="13.5">
      <c r="B2" s="566"/>
      <c r="C2" s="572"/>
      <c r="D2" s="568" t="s">
        <v>233</v>
      </c>
      <c r="E2" s="569"/>
      <c r="F2" s="570"/>
      <c r="G2" s="571"/>
    </row>
    <row r="3" spans="2:7" ht="18" customHeight="1">
      <c r="B3" s="573"/>
      <c r="C3" s="312"/>
      <c r="D3" s="574"/>
      <c r="E3" s="575"/>
      <c r="F3" s="576"/>
      <c r="G3" s="576"/>
    </row>
    <row r="4" spans="2:7" s="583" customFormat="1" ht="13.5">
      <c r="B4" s="577" t="s">
        <v>234</v>
      </c>
      <c r="C4" s="578" t="s">
        <v>1</v>
      </c>
      <c r="D4" s="579" t="s">
        <v>235</v>
      </c>
      <c r="E4" s="580"/>
      <c r="F4" s="581" t="s">
        <v>236</v>
      </c>
      <c r="G4" s="582"/>
    </row>
    <row r="5" spans="2:7" s="583" customFormat="1" ht="13.5">
      <c r="B5" s="584"/>
      <c r="C5" s="585"/>
      <c r="D5" s="586" t="s">
        <v>237</v>
      </c>
      <c r="E5" s="587" t="s">
        <v>250</v>
      </c>
      <c r="F5" s="588" t="s">
        <v>238</v>
      </c>
      <c r="G5" s="588" t="s">
        <v>239</v>
      </c>
    </row>
    <row r="6" spans="2:7" s="583" customFormat="1" ht="13.5">
      <c r="B6" s="589"/>
      <c r="C6" s="590"/>
      <c r="D6" s="591"/>
      <c r="E6" s="592"/>
      <c r="F6" s="593"/>
      <c r="G6" s="587"/>
    </row>
    <row r="7" spans="2:7" s="583" customFormat="1" ht="13.5">
      <c r="B7" s="594"/>
      <c r="C7" s="595" t="s">
        <v>320</v>
      </c>
      <c r="D7" s="596">
        <v>1266353066</v>
      </c>
      <c r="E7" s="597"/>
      <c r="F7" s="598"/>
      <c r="G7" s="599"/>
    </row>
    <row r="8" spans="2:7" s="583" customFormat="1" ht="13.5">
      <c r="B8" s="594"/>
      <c r="C8" s="595" t="s">
        <v>469</v>
      </c>
      <c r="D8" s="596">
        <f>D9+D10</f>
        <v>1266353066</v>
      </c>
      <c r="E8" s="597"/>
      <c r="F8" s="598"/>
      <c r="G8" s="599"/>
    </row>
    <row r="9" spans="2:7" s="583" customFormat="1" ht="13.5">
      <c r="B9" s="600"/>
      <c r="C9" s="601" t="s">
        <v>251</v>
      </c>
      <c r="D9" s="602">
        <v>369507902</v>
      </c>
      <c r="E9" s="597">
        <v>369507902</v>
      </c>
      <c r="F9" s="598"/>
      <c r="G9" s="599"/>
    </row>
    <row r="10" spans="2:7" s="583" customFormat="1" ht="13.5">
      <c r="B10" s="603"/>
      <c r="C10" s="601" t="s">
        <v>240</v>
      </c>
      <c r="D10" s="602">
        <v>896845164</v>
      </c>
      <c r="E10" s="604">
        <v>896845164</v>
      </c>
      <c r="F10" s="598"/>
      <c r="G10" s="599"/>
    </row>
    <row r="11" spans="2:7" s="583" customFormat="1" ht="13.5">
      <c r="B11" s="603"/>
      <c r="C11" s="601"/>
      <c r="D11" s="602">
        <v>0</v>
      </c>
      <c r="E11" s="604"/>
      <c r="F11" s="598"/>
      <c r="G11" s="599"/>
    </row>
    <row r="12" spans="2:7" s="583" customFormat="1" ht="13.5">
      <c r="B12" s="603"/>
      <c r="C12" s="601"/>
      <c r="D12" s="596">
        <v>301792223</v>
      </c>
      <c r="E12" s="597"/>
      <c r="F12" s="598"/>
      <c r="G12" s="599"/>
    </row>
    <row r="13" spans="2:7" s="583" customFormat="1" ht="13.5">
      <c r="B13" s="605"/>
      <c r="C13" s="606" t="s">
        <v>321</v>
      </c>
      <c r="D13" s="607">
        <v>301792223</v>
      </c>
      <c r="E13" s="608"/>
      <c r="F13" s="609"/>
      <c r="G13" s="610"/>
    </row>
    <row r="14" spans="2:7" s="583" customFormat="1" ht="13.5">
      <c r="B14" s="605"/>
      <c r="C14" s="611" t="s">
        <v>324</v>
      </c>
      <c r="D14" s="612">
        <v>137792223</v>
      </c>
      <c r="E14" s="613">
        <f>D14</f>
        <v>137792223</v>
      </c>
      <c r="F14" s="609"/>
      <c r="G14" s="610"/>
    </row>
    <row r="15" spans="2:7" s="583" customFormat="1" ht="13.5">
      <c r="B15" s="605"/>
      <c r="C15" s="611" t="s">
        <v>325</v>
      </c>
      <c r="D15" s="612">
        <v>20000000</v>
      </c>
      <c r="E15" s="613">
        <f aca="true" t="shared" si="0" ref="E15:E20">D15</f>
        <v>20000000</v>
      </c>
      <c r="F15" s="609"/>
      <c r="G15" s="610"/>
    </row>
    <row r="16" spans="2:7" s="583" customFormat="1" ht="13.5">
      <c r="B16" s="605"/>
      <c r="C16" s="611" t="s">
        <v>326</v>
      </c>
      <c r="D16" s="612">
        <v>10000000</v>
      </c>
      <c r="E16" s="613">
        <f t="shared" si="0"/>
        <v>10000000</v>
      </c>
      <c r="F16" s="609"/>
      <c r="G16" s="610"/>
    </row>
    <row r="17" spans="2:7" s="583" customFormat="1" ht="13.5">
      <c r="B17" s="605"/>
      <c r="C17" s="611" t="s">
        <v>327</v>
      </c>
      <c r="D17" s="612">
        <v>42000000</v>
      </c>
      <c r="E17" s="613">
        <f t="shared" si="0"/>
        <v>42000000</v>
      </c>
      <c r="F17" s="609"/>
      <c r="G17" s="610"/>
    </row>
    <row r="18" spans="2:7" s="583" customFormat="1" ht="13.5">
      <c r="B18" s="605"/>
      <c r="C18" s="611" t="s">
        <v>328</v>
      </c>
      <c r="D18" s="612">
        <v>30000000</v>
      </c>
      <c r="E18" s="613">
        <f t="shared" si="0"/>
        <v>30000000</v>
      </c>
      <c r="F18" s="609"/>
      <c r="G18" s="610"/>
    </row>
    <row r="19" spans="2:7" s="583" customFormat="1" ht="13.5">
      <c r="B19" s="605"/>
      <c r="C19" s="611" t="s">
        <v>329</v>
      </c>
      <c r="D19" s="612">
        <v>19000000</v>
      </c>
      <c r="E19" s="613">
        <f t="shared" si="0"/>
        <v>19000000</v>
      </c>
      <c r="F19" s="609"/>
      <c r="G19" s="610"/>
    </row>
    <row r="20" spans="2:7" s="583" customFormat="1" ht="13.5">
      <c r="B20" s="605"/>
      <c r="C20" s="611" t="s">
        <v>330</v>
      </c>
      <c r="D20" s="612">
        <v>53000000</v>
      </c>
      <c r="E20" s="613">
        <f t="shared" si="0"/>
        <v>53000000</v>
      </c>
      <c r="F20" s="609"/>
      <c r="G20" s="610"/>
    </row>
    <row r="21" spans="2:7" ht="13.5">
      <c r="B21" s="614"/>
      <c r="C21" s="615" t="s">
        <v>322</v>
      </c>
      <c r="D21" s="596">
        <v>58351672</v>
      </c>
      <c r="E21" s="616"/>
      <c r="F21" s="617"/>
      <c r="G21" s="597"/>
    </row>
    <row r="22" spans="2:7" ht="13.5">
      <c r="B22" s="603"/>
      <c r="C22" s="601" t="s">
        <v>307</v>
      </c>
      <c r="D22" s="602">
        <v>58351672</v>
      </c>
      <c r="E22" s="618">
        <v>58351672</v>
      </c>
      <c r="F22" s="617"/>
      <c r="G22" s="597"/>
    </row>
    <row r="23" spans="2:7" ht="13.5">
      <c r="B23" s="603"/>
      <c r="C23" s="601"/>
      <c r="D23" s="602">
        <v>0</v>
      </c>
      <c r="E23" s="618"/>
      <c r="F23" s="617"/>
      <c r="G23" s="597"/>
    </row>
    <row r="24" spans="2:7" ht="13.5">
      <c r="B24" s="603"/>
      <c r="C24" s="595" t="s">
        <v>257</v>
      </c>
      <c r="D24" s="596">
        <v>303239931</v>
      </c>
      <c r="E24" s="597" t="s">
        <v>257</v>
      </c>
      <c r="F24" s="617"/>
      <c r="G24" s="597"/>
    </row>
    <row r="25" spans="2:7" s="297" customFormat="1" ht="13.5">
      <c r="B25" s="594"/>
      <c r="C25" s="595" t="s">
        <v>323</v>
      </c>
      <c r="D25" s="596">
        <v>303239931</v>
      </c>
      <c r="E25" s="597"/>
      <c r="F25" s="617"/>
      <c r="G25" s="597"/>
    </row>
    <row r="26" spans="2:7" ht="13.5">
      <c r="B26" s="603"/>
      <c r="C26" s="601" t="s">
        <v>252</v>
      </c>
      <c r="D26" s="602">
        <v>137893805</v>
      </c>
      <c r="E26" s="597">
        <v>137893805</v>
      </c>
      <c r="F26" s="617"/>
      <c r="G26" s="597"/>
    </row>
    <row r="27" spans="2:7" ht="13.5">
      <c r="B27" s="603"/>
      <c r="C27" s="601" t="s">
        <v>272</v>
      </c>
      <c r="D27" s="602">
        <v>25704136</v>
      </c>
      <c r="E27" s="619">
        <v>25704136</v>
      </c>
      <c r="F27" s="617"/>
      <c r="G27" s="597"/>
    </row>
    <row r="28" spans="2:7" ht="13.5">
      <c r="B28" s="603"/>
      <c r="C28" s="601" t="s">
        <v>258</v>
      </c>
      <c r="D28" s="602">
        <v>107616249</v>
      </c>
      <c r="E28" s="619">
        <v>107616249</v>
      </c>
      <c r="F28" s="617"/>
      <c r="G28" s="597"/>
    </row>
    <row r="29" spans="2:7" ht="13.5">
      <c r="B29" s="603"/>
      <c r="C29" s="601" t="s">
        <v>273</v>
      </c>
      <c r="D29" s="602">
        <v>32025741</v>
      </c>
      <c r="E29" s="619">
        <v>32025741</v>
      </c>
      <c r="F29" s="617"/>
      <c r="G29" s="597"/>
    </row>
    <row r="30" spans="2:7" ht="13.5">
      <c r="B30" s="603"/>
      <c r="C30" s="601"/>
      <c r="D30" s="602">
        <v>0</v>
      </c>
      <c r="E30" s="619"/>
      <c r="F30" s="617"/>
      <c r="G30" s="597"/>
    </row>
    <row r="31" spans="2:7" ht="13.5">
      <c r="B31" s="603"/>
      <c r="C31" s="601"/>
      <c r="D31" s="596">
        <v>43346555</v>
      </c>
      <c r="E31" s="597"/>
      <c r="F31" s="617"/>
      <c r="G31" s="597"/>
    </row>
    <row r="32" spans="2:7" s="297" customFormat="1" ht="13.5">
      <c r="B32" s="594"/>
      <c r="C32" s="595" t="s">
        <v>353</v>
      </c>
      <c r="D32" s="596">
        <v>43346555</v>
      </c>
      <c r="E32" s="597"/>
      <c r="F32" s="617"/>
      <c r="G32" s="597"/>
    </row>
    <row r="33" spans="2:7" s="297" customFormat="1" ht="13.5">
      <c r="B33" s="594"/>
      <c r="C33" s="289" t="s">
        <v>354</v>
      </c>
      <c r="D33" s="602">
        <v>7000000</v>
      </c>
      <c r="E33" s="597">
        <v>7000000</v>
      </c>
      <c r="F33" s="617"/>
      <c r="G33" s="597"/>
    </row>
    <row r="34" spans="2:7" s="297" customFormat="1" ht="13.5">
      <c r="B34" s="594"/>
      <c r="C34" s="289" t="s">
        <v>355</v>
      </c>
      <c r="D34" s="602">
        <v>7000000</v>
      </c>
      <c r="E34" s="597">
        <v>7000000</v>
      </c>
      <c r="F34" s="617"/>
      <c r="G34" s="597"/>
    </row>
    <row r="35" spans="2:7" s="297" customFormat="1" ht="13.5">
      <c r="B35" s="600"/>
      <c r="C35" s="611" t="s">
        <v>356</v>
      </c>
      <c r="D35" s="602">
        <v>24346555</v>
      </c>
      <c r="E35" s="619">
        <v>24346555</v>
      </c>
      <c r="F35" s="617"/>
      <c r="G35" s="597"/>
    </row>
    <row r="36" spans="2:7" ht="13.5">
      <c r="B36" s="603"/>
      <c r="C36" s="611" t="s">
        <v>352</v>
      </c>
      <c r="D36" s="602">
        <v>5000000</v>
      </c>
      <c r="E36" s="597">
        <v>5000000</v>
      </c>
      <c r="F36" s="617"/>
      <c r="G36" s="597"/>
    </row>
    <row r="37" spans="2:7" ht="13.5">
      <c r="B37" s="603"/>
      <c r="C37" s="611"/>
      <c r="D37" s="602">
        <v>0</v>
      </c>
      <c r="E37" s="597"/>
      <c r="F37" s="617"/>
      <c r="G37" s="597"/>
    </row>
    <row r="38" spans="2:7" ht="13.5">
      <c r="B38" s="620"/>
      <c r="C38" s="289"/>
      <c r="D38" s="621">
        <v>32509917</v>
      </c>
      <c r="E38" s="597"/>
      <c r="F38" s="617"/>
      <c r="G38" s="597"/>
    </row>
    <row r="39" spans="2:7" s="297" customFormat="1" ht="13.5">
      <c r="B39" s="594"/>
      <c r="C39" s="595" t="s">
        <v>359</v>
      </c>
      <c r="D39" s="622">
        <v>32509917</v>
      </c>
      <c r="E39" s="597"/>
      <c r="F39" s="617"/>
      <c r="G39" s="597"/>
    </row>
    <row r="40" spans="2:7" s="297" customFormat="1" ht="13.5" customHeight="1">
      <c r="B40" s="600"/>
      <c r="C40" s="611" t="s">
        <v>338</v>
      </c>
      <c r="D40" s="602">
        <v>0</v>
      </c>
      <c r="E40" s="597">
        <v>0</v>
      </c>
      <c r="F40" s="617"/>
      <c r="G40" s="597"/>
    </row>
    <row r="41" spans="2:7" s="297" customFormat="1" ht="13.5" customHeight="1">
      <c r="B41" s="600"/>
      <c r="C41" s="611" t="s">
        <v>357</v>
      </c>
      <c r="D41" s="602">
        <v>1000000</v>
      </c>
      <c r="E41" s="597">
        <v>1000000</v>
      </c>
      <c r="F41" s="617"/>
      <c r="G41" s="597"/>
    </row>
    <row r="42" spans="2:7" s="297" customFormat="1" ht="13.5" customHeight="1">
      <c r="B42" s="600"/>
      <c r="C42" s="611" t="s">
        <v>358</v>
      </c>
      <c r="D42" s="602">
        <v>31509917</v>
      </c>
      <c r="E42" s="597">
        <f>D42</f>
        <v>31509917</v>
      </c>
      <c r="F42" s="617"/>
      <c r="G42" s="597"/>
    </row>
    <row r="43" spans="2:7" ht="13.5">
      <c r="B43" s="620"/>
      <c r="C43" s="289"/>
      <c r="D43" s="623">
        <v>648806696</v>
      </c>
      <c r="E43" s="597"/>
      <c r="F43" s="617"/>
      <c r="G43" s="597"/>
    </row>
    <row r="44" spans="2:7" s="297" customFormat="1" ht="13.5">
      <c r="B44" s="594"/>
      <c r="C44" s="595" t="s">
        <v>259</v>
      </c>
      <c r="D44" s="596">
        <f>+D45+D49+D55+D59+D62+D67+D73+D77+D85+D89+D93+D97</f>
        <v>648806695.8537508</v>
      </c>
      <c r="E44" s="597"/>
      <c r="F44" s="617"/>
      <c r="G44" s="597"/>
    </row>
    <row r="45" spans="2:7" s="297" customFormat="1" ht="13.5">
      <c r="B45" s="600"/>
      <c r="C45" s="624" t="s">
        <v>313</v>
      </c>
      <c r="D45" s="625">
        <f>'INVERSION (2)'!D77</f>
        <v>48000000</v>
      </c>
      <c r="E45" s="619">
        <v>0</v>
      </c>
      <c r="F45" s="617"/>
      <c r="G45" s="597"/>
    </row>
    <row r="46" spans="2:7" s="297" customFormat="1" ht="13.5">
      <c r="B46" s="600"/>
      <c r="C46" s="611" t="s">
        <v>391</v>
      </c>
      <c r="D46" s="602">
        <v>26000000</v>
      </c>
      <c r="E46" s="619">
        <v>26000000</v>
      </c>
      <c r="F46" s="617"/>
      <c r="G46" s="597"/>
    </row>
    <row r="47" spans="2:7" s="297" customFormat="1" ht="13.5">
      <c r="B47" s="600"/>
      <c r="C47" s="611" t="s">
        <v>392</v>
      </c>
      <c r="D47" s="602">
        <v>12000000</v>
      </c>
      <c r="E47" s="619">
        <v>12000000</v>
      </c>
      <c r="F47" s="617"/>
      <c r="G47" s="597"/>
    </row>
    <row r="48" spans="2:7" s="297" customFormat="1" ht="13.5">
      <c r="B48" s="600"/>
      <c r="C48" s="611" t="s">
        <v>393</v>
      </c>
      <c r="D48" s="602">
        <v>10000000</v>
      </c>
      <c r="E48" s="619">
        <v>10000000</v>
      </c>
      <c r="F48" s="617"/>
      <c r="G48" s="597"/>
    </row>
    <row r="49" spans="2:7" s="297" customFormat="1" ht="13.5">
      <c r="B49" s="600"/>
      <c r="C49" s="624" t="s">
        <v>339</v>
      </c>
      <c r="D49" s="625">
        <f>'INVERSION (2)'!D81</f>
        <v>55000000</v>
      </c>
      <c r="E49" s="619"/>
      <c r="F49" s="617"/>
      <c r="G49" s="597"/>
    </row>
    <row r="50" spans="2:7" s="297" customFormat="1" ht="13.5">
      <c r="B50" s="600"/>
      <c r="C50" s="611" t="s">
        <v>341</v>
      </c>
      <c r="D50" s="602">
        <v>15000000</v>
      </c>
      <c r="E50" s="619">
        <f>'INVERSION (2)'!E82</f>
        <v>15000000</v>
      </c>
      <c r="F50" s="617"/>
      <c r="G50" s="597"/>
    </row>
    <row r="51" spans="2:7" s="297" customFormat="1" ht="13.5">
      <c r="B51" s="600"/>
      <c r="C51" s="611" t="s">
        <v>340</v>
      </c>
      <c r="D51" s="602">
        <v>20000000</v>
      </c>
      <c r="E51" s="619">
        <f>'INVERSION (2)'!E84</f>
        <v>20000000</v>
      </c>
      <c r="F51" s="617"/>
      <c r="G51" s="597"/>
    </row>
    <row r="52" spans="2:7" s="297" customFormat="1" ht="13.5">
      <c r="B52" s="600"/>
      <c r="C52" s="611" t="s">
        <v>342</v>
      </c>
      <c r="D52" s="602">
        <v>10000000</v>
      </c>
      <c r="E52" s="619">
        <f>'INVERSION (2)'!E86</f>
        <v>10000000</v>
      </c>
      <c r="F52" s="617"/>
      <c r="G52" s="597"/>
    </row>
    <row r="53" spans="2:7" s="297" customFormat="1" ht="13.5">
      <c r="B53" s="600"/>
      <c r="C53" s="601" t="s">
        <v>378</v>
      </c>
      <c r="D53" s="602">
        <v>10000000</v>
      </c>
      <c r="E53" s="619">
        <f>'INVERSION (2)'!E88</f>
        <v>10000000</v>
      </c>
      <c r="F53" s="617"/>
      <c r="G53" s="597"/>
    </row>
    <row r="54" spans="2:7" s="297" customFormat="1" ht="13.5">
      <c r="B54" s="600"/>
      <c r="C54" s="611"/>
      <c r="D54" s="602"/>
      <c r="E54" s="619"/>
      <c r="F54" s="617"/>
      <c r="G54" s="597"/>
    </row>
    <row r="55" spans="2:7" ht="13.5">
      <c r="B55" s="603"/>
      <c r="C55" s="626" t="s">
        <v>317</v>
      </c>
      <c r="D55" s="625">
        <v>98900000</v>
      </c>
      <c r="E55" s="619">
        <v>0</v>
      </c>
      <c r="F55" s="617"/>
      <c r="G55" s="597"/>
    </row>
    <row r="56" spans="2:7" ht="13.5">
      <c r="B56" s="603"/>
      <c r="C56" s="601" t="s">
        <v>371</v>
      </c>
      <c r="D56" s="602">
        <v>81900000</v>
      </c>
      <c r="E56" s="619">
        <f>D56</f>
        <v>81900000</v>
      </c>
      <c r="F56" s="617"/>
      <c r="G56" s="597"/>
    </row>
    <row r="57" spans="2:7" ht="13.5">
      <c r="B57" s="603"/>
      <c r="C57" s="601" t="s">
        <v>373</v>
      </c>
      <c r="D57" s="602">
        <v>10000000</v>
      </c>
      <c r="E57" s="619">
        <f>D57</f>
        <v>10000000</v>
      </c>
      <c r="F57" s="617"/>
      <c r="G57" s="597"/>
    </row>
    <row r="58" spans="2:7" ht="13.5">
      <c r="B58" s="603"/>
      <c r="C58" s="601" t="s">
        <v>378</v>
      </c>
      <c r="D58" s="602">
        <v>7000000</v>
      </c>
      <c r="E58" s="619">
        <f>D58</f>
        <v>7000000</v>
      </c>
      <c r="F58" s="617"/>
      <c r="G58" s="597"/>
    </row>
    <row r="59" spans="2:7" ht="13.5">
      <c r="B59" s="603"/>
      <c r="C59" s="626" t="s">
        <v>318</v>
      </c>
      <c r="D59" s="625">
        <f>+D60+D61</f>
        <v>109884380</v>
      </c>
      <c r="E59" s="619">
        <v>0</v>
      </c>
      <c r="F59" s="617"/>
      <c r="G59" s="597"/>
    </row>
    <row r="60" spans="2:7" ht="13.5">
      <c r="B60" s="603"/>
      <c r="C60" s="601" t="s">
        <v>376</v>
      </c>
      <c r="D60" s="602">
        <f>E60</f>
        <v>59884380</v>
      </c>
      <c r="E60" s="602">
        <f>'INVERSION (2)'!E98</f>
        <v>59884380</v>
      </c>
      <c r="F60" s="617"/>
      <c r="G60" s="597"/>
    </row>
    <row r="61" spans="2:7" ht="13.5">
      <c r="B61" s="603"/>
      <c r="C61" s="601" t="s">
        <v>378</v>
      </c>
      <c r="D61" s="602">
        <v>50000000</v>
      </c>
      <c r="E61" s="602">
        <f>'INVERSION (2)'!E100</f>
        <v>50000000</v>
      </c>
      <c r="F61" s="617"/>
      <c r="G61" s="597"/>
    </row>
    <row r="62" spans="2:7" ht="13.5">
      <c r="B62" s="603"/>
      <c r="C62" s="626" t="s">
        <v>319</v>
      </c>
      <c r="D62" s="625">
        <v>44000000</v>
      </c>
      <c r="E62" s="597">
        <v>0</v>
      </c>
      <c r="F62" s="617"/>
      <c r="G62" s="597"/>
    </row>
    <row r="63" spans="2:7" ht="13.5">
      <c r="B63" s="603"/>
      <c r="C63" s="601" t="s">
        <v>406</v>
      </c>
      <c r="D63" s="602">
        <v>12000000</v>
      </c>
      <c r="E63" s="597">
        <v>12000000</v>
      </c>
      <c r="F63" s="617"/>
      <c r="G63" s="597"/>
    </row>
    <row r="64" spans="2:7" ht="13.5">
      <c r="B64" s="603"/>
      <c r="C64" s="601" t="s">
        <v>407</v>
      </c>
      <c r="D64" s="602">
        <v>10000000</v>
      </c>
      <c r="E64" s="597">
        <v>10000000</v>
      </c>
      <c r="F64" s="617"/>
      <c r="G64" s="597"/>
    </row>
    <row r="65" spans="2:7" ht="13.5">
      <c r="B65" s="603"/>
      <c r="C65" s="601" t="s">
        <v>408</v>
      </c>
      <c r="D65" s="602">
        <v>12000000</v>
      </c>
      <c r="E65" s="597">
        <v>12000000</v>
      </c>
      <c r="F65" s="617"/>
      <c r="G65" s="597"/>
    </row>
    <row r="66" spans="2:7" ht="13.5">
      <c r="B66" s="603"/>
      <c r="C66" s="601" t="s">
        <v>379</v>
      </c>
      <c r="D66" s="602">
        <v>10000000</v>
      </c>
      <c r="E66" s="597">
        <v>10000000</v>
      </c>
      <c r="F66" s="617"/>
      <c r="G66" s="597"/>
    </row>
    <row r="67" spans="2:7" ht="13.5">
      <c r="B67" s="603"/>
      <c r="C67" s="627" t="s">
        <v>314</v>
      </c>
      <c r="D67" s="625">
        <v>47000000</v>
      </c>
      <c r="E67" s="628">
        <v>0</v>
      </c>
      <c r="F67" s="617"/>
      <c r="G67" s="597"/>
    </row>
    <row r="68" spans="2:7" ht="13.5">
      <c r="B68" s="603"/>
      <c r="C68" s="289" t="s">
        <v>366</v>
      </c>
      <c r="D68" s="602">
        <v>7000000</v>
      </c>
      <c r="E68" s="597">
        <v>7000000</v>
      </c>
      <c r="F68" s="617"/>
      <c r="G68" s="597"/>
    </row>
    <row r="69" spans="2:7" ht="13.5">
      <c r="B69" s="603"/>
      <c r="C69" s="289" t="s">
        <v>367</v>
      </c>
      <c r="D69" s="602">
        <v>7000000</v>
      </c>
      <c r="E69" s="597">
        <v>7000000</v>
      </c>
      <c r="F69" s="617"/>
      <c r="G69" s="597"/>
    </row>
    <row r="70" spans="2:7" ht="13.5">
      <c r="B70" s="603"/>
      <c r="C70" s="289" t="s">
        <v>368</v>
      </c>
      <c r="D70" s="602">
        <v>12000000</v>
      </c>
      <c r="E70" s="597">
        <v>12000000</v>
      </c>
      <c r="F70" s="617"/>
      <c r="G70" s="597"/>
    </row>
    <row r="71" spans="2:7" ht="13.5">
      <c r="B71" s="603"/>
      <c r="C71" s="289" t="s">
        <v>369</v>
      </c>
      <c r="D71" s="602">
        <v>9000000</v>
      </c>
      <c r="E71" s="597">
        <v>9000000</v>
      </c>
      <c r="F71" s="617"/>
      <c r="G71" s="597"/>
    </row>
    <row r="72" spans="2:7" ht="13.5">
      <c r="B72" s="603"/>
      <c r="C72" s="289" t="s">
        <v>370</v>
      </c>
      <c r="D72" s="602">
        <v>12000000</v>
      </c>
      <c r="E72" s="597">
        <v>12000000</v>
      </c>
      <c r="F72" s="617"/>
      <c r="G72" s="597"/>
    </row>
    <row r="73" spans="2:7" ht="13.5">
      <c r="B73" s="603"/>
      <c r="C73" s="627" t="s">
        <v>315</v>
      </c>
      <c r="D73" s="625">
        <v>10000000</v>
      </c>
      <c r="E73" s="629">
        <v>0</v>
      </c>
      <c r="F73" s="617"/>
      <c r="G73" s="597"/>
    </row>
    <row r="74" spans="2:7" ht="13.5">
      <c r="B74" s="603"/>
      <c r="C74" s="289" t="s">
        <v>383</v>
      </c>
      <c r="D74" s="602">
        <v>10000000</v>
      </c>
      <c r="E74" s="619">
        <f>D74</f>
        <v>10000000</v>
      </c>
      <c r="F74" s="617"/>
      <c r="G74" s="597"/>
    </row>
    <row r="75" spans="2:7" ht="13.5">
      <c r="B75" s="603"/>
      <c r="C75" s="289"/>
      <c r="D75" s="602">
        <v>0</v>
      </c>
      <c r="E75" s="619"/>
      <c r="F75" s="617"/>
      <c r="G75" s="597"/>
    </row>
    <row r="76" spans="2:7" ht="13.5">
      <c r="B76" s="603"/>
      <c r="C76" s="289"/>
      <c r="D76" s="602">
        <v>55425543</v>
      </c>
      <c r="E76" s="619"/>
      <c r="F76" s="617"/>
      <c r="G76" s="597"/>
    </row>
    <row r="77" spans="2:7" ht="13.5">
      <c r="B77" s="603"/>
      <c r="C77" s="627" t="s">
        <v>253</v>
      </c>
      <c r="D77" s="625">
        <v>55425543</v>
      </c>
      <c r="E77" s="619">
        <v>0</v>
      </c>
      <c r="F77" s="617"/>
      <c r="G77" s="597"/>
    </row>
    <row r="78" spans="2:7" ht="13.5">
      <c r="B78" s="603"/>
      <c r="C78" s="289" t="s">
        <v>382</v>
      </c>
      <c r="D78" s="602">
        <v>7000000</v>
      </c>
      <c r="E78" s="619">
        <v>7000000</v>
      </c>
      <c r="F78" s="617"/>
      <c r="G78" s="597"/>
    </row>
    <row r="79" spans="2:7" ht="13.5">
      <c r="B79" s="603"/>
      <c r="C79" s="289" t="s">
        <v>381</v>
      </c>
      <c r="D79" s="602">
        <v>5000000</v>
      </c>
      <c r="E79" s="619">
        <v>5000000</v>
      </c>
      <c r="F79" s="617"/>
      <c r="G79" s="597"/>
    </row>
    <row r="80" spans="2:7" ht="13.5">
      <c r="B80" s="603"/>
      <c r="C80" s="289" t="s">
        <v>380</v>
      </c>
      <c r="D80" s="602">
        <v>5000000</v>
      </c>
      <c r="E80" s="619">
        <v>5000000</v>
      </c>
      <c r="F80" s="617"/>
      <c r="G80" s="597"/>
    </row>
    <row r="81" spans="2:7" ht="13.5">
      <c r="B81" s="603"/>
      <c r="C81" s="289" t="s">
        <v>385</v>
      </c>
      <c r="D81" s="602">
        <v>18925543</v>
      </c>
      <c r="E81" s="619">
        <v>18925543</v>
      </c>
      <c r="F81" s="617"/>
      <c r="G81" s="597"/>
    </row>
    <row r="82" spans="2:7" ht="13.5">
      <c r="B82" s="603"/>
      <c r="C82" s="289" t="s">
        <v>386</v>
      </c>
      <c r="D82" s="602">
        <v>14000000</v>
      </c>
      <c r="E82" s="619">
        <v>14000000</v>
      </c>
      <c r="F82" s="617"/>
      <c r="G82" s="597"/>
    </row>
    <row r="83" spans="2:7" ht="13.5">
      <c r="B83" s="603"/>
      <c r="C83" s="289" t="s">
        <v>387</v>
      </c>
      <c r="D83" s="602">
        <v>2500000</v>
      </c>
      <c r="E83" s="619">
        <v>2500000</v>
      </c>
      <c r="F83" s="617"/>
      <c r="G83" s="597"/>
    </row>
    <row r="84" spans="2:7" ht="13.5">
      <c r="B84" s="603"/>
      <c r="C84" s="289" t="s">
        <v>388</v>
      </c>
      <c r="D84" s="602">
        <v>3000000</v>
      </c>
      <c r="E84" s="619">
        <v>3000000</v>
      </c>
      <c r="F84" s="617"/>
      <c r="G84" s="597"/>
    </row>
    <row r="85" spans="2:7" ht="13.5">
      <c r="B85" s="603"/>
      <c r="C85" s="627" t="s">
        <v>281</v>
      </c>
      <c r="D85" s="625">
        <v>31000000</v>
      </c>
      <c r="E85" s="630"/>
      <c r="F85" s="617"/>
      <c r="G85" s="597"/>
    </row>
    <row r="86" spans="2:7" ht="13.5">
      <c r="B86" s="603"/>
      <c r="C86" s="289" t="s">
        <v>394</v>
      </c>
      <c r="D86" s="602">
        <v>12000000</v>
      </c>
      <c r="E86" s="619">
        <v>12000000</v>
      </c>
      <c r="F86" s="617"/>
      <c r="G86" s="597"/>
    </row>
    <row r="87" spans="2:7" ht="13.5">
      <c r="B87" s="603"/>
      <c r="C87" s="289" t="s">
        <v>395</v>
      </c>
      <c r="D87" s="602">
        <v>7000000</v>
      </c>
      <c r="E87" s="619">
        <v>7000000</v>
      </c>
      <c r="F87" s="617"/>
      <c r="G87" s="597"/>
    </row>
    <row r="88" spans="2:7" ht="13.5">
      <c r="B88" s="603"/>
      <c r="C88" s="289" t="s">
        <v>396</v>
      </c>
      <c r="D88" s="602">
        <v>12000000</v>
      </c>
      <c r="E88" s="619">
        <v>12000000</v>
      </c>
      <c r="F88" s="617"/>
      <c r="G88" s="597"/>
    </row>
    <row r="89" spans="2:7" ht="13.5">
      <c r="B89" s="603"/>
      <c r="C89" s="627" t="s">
        <v>294</v>
      </c>
      <c r="D89" s="625">
        <v>25000000</v>
      </c>
      <c r="E89" s="630">
        <v>0</v>
      </c>
      <c r="F89" s="617"/>
      <c r="G89" s="597"/>
    </row>
    <row r="90" spans="2:7" ht="13.5">
      <c r="B90" s="603"/>
      <c r="C90" s="289" t="s">
        <v>389</v>
      </c>
      <c r="D90" s="602">
        <v>10000000</v>
      </c>
      <c r="E90" s="619">
        <v>10000000</v>
      </c>
      <c r="F90" s="617"/>
      <c r="G90" s="597"/>
    </row>
    <row r="91" spans="2:7" ht="13.5">
      <c r="B91" s="603"/>
      <c r="C91" s="289" t="s">
        <v>390</v>
      </c>
      <c r="D91" s="602">
        <v>10000000</v>
      </c>
      <c r="E91" s="619">
        <v>10000000</v>
      </c>
      <c r="F91" s="617"/>
      <c r="G91" s="597"/>
    </row>
    <row r="92" spans="2:7" ht="13.5">
      <c r="B92" s="603"/>
      <c r="C92" s="601" t="s">
        <v>375</v>
      </c>
      <c r="D92" s="602">
        <v>5000000</v>
      </c>
      <c r="E92" s="619">
        <v>5000000</v>
      </c>
      <c r="F92" s="617"/>
      <c r="G92" s="597"/>
    </row>
    <row r="93" spans="2:7" ht="13.5">
      <c r="B93" s="603"/>
      <c r="C93" s="626" t="s">
        <v>412</v>
      </c>
      <c r="D93" s="625">
        <v>4557810</v>
      </c>
      <c r="E93" s="629"/>
      <c r="F93" s="617"/>
      <c r="G93" s="597"/>
    </row>
    <row r="94" spans="2:7" ht="13.5">
      <c r="B94" s="603"/>
      <c r="C94" s="601" t="s">
        <v>409</v>
      </c>
      <c r="D94" s="602">
        <v>2000000</v>
      </c>
      <c r="E94" s="619">
        <v>2000000</v>
      </c>
      <c r="F94" s="617"/>
      <c r="G94" s="597"/>
    </row>
    <row r="95" spans="2:7" ht="13.5">
      <c r="B95" s="603"/>
      <c r="C95" s="601" t="s">
        <v>410</v>
      </c>
      <c r="D95" s="602">
        <v>1000000</v>
      </c>
      <c r="E95" s="619">
        <v>1000000</v>
      </c>
      <c r="F95" s="617"/>
      <c r="G95" s="597"/>
    </row>
    <row r="96" spans="2:7" ht="13.5">
      <c r="B96" s="603"/>
      <c r="C96" s="289" t="s">
        <v>411</v>
      </c>
      <c r="D96" s="602">
        <v>1557810</v>
      </c>
      <c r="E96" s="631">
        <v>1557810</v>
      </c>
      <c r="F96" s="617"/>
      <c r="G96" s="597"/>
    </row>
    <row r="97" spans="2:7" ht="13.5">
      <c r="B97" s="603"/>
      <c r="C97" s="627" t="s">
        <v>316</v>
      </c>
      <c r="D97" s="625">
        <v>120038962.8537508</v>
      </c>
      <c r="E97" s="631"/>
      <c r="F97" s="617"/>
      <c r="G97" s="597"/>
    </row>
    <row r="98" spans="2:7" ht="13.5">
      <c r="B98" s="603"/>
      <c r="C98" s="289" t="s">
        <v>434</v>
      </c>
      <c r="D98" s="602">
        <v>85038962.8537508</v>
      </c>
      <c r="E98" s="631">
        <v>85038962.8537508</v>
      </c>
      <c r="F98" s="617"/>
      <c r="G98" s="597"/>
    </row>
    <row r="99" spans="2:7" ht="13.5">
      <c r="B99" s="603"/>
      <c r="C99" s="289" t="s">
        <v>433</v>
      </c>
      <c r="D99" s="602">
        <v>35000000</v>
      </c>
      <c r="E99" s="631">
        <v>35000000</v>
      </c>
      <c r="F99" s="617"/>
      <c r="G99" s="597"/>
    </row>
    <row r="100" spans="2:7" ht="14.25" thickBot="1">
      <c r="B100" s="632"/>
      <c r="C100" s="633"/>
      <c r="D100" s="634"/>
      <c r="E100" s="634"/>
      <c r="F100" s="635"/>
      <c r="G100" s="636"/>
    </row>
    <row r="101" spans="2:12" ht="13.5">
      <c r="B101" s="637"/>
      <c r="C101" s="309"/>
      <c r="D101" s="638">
        <f>+D7+D13+D21+D25+D32+D39+D44</f>
        <v>2654400059.8537507</v>
      </c>
      <c r="E101" s="639"/>
      <c r="F101" s="640"/>
      <c r="G101" s="640"/>
      <c r="H101" s="309"/>
      <c r="I101" s="309"/>
      <c r="J101" s="309"/>
      <c r="K101" s="309"/>
      <c r="L101" s="309"/>
    </row>
    <row r="102" spans="2:12" ht="13.5">
      <c r="B102" s="637"/>
      <c r="C102" s="309"/>
      <c r="D102" s="638">
        <f>D111</f>
        <v>261415453</v>
      </c>
      <c r="E102" s="639"/>
      <c r="F102" s="640"/>
      <c r="G102" s="640"/>
      <c r="H102" s="309"/>
      <c r="I102" s="309"/>
      <c r="J102" s="309"/>
      <c r="K102" s="309"/>
      <c r="L102" s="309"/>
    </row>
    <row r="103" spans="2:12" ht="13.5">
      <c r="B103" s="637" t="s">
        <v>275</v>
      </c>
      <c r="C103" s="309"/>
      <c r="D103" s="638">
        <f>+D101+D102</f>
        <v>2915815512.8537507</v>
      </c>
      <c r="E103" s="639"/>
      <c r="F103" s="640"/>
      <c r="G103" s="640"/>
      <c r="H103" s="309"/>
      <c r="I103" s="309"/>
      <c r="J103" s="309"/>
      <c r="K103" s="309"/>
      <c r="L103" s="309"/>
    </row>
    <row r="104" spans="2:12" ht="13.5">
      <c r="B104" s="566"/>
      <c r="C104" s="641"/>
      <c r="D104" s="642" t="s">
        <v>232</v>
      </c>
      <c r="E104" s="640"/>
      <c r="F104" s="571"/>
      <c r="G104" s="571"/>
      <c r="H104" s="309"/>
      <c r="I104" s="309"/>
      <c r="J104" s="309"/>
      <c r="K104" s="309"/>
      <c r="L104" s="309"/>
    </row>
    <row r="105" spans="2:12" ht="13.5">
      <c r="B105" s="566"/>
      <c r="C105" s="643"/>
      <c r="D105" s="642" t="s">
        <v>233</v>
      </c>
      <c r="E105" s="640"/>
      <c r="F105" s="571"/>
      <c r="G105" s="571"/>
      <c r="H105" s="309"/>
      <c r="I105" s="309"/>
      <c r="J105" s="309"/>
      <c r="K105" s="309"/>
      <c r="L105" s="309"/>
    </row>
    <row r="106" spans="2:12" ht="13.5">
      <c r="B106" s="573"/>
      <c r="C106" s="312"/>
      <c r="D106" s="574"/>
      <c r="E106" s="575"/>
      <c r="F106" s="576"/>
      <c r="G106" s="576"/>
      <c r="H106" s="309"/>
      <c r="I106" s="309"/>
      <c r="J106" s="309"/>
      <c r="K106" s="309"/>
      <c r="L106" s="309"/>
    </row>
    <row r="107" spans="2:12" ht="13.5">
      <c r="B107" s="577" t="s">
        <v>234</v>
      </c>
      <c r="C107" s="578" t="s">
        <v>1</v>
      </c>
      <c r="D107" s="579" t="s">
        <v>235</v>
      </c>
      <c r="E107" s="580"/>
      <c r="F107" s="581" t="s">
        <v>236</v>
      </c>
      <c r="G107" s="582"/>
      <c r="H107" s="309"/>
      <c r="I107" s="309"/>
      <c r="J107" s="309"/>
      <c r="K107" s="309"/>
      <c r="L107" s="309"/>
    </row>
    <row r="108" spans="2:12" ht="13.5">
      <c r="B108" s="584"/>
      <c r="C108" s="644"/>
      <c r="D108" s="645" t="s">
        <v>237</v>
      </c>
      <c r="E108" s="588" t="s">
        <v>250</v>
      </c>
      <c r="F108" s="588" t="s">
        <v>238</v>
      </c>
      <c r="G108" s="588" t="s">
        <v>239</v>
      </c>
      <c r="H108" s="309"/>
      <c r="I108" s="309"/>
      <c r="J108" s="309"/>
      <c r="K108" s="309"/>
      <c r="L108" s="309"/>
    </row>
    <row r="109" spans="2:12" ht="13.5">
      <c r="B109" s="646"/>
      <c r="C109" s="590"/>
      <c r="D109" s="591">
        <f>D111-D110</f>
        <v>0</v>
      </c>
      <c r="E109" s="592"/>
      <c r="F109" s="592"/>
      <c r="G109" s="592"/>
      <c r="H109" s="309"/>
      <c r="I109" s="309"/>
      <c r="J109" s="309"/>
      <c r="K109" s="309"/>
      <c r="L109" s="309"/>
    </row>
    <row r="110" spans="2:12" ht="13.5">
      <c r="B110" s="637"/>
      <c r="C110" s="309"/>
      <c r="D110" s="639">
        <v>261415453</v>
      </c>
      <c r="E110" s="639"/>
      <c r="F110" s="640"/>
      <c r="G110" s="640"/>
      <c r="H110" s="309"/>
      <c r="I110" s="309"/>
      <c r="J110" s="309"/>
      <c r="K110" s="309"/>
      <c r="L110" s="309"/>
    </row>
    <row r="111" spans="2:11" s="297" customFormat="1" ht="13.5">
      <c r="B111" s="647"/>
      <c r="C111" s="648" t="s">
        <v>241</v>
      </c>
      <c r="D111" s="649">
        <f>+D112+D113+D114+D115+D116+D117+D118+D119+D120+D121</f>
        <v>261415453</v>
      </c>
      <c r="E111" s="650"/>
      <c r="F111" s="651"/>
      <c r="G111" s="651"/>
      <c r="H111" s="327"/>
      <c r="I111" s="327"/>
      <c r="J111" s="652">
        <v>1307077265</v>
      </c>
      <c r="K111" s="653">
        <v>1</v>
      </c>
    </row>
    <row r="112" spans="2:11" s="297" customFormat="1" ht="13.5">
      <c r="B112" s="594"/>
      <c r="C112" s="320" t="s">
        <v>415</v>
      </c>
      <c r="D112" s="654">
        <f aca="true" t="shared" si="1" ref="D112:D120">+E112+F112+G112</f>
        <v>5000000</v>
      </c>
      <c r="E112" s="640"/>
      <c r="F112" s="597">
        <v>5000000</v>
      </c>
      <c r="G112" s="655"/>
      <c r="J112" s="656">
        <v>1045661812</v>
      </c>
      <c r="K112" s="653">
        <v>0.8</v>
      </c>
    </row>
    <row r="113" spans="2:11" s="297" customFormat="1" ht="13.5">
      <c r="B113" s="620"/>
      <c r="C113" s="289" t="s">
        <v>281</v>
      </c>
      <c r="D113" s="654">
        <f t="shared" si="1"/>
        <v>2000000</v>
      </c>
      <c r="E113" s="640"/>
      <c r="F113" s="597">
        <v>2000000</v>
      </c>
      <c r="G113" s="597"/>
      <c r="J113" s="656">
        <v>261415453</v>
      </c>
      <c r="K113" s="653">
        <v>0.2</v>
      </c>
    </row>
    <row r="114" spans="2:7" s="297" customFormat="1" ht="13.5">
      <c r="B114" s="620"/>
      <c r="C114" s="601" t="s">
        <v>294</v>
      </c>
      <c r="D114" s="654">
        <v>17920047</v>
      </c>
      <c r="E114" s="640"/>
      <c r="F114" s="597">
        <v>2000000</v>
      </c>
      <c r="G114" s="306"/>
    </row>
    <row r="115" spans="2:7" s="297" customFormat="1" ht="13.5">
      <c r="B115" s="620"/>
      <c r="C115" s="289" t="s">
        <v>413</v>
      </c>
      <c r="D115" s="654">
        <f t="shared" si="1"/>
        <v>2000000</v>
      </c>
      <c r="E115" s="640"/>
      <c r="F115" s="597">
        <v>2000000</v>
      </c>
      <c r="G115" s="597">
        <v>0</v>
      </c>
    </row>
    <row r="116" spans="2:14" s="297" customFormat="1" ht="13.5">
      <c r="B116" s="620"/>
      <c r="C116" s="289" t="s">
        <v>318</v>
      </c>
      <c r="D116" s="654">
        <f t="shared" si="1"/>
        <v>85000000</v>
      </c>
      <c r="E116" s="640"/>
      <c r="F116" s="597">
        <v>85000000</v>
      </c>
      <c r="G116" s="597"/>
      <c r="J116" s="297" t="s">
        <v>420</v>
      </c>
      <c r="M116" s="297" t="s">
        <v>418</v>
      </c>
      <c r="N116" s="656">
        <v>9803079</v>
      </c>
    </row>
    <row r="117" spans="2:14" s="297" customFormat="1" ht="13.5">
      <c r="B117" s="620"/>
      <c r="C117" s="289" t="s">
        <v>416</v>
      </c>
      <c r="D117" s="654">
        <f t="shared" si="1"/>
        <v>13070772</v>
      </c>
      <c r="E117" s="640"/>
      <c r="F117" s="597">
        <v>0</v>
      </c>
      <c r="G117" s="597">
        <f>N120</f>
        <v>13070772</v>
      </c>
      <c r="J117" s="297" t="s">
        <v>417</v>
      </c>
      <c r="M117" s="297" t="s">
        <v>419</v>
      </c>
      <c r="N117" s="656">
        <v>3267693</v>
      </c>
    </row>
    <row r="118" spans="2:14" s="297" customFormat="1" ht="13.5">
      <c r="B118" s="620"/>
      <c r="C118" s="289" t="s">
        <v>274</v>
      </c>
      <c r="D118" s="654">
        <f t="shared" si="1"/>
        <v>26141544</v>
      </c>
      <c r="E118" s="640"/>
      <c r="F118" s="597"/>
      <c r="G118" s="597">
        <f>+N116+N117+N118</f>
        <v>26141544</v>
      </c>
      <c r="J118" s="297" t="s">
        <v>421</v>
      </c>
      <c r="M118" s="297">
        <v>1</v>
      </c>
      <c r="N118" s="656">
        <v>13070772</v>
      </c>
    </row>
    <row r="119" spans="2:14" ht="13.5">
      <c r="B119" s="620"/>
      <c r="C119" s="289" t="s">
        <v>260</v>
      </c>
      <c r="D119" s="654">
        <f t="shared" si="1"/>
        <v>10000000</v>
      </c>
      <c r="E119" s="640"/>
      <c r="F119" s="597">
        <v>10000000</v>
      </c>
      <c r="G119" s="597"/>
      <c r="J119" s="307" t="s">
        <v>438</v>
      </c>
      <c r="M119" s="307">
        <v>4</v>
      </c>
      <c r="N119" s="657">
        <v>52283090</v>
      </c>
    </row>
    <row r="120" spans="2:14" ht="13.5">
      <c r="B120" s="620"/>
      <c r="C120" s="289" t="s">
        <v>295</v>
      </c>
      <c r="D120" s="654">
        <f t="shared" si="1"/>
        <v>48000000</v>
      </c>
      <c r="E120" s="640"/>
      <c r="F120" s="597">
        <v>0</v>
      </c>
      <c r="G120" s="597">
        <v>48000000</v>
      </c>
      <c r="J120" s="307" t="s">
        <v>435</v>
      </c>
      <c r="M120" s="307">
        <v>1</v>
      </c>
      <c r="N120" s="658">
        <v>13070772</v>
      </c>
    </row>
    <row r="121" spans="2:7" ht="13.5">
      <c r="B121" s="620"/>
      <c r="C121" s="633" t="s">
        <v>282</v>
      </c>
      <c r="D121" s="654">
        <f>+E121+F121+G121</f>
        <v>52283090</v>
      </c>
      <c r="E121" s="640"/>
      <c r="F121" s="597"/>
      <c r="G121" s="659">
        <f>N119</f>
        <v>52283090</v>
      </c>
    </row>
    <row r="122" spans="2:7" s="297" customFormat="1" ht="12.75">
      <c r="B122" s="660"/>
      <c r="C122" s="661" t="s">
        <v>242</v>
      </c>
      <c r="D122" s="662">
        <v>2834817448.85375</v>
      </c>
      <c r="E122" s="663">
        <v>2730284439.8537507</v>
      </c>
      <c r="F122" s="663">
        <v>106000000</v>
      </c>
      <c r="G122" s="664">
        <v>132769061</v>
      </c>
    </row>
    <row r="123" spans="2:7" s="667" customFormat="1" ht="13.5">
      <c r="B123" s="665" t="s">
        <v>243</v>
      </c>
      <c r="C123" s="666" t="s">
        <v>244</v>
      </c>
      <c r="D123" s="666"/>
      <c r="E123" s="640"/>
      <c r="F123" s="640"/>
      <c r="G123" s="640"/>
    </row>
    <row r="124" spans="2:7" s="667" customFormat="1" ht="13.5">
      <c r="B124" s="665" t="s">
        <v>245</v>
      </c>
      <c r="C124" s="666" t="s">
        <v>246</v>
      </c>
      <c r="D124" s="666"/>
      <c r="E124" s="640"/>
      <c r="F124" s="640"/>
      <c r="G124" s="640"/>
    </row>
    <row r="125" spans="2:7" s="667" customFormat="1" ht="13.5">
      <c r="B125" s="665" t="s">
        <v>247</v>
      </c>
      <c r="C125" s="666" t="s">
        <v>248</v>
      </c>
      <c r="D125" s="666"/>
      <c r="E125" s="640"/>
      <c r="F125" s="640"/>
      <c r="G125" s="640"/>
    </row>
    <row r="128" ht="13.5">
      <c r="C128" s="457" t="s">
        <v>308</v>
      </c>
    </row>
    <row r="129" ht="13.5">
      <c r="C129" s="457" t="s">
        <v>309</v>
      </c>
    </row>
  </sheetData>
  <sheetProtection/>
  <printOptions/>
  <pageMargins left="1.5748031496062993" right="0.7874015748031497" top="1.1023622047244095" bottom="0.3937007874015748" header="0" footer="0"/>
  <pageSetup horizontalDpi="120" verticalDpi="120" orientation="landscape" scale="80" r:id="rId1"/>
  <headerFooter alignWithMargins="0">
    <oddHeader>&amp;CRepublica de colombia
ALCALDIA DE PUERTO CARREÑO
Presupuesto 2009</oddHeader>
    <oddFooter>&amp;CTrabajando con la Gente!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2009-01-09T19:45:21Z</cp:lastPrinted>
  <dcterms:created xsi:type="dcterms:W3CDTF">2003-10-16T15:11:17Z</dcterms:created>
  <dcterms:modified xsi:type="dcterms:W3CDTF">2009-01-13T14:21:38Z</dcterms:modified>
  <cp:category/>
  <cp:version/>
  <cp:contentType/>
  <cp:contentStatus/>
</cp:coreProperties>
</file>