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720" windowHeight="6555" firstSheet="3" activeTab="4"/>
  </bookViews>
  <sheets>
    <sheet name="INGRESOS04 (4)" sheetId="1" r:id="rId1"/>
    <sheet name="INGRESOS04 (3)" sheetId="2" r:id="rId2"/>
    <sheet name="INGRESOS04 (2)" sheetId="3" r:id="rId3"/>
    <sheet name="ANALISIS INGRESOS" sheetId="4" r:id="rId4"/>
    <sheet name="INGRESOS04" sheetId="5" r:id="rId5"/>
    <sheet name="PROYENOMINA" sheetId="6" r:id="rId6"/>
    <sheet name="SIDEF" sheetId="7" r:id="rId7"/>
    <sheet name="ALCALDIA" sheetId="8" r:id="rId8"/>
    <sheet name="PERSONERIA" sheetId="9" r:id="rId9"/>
    <sheet name="CONCEJO" sheetId="10" r:id="rId10"/>
    <sheet name="Hoja1" sheetId="11" r:id="rId11"/>
    <sheet name="NominC" sheetId="12" r:id="rId12"/>
    <sheet name="INVERSION" sheetId="13" r:id="rId13"/>
  </sheets>
  <definedNames/>
  <calcPr fullCalcOnLoad="1"/>
</workbook>
</file>

<file path=xl/sharedStrings.xml><?xml version="1.0" encoding="utf-8"?>
<sst xmlns="http://schemas.openxmlformats.org/spreadsheetml/2006/main" count="1857" uniqueCount="332">
  <si>
    <t>Cod</t>
  </si>
  <si>
    <t>CONCEPTO</t>
  </si>
  <si>
    <t>Año</t>
  </si>
  <si>
    <t>Variacion</t>
  </si>
  <si>
    <t>Tasa Crecimiento</t>
  </si>
  <si>
    <t>Valor estimado</t>
  </si>
  <si>
    <t>Valor recaudado</t>
  </si>
  <si>
    <t xml:space="preserve">Valor estimado </t>
  </si>
  <si>
    <t>% de</t>
  </si>
  <si>
    <t>Tasa Crecim</t>
  </si>
  <si>
    <t>Ingresos dest.</t>
  </si>
  <si>
    <t xml:space="preserve">Ingresos </t>
  </si>
  <si>
    <t>Ingresos  corr.</t>
  </si>
  <si>
    <t>Aritmetico</t>
  </si>
  <si>
    <t>Recaudo</t>
  </si>
  <si>
    <t>Marginal 3</t>
  </si>
  <si>
    <t>Aritm Prom</t>
  </si>
  <si>
    <t>específica</t>
  </si>
  <si>
    <t>no corrientes</t>
  </si>
  <si>
    <t>libre destinación</t>
  </si>
  <si>
    <t>INGRESOS CORRIENTES</t>
  </si>
  <si>
    <t>INGRESOS TRIBUTARIOS</t>
  </si>
  <si>
    <t>1.1.1</t>
  </si>
  <si>
    <t>IMPUESTOS DIRECTOS</t>
  </si>
  <si>
    <t>Predial Unificado</t>
  </si>
  <si>
    <t>Sobretasa Medio Ambiente</t>
  </si>
  <si>
    <t>Impuestos sobre vehículos automotores</t>
  </si>
  <si>
    <t>Circulacion y Transito</t>
  </si>
  <si>
    <t>1.1.2</t>
  </si>
  <si>
    <t>IMPUESTOS INDIRECTOS</t>
  </si>
  <si>
    <t>Industria y Comercio</t>
  </si>
  <si>
    <t>Avisos y Tableros</t>
  </si>
  <si>
    <t>Sobretasa Ley 322/96</t>
  </si>
  <si>
    <t>Sobretasa a la gasolina motor extra y corriente</t>
  </si>
  <si>
    <t>Rifas</t>
  </si>
  <si>
    <t>Venta por el Sistema de Clubes</t>
  </si>
  <si>
    <t>Juegos Permitidos</t>
  </si>
  <si>
    <t>Espectáculos Públicos</t>
  </si>
  <si>
    <t>Delineación Urbana o paramentos</t>
  </si>
  <si>
    <t>Extracción de Materiales</t>
  </si>
  <si>
    <t>Ocupación de vías, Plazas y Lugares Públicos</t>
  </si>
  <si>
    <t>Registro de Patentes, Marcas y Herretes</t>
  </si>
  <si>
    <t>Deguello de Ganado Mayor</t>
  </si>
  <si>
    <t>Deguello de Ganado Menor</t>
  </si>
  <si>
    <t>Publicidad Exterior Visual y Auditiva</t>
  </si>
  <si>
    <t>Impuesto sobre apuestas mutuas</t>
  </si>
  <si>
    <t>Participación en la plusvalía</t>
  </si>
  <si>
    <t>Pesas y Medidas</t>
  </si>
  <si>
    <t>INGRESOS NO TRIBUTARIOS</t>
  </si>
  <si>
    <t>1.2.1</t>
  </si>
  <si>
    <t>TASAS</t>
  </si>
  <si>
    <t>Plaza de Mercado</t>
  </si>
  <si>
    <t>Matadero Público</t>
  </si>
  <si>
    <t>Placas de Nomenclatura</t>
  </si>
  <si>
    <t xml:space="preserve">Formularios </t>
  </si>
  <si>
    <t>Cementerio</t>
  </si>
  <si>
    <t>Servicio de coso municipal</t>
  </si>
  <si>
    <t>Derechos de Publicación Gaceta Municipal</t>
  </si>
  <si>
    <t>Guías de Movilización</t>
  </si>
  <si>
    <t>Derecho de operación de rifas</t>
  </si>
  <si>
    <t>Aprobación de planos y construcciones</t>
  </si>
  <si>
    <t>Otras Tasas y Servicios</t>
  </si>
  <si>
    <t>Estampilla Procultura</t>
  </si>
  <si>
    <t>1.2.2</t>
  </si>
  <si>
    <t>MULTAS</t>
  </si>
  <si>
    <t>Multas de Gobierno</t>
  </si>
  <si>
    <t>Multas de tránsito</t>
  </si>
  <si>
    <t>1.2.3</t>
  </si>
  <si>
    <t>PARTICIPACIONES Y APORTES</t>
  </si>
  <si>
    <t>Sistema General Participacion -Educacion</t>
  </si>
  <si>
    <t>Sistema General Participacion -Libre Destinacion</t>
  </si>
  <si>
    <t xml:space="preserve">Sistema General Participacion -Salud </t>
  </si>
  <si>
    <t>Sistema General Participacion- Proposito General</t>
  </si>
  <si>
    <t>Sistema General Participacion-Restaurante Escolar</t>
  </si>
  <si>
    <t>FONDOS ESPECIALES</t>
  </si>
  <si>
    <t>Tasas y derechos servicio de aseo y limpieza de Calles</t>
  </si>
  <si>
    <t>RECURSOS DE CAPITAL</t>
  </si>
  <si>
    <t>Otros recursos de capital</t>
  </si>
  <si>
    <t>Venta de activos fijos</t>
  </si>
  <si>
    <t>Arrendamiento de bienes muebles e inmuebles</t>
  </si>
  <si>
    <t>Rendimientos financieros libre destinación</t>
  </si>
  <si>
    <t>TOTALES</t>
  </si>
  <si>
    <r>
      <t xml:space="preserve">NOTA: </t>
    </r>
    <r>
      <rPr>
        <sz val="10"/>
        <rFont val="Times New Roman"/>
        <family val="1"/>
      </rPr>
      <t xml:space="preserve"> Los montos especificados como recuado solo incluyen los correspondientes al año 2000, es decir no se tiene en cuenta los valores</t>
    </r>
  </si>
  <si>
    <t xml:space="preserve">            que fueron recaudados en vigencias anteriores y cuyo monto se adicionó en el presente año fiscal para hacer posible su ejecución.</t>
  </si>
  <si>
    <t>Tasa</t>
  </si>
  <si>
    <t>Expectiva</t>
  </si>
  <si>
    <t>Reintegros</t>
  </si>
  <si>
    <t>MONTOS MÁXIMOS CONFORME A LA LEY 617 DE 2000 -AJUSTE FISCAL-</t>
  </si>
  <si>
    <t>TOTAL MONTO MÁXIMO FUNCIONAMIENTO CONCEJO</t>
  </si>
  <si>
    <t>MONTO MÁXIMO FUNCIONAMIENTO PERSONERÍA 150 SMLM</t>
  </si>
  <si>
    <t>MONTO INVERSIÓN INGRESOS NO CORRIENTES (RECURSOS DE CAPITAL)</t>
  </si>
  <si>
    <t>MONTO INVERSIÓN SEGURIDAD Y SEÑALIZACIÓN VIAL</t>
  </si>
  <si>
    <t>TOTAL PRESUPUESTO MÍNIMO INVERSIÓN MUNICIPIO</t>
  </si>
  <si>
    <t>MONTO  DISPONIBLE PARA GASTOS DE PERSONAL Y GENERALES FUNCIONAMIENTO ALCALDÍA</t>
  </si>
  <si>
    <t>NUM</t>
  </si>
  <si>
    <t>DENOMINACION</t>
  </si>
  <si>
    <t>GRADO</t>
  </si>
  <si>
    <t>ASIGNACIÓN</t>
  </si>
  <si>
    <t>AUMENTO</t>
  </si>
  <si>
    <t>ASIG. BÁSICA</t>
  </si>
  <si>
    <t>SUELDO</t>
  </si>
  <si>
    <t>PRIMAS NO</t>
  </si>
  <si>
    <t>SUB. ALIM</t>
  </si>
  <si>
    <t>AUX. TRANS.</t>
  </si>
  <si>
    <t>BONIFC</t>
  </si>
  <si>
    <t xml:space="preserve">PRIMA </t>
  </si>
  <si>
    <t>PRIMA DE</t>
  </si>
  <si>
    <t>PRIMA</t>
  </si>
  <si>
    <t>BON ESP</t>
  </si>
  <si>
    <t>FACTORES</t>
  </si>
  <si>
    <t>TOTAL</t>
  </si>
  <si>
    <t>8.33%</t>
  </si>
  <si>
    <t>SUB</t>
  </si>
  <si>
    <t>ICBF</t>
  </si>
  <si>
    <t>SENA</t>
  </si>
  <si>
    <t>ESAP</t>
  </si>
  <si>
    <t>ESCUELAS</t>
  </si>
  <si>
    <t>PENSION</t>
  </si>
  <si>
    <t>SALUD</t>
  </si>
  <si>
    <t>RIESGOS</t>
  </si>
  <si>
    <t>CARGOS</t>
  </si>
  <si>
    <t>SAL.</t>
  </si>
  <si>
    <t>BÁSICA/2000</t>
  </si>
  <si>
    <t>ANUAL</t>
  </si>
  <si>
    <t xml:space="preserve"> FACT SAL</t>
  </si>
  <si>
    <t xml:space="preserve">X SERV </t>
  </si>
  <si>
    <t>SERVICI</t>
  </si>
  <si>
    <t>VACACION</t>
  </si>
  <si>
    <t>NAVIDAD</t>
  </si>
  <si>
    <t>RECREAC</t>
  </si>
  <si>
    <t>DEVENGADO</t>
  </si>
  <si>
    <t>CESANTIAS</t>
  </si>
  <si>
    <t>FAMILIAR</t>
  </si>
  <si>
    <t>3%</t>
  </si>
  <si>
    <t>0,5%</t>
  </si>
  <si>
    <t>0.5%</t>
  </si>
  <si>
    <t>INDS.</t>
  </si>
  <si>
    <t>PROFESI</t>
  </si>
  <si>
    <t>CARGO</t>
  </si>
  <si>
    <t>Alcalde</t>
  </si>
  <si>
    <t>Secretario de Despacho</t>
  </si>
  <si>
    <t>Profesional Universitario</t>
  </si>
  <si>
    <t>Inspector de Policía Urbano</t>
  </si>
  <si>
    <t>Tesorero</t>
  </si>
  <si>
    <t>Jefe de Sección</t>
  </si>
  <si>
    <t>Almacenista</t>
  </si>
  <si>
    <t>Secretario Ejecutivo del D. A.</t>
  </si>
  <si>
    <t>Auxiliar administrativo</t>
  </si>
  <si>
    <t>Inspector de Policía Rural</t>
  </si>
  <si>
    <t>Auxiliar de Servicios Generales</t>
  </si>
  <si>
    <t>Operario</t>
  </si>
  <si>
    <t xml:space="preserve">Conductor Mecánico </t>
  </si>
  <si>
    <t>Sin</t>
  </si>
  <si>
    <t>TOTAL ALCALDÍA</t>
  </si>
  <si>
    <t>HONORA</t>
  </si>
  <si>
    <t>SALARIAL</t>
  </si>
  <si>
    <t>BÁSICA/2001</t>
  </si>
  <si>
    <t>FACTOR SAL</t>
  </si>
  <si>
    <t>Personero</t>
  </si>
  <si>
    <t>TOTAL PERSONERÍA</t>
  </si>
  <si>
    <t>Concejal</t>
  </si>
  <si>
    <t>TOTAL CONCEJO</t>
  </si>
  <si>
    <t>Director</t>
  </si>
  <si>
    <t>TOTAL UMATA</t>
  </si>
  <si>
    <t>MONTO INVERSIÓN SGP FORZOSA INVERSIÓN</t>
  </si>
  <si>
    <t xml:space="preserve">                          SECCIÓN PRESUPUESTAL 02 - ALCALDÍA-</t>
  </si>
  <si>
    <t xml:space="preserve">                             A.  PRESUPUESTO DE FUNCIONAMIENTO</t>
  </si>
  <si>
    <t>CÓDIGO</t>
  </si>
  <si>
    <t xml:space="preserve">MONTO </t>
  </si>
  <si>
    <t>APROPIACIÓN $</t>
  </si>
  <si>
    <t>GASTOS DE PERSONAL</t>
  </si>
  <si>
    <t>SERVICIOS PERSONALES ASOCIADOS A LA NOMINA</t>
  </si>
  <si>
    <t>Sueldos de personal de nómina</t>
  </si>
  <si>
    <t>Horas extras y días festivos</t>
  </si>
  <si>
    <t>Indemnización de vacaciones</t>
  </si>
  <si>
    <t>Otros gastos por servicios personales</t>
  </si>
  <si>
    <t>Gastos de Representación</t>
  </si>
  <si>
    <t>Subsidio o prima de alimentación</t>
  </si>
  <si>
    <t>Auxilio de transporte</t>
  </si>
  <si>
    <t>Bonificación por servicios prestados</t>
  </si>
  <si>
    <t>Prima de Servicios</t>
  </si>
  <si>
    <t>Prima de Vacaciones</t>
  </si>
  <si>
    <t>Prima de Navidad</t>
  </si>
  <si>
    <t>Bonificación Especial de Recreación</t>
  </si>
  <si>
    <t>Otras primas no factor salarial</t>
  </si>
  <si>
    <t>SERVICIOS PERSONALES INDIRECTOS</t>
  </si>
  <si>
    <t>Personal Supernumerario</t>
  </si>
  <si>
    <t>Honorarios</t>
  </si>
  <si>
    <t>Remuneración por Servicios Técnicos</t>
  </si>
  <si>
    <t>CONTRIBUCIONES INHERENTES A NOMINA SECTOR PRIVADO</t>
  </si>
  <si>
    <t xml:space="preserve">Caja de Compensación </t>
  </si>
  <si>
    <t>CONTRIBUCIONES INHERENTES A NOMINA SECTOR PÚBLICO</t>
  </si>
  <si>
    <t>Sena</t>
  </si>
  <si>
    <t>Escuelas Industriales e institutos técnicos</t>
  </si>
  <si>
    <t>Esap</t>
  </si>
  <si>
    <t>GASTOS GENERALES</t>
  </si>
  <si>
    <t>ADQUISICION DE BIENES</t>
  </si>
  <si>
    <t>Compra de Equipo</t>
  </si>
  <si>
    <t>Materiales y Suministros</t>
  </si>
  <si>
    <t>Dotación (Ley 70/88)</t>
  </si>
  <si>
    <t>Gastos imprevistos adquisición de bienes</t>
  </si>
  <si>
    <t>ADQUISICION DE SERVICIOS</t>
  </si>
  <si>
    <t>Mantenimiento</t>
  </si>
  <si>
    <t>Servicios Públicos</t>
  </si>
  <si>
    <t>Arrendamientos</t>
  </si>
  <si>
    <t>Viáticos y Gastos de Viaje</t>
  </si>
  <si>
    <t>Impresos y Publicaciones</t>
  </si>
  <si>
    <t>Comunicaciones y Transportes</t>
  </si>
  <si>
    <t>Seguros</t>
  </si>
  <si>
    <t>Gastos imprevistos adquisición de servicios</t>
  </si>
  <si>
    <t>Transporte y sostenimiento de presos</t>
  </si>
  <si>
    <t>Defensa de hacienda pública</t>
  </si>
  <si>
    <t>Semovientes</t>
  </si>
  <si>
    <t>Gastos de protocolo</t>
  </si>
  <si>
    <t>Bienestar social</t>
  </si>
  <si>
    <t>Inhumación de cadáveres</t>
  </si>
  <si>
    <t>IMPUESTOS Y MULTAS</t>
  </si>
  <si>
    <t>TRANSFERENCIAS CORRIENTES</t>
  </si>
  <si>
    <t>PREVISIÓN Y SEGURIDAD SOCIAL</t>
  </si>
  <si>
    <t>Cesantías</t>
  </si>
  <si>
    <t>Salud</t>
  </si>
  <si>
    <t>Pensiones</t>
  </si>
  <si>
    <t>Administradora de Riesgos Profesionales</t>
  </si>
  <si>
    <t>OTRAS TRANSFERENCIAS CORRIENTES (D. ESPECÍF.)</t>
  </si>
  <si>
    <t>Sentencias y conciliaciones</t>
  </si>
  <si>
    <t>Destinatarios otras transferencias</t>
  </si>
  <si>
    <t>Sistema nacional ambiental</t>
  </si>
  <si>
    <t>Fondo de servicio público de aseo y limpieza de calles</t>
  </si>
  <si>
    <t>Fondo local de salud</t>
  </si>
  <si>
    <t>Servicio bomberil</t>
  </si>
  <si>
    <t xml:space="preserve">                                          SECCIÓN PRESUPUESTAL 03 - PERSONERÍA-</t>
  </si>
  <si>
    <t xml:space="preserve">                                          A.  PRESUPUESTO DE FUNCIONAMIENTO</t>
  </si>
  <si>
    <t>Otras primas</t>
  </si>
  <si>
    <t xml:space="preserve">                                          SECCIÓN PRESUPUESTAL 01 - CONCEJO-</t>
  </si>
  <si>
    <t>SECCIÓN PRESUPUESTAL 02 - ALCALDÍA-</t>
  </si>
  <si>
    <t>C.  PRESUPUESTO DE INVERSIÓN</t>
  </si>
  <si>
    <t>N</t>
  </si>
  <si>
    <t>VALOR</t>
  </si>
  <si>
    <t>CON CARGO A RECURSOS DE</t>
  </si>
  <si>
    <t>PROGRAMA</t>
  </si>
  <si>
    <t>I.C.L.D. Y R.C.(2)</t>
  </si>
  <si>
    <t>I.C.D.E.(3)</t>
  </si>
  <si>
    <t>EDUCACIÓN</t>
  </si>
  <si>
    <t xml:space="preserve">MEJORAMIENTO Y AMPLIACIÓN INFRAESTRUCTURA EDUCATIVA </t>
  </si>
  <si>
    <t>SEGURIDAD SOCIAL EN SALUD</t>
  </si>
  <si>
    <t>AGUA POTABLE Y SANEAMIENTO BASICO</t>
  </si>
  <si>
    <t>RECREACION Y DEPORTE</t>
  </si>
  <si>
    <t>APOYO EVENTOS DEPORTIVOS, LIGAS Y CLUBES DEPORTIVOS</t>
  </si>
  <si>
    <t>CULTURA</t>
  </si>
  <si>
    <t>APOYO EVENTOS CULTURALES</t>
  </si>
  <si>
    <t>INVERSIÓN RECURSOS PROPIOS</t>
  </si>
  <si>
    <t xml:space="preserve">TOTALES </t>
  </si>
  <si>
    <t>(1)</t>
  </si>
  <si>
    <t>Montos con cargo a recursos de participación en los ingresos corrientes de la Nación de forzosa inversión</t>
  </si>
  <si>
    <t>(2)</t>
  </si>
  <si>
    <t>Montos con cargo a ingresos corrientes de libre destinación y recursos de capital</t>
  </si>
  <si>
    <t>(3)</t>
  </si>
  <si>
    <t>Montos con cargo a recursos propios correspondientes a ingresos corrientes de destinación específica</t>
  </si>
  <si>
    <t>BÁSICA/2003</t>
  </si>
  <si>
    <t>SGP FORZ. INV. (1)</t>
  </si>
  <si>
    <t>SALUD PUBLICA</t>
  </si>
  <si>
    <t>MEJORAMIENTO Y OPERACIÓN ACUEDUCTO</t>
  </si>
  <si>
    <t>AMPLIACION Y MEJORAMIENTO INFRAESTRUCTURA DEPORTIV</t>
  </si>
  <si>
    <t>ATENCION A GRUPOS VULNERABLES</t>
  </si>
  <si>
    <t>Variación</t>
  </si>
  <si>
    <t>Sistema General Participación Reg. Subsidiado</t>
  </si>
  <si>
    <t>Estampilla procultura</t>
  </si>
  <si>
    <t xml:space="preserve"> </t>
  </si>
  <si>
    <t>FONDO SOLIDARIDAD Y REDISTRIBUCIÓN DE INGRESOS</t>
  </si>
  <si>
    <t>OTROS SECTORES DE INVERSIÓN PROPOSITO GENERAL</t>
  </si>
  <si>
    <t>RESTAURANTES ESCOLARES</t>
  </si>
  <si>
    <t>APOYO PROGRAMAS DE VIVIENDA DE INTES SOCIAL</t>
  </si>
  <si>
    <t>SERVICIO DE COMISARIA DE FAMILIA</t>
  </si>
  <si>
    <t>APOYO EVENTOS Y CELEBRACIONES MUNICIPALES</t>
  </si>
  <si>
    <t>Transferencia federación de municipios</t>
  </si>
  <si>
    <t>MEJORAMIENTO INFRAESTRUCTURA VIAL</t>
  </si>
  <si>
    <t>APOYO Y ASISTENCIA TECNICA AGROPECUARIA</t>
  </si>
  <si>
    <t xml:space="preserve"> ATENCION Y PREVENSION DE DESASTRES</t>
  </si>
  <si>
    <t>TOTAL SIN DESTINATARIOS OTRAS TRANSFERENCIAS CORRIENTES (DEST. ESPECIFICA.)</t>
  </si>
  <si>
    <t>Estampilla proanciano</t>
  </si>
  <si>
    <t>psto año 2006</t>
  </si>
  <si>
    <t>capacitacion</t>
  </si>
  <si>
    <t xml:space="preserve">SISTEMA GENERAL DE PARTICIPACION </t>
  </si>
  <si>
    <t>Alquiler de maquinaria y equipo</t>
  </si>
  <si>
    <t>Alquiler de maquinaria</t>
  </si>
  <si>
    <t>Transf FONPET( 15% Vta Activos)</t>
  </si>
  <si>
    <t>Proyectó: María Gladys de Salazar</t>
  </si>
  <si>
    <t>Proyecto: María Gladys de Salazar</t>
  </si>
  <si>
    <t>Trans pasivo pensional (20% estampillas)</t>
  </si>
  <si>
    <t>Otras adquisiciones de servicios</t>
  </si>
  <si>
    <t>SUBSIDIOS ESCOLARES</t>
  </si>
  <si>
    <t>DOTACION MATERIALE Y EQUIPO</t>
  </si>
  <si>
    <t>SANEAMIENTO BASICO MUNICIPAL</t>
  </si>
  <si>
    <t>AMPLIACION Y MEJORAMIENTO RED AGUA LLUVIAS</t>
  </si>
  <si>
    <t>ADMINISTRACION CENTROS DE RECLUSION</t>
  </si>
  <si>
    <t>AMPLIACION Y MEJORAMIENTO INFRAESTRUCTURA DEPORTIVA</t>
  </si>
  <si>
    <t>APOYO A FONDOS MUNICIPALES</t>
  </si>
  <si>
    <t>MEJORAMIENTO INFRAESTRUCTURA DE TRANSPORTE</t>
  </si>
  <si>
    <t>APOYO PROGRAMAS DE EDUCACION BASICA</t>
  </si>
  <si>
    <t xml:space="preserve">  </t>
  </si>
  <si>
    <t>INT. CES.</t>
  </si>
  <si>
    <t>Marginal 1</t>
  </si>
  <si>
    <t>Marginal 2</t>
  </si>
  <si>
    <t>Marginal3</t>
  </si>
  <si>
    <t>MONTO MÁXIMO OTROS GASTOS DE FUNCIONAMIENTO CONCEJO -1.5% ICLD</t>
  </si>
  <si>
    <t>FORTALECIMIENTO INSTITUCIONAL</t>
  </si>
  <si>
    <t>FONDO DE CONTIGENCIAS</t>
  </si>
  <si>
    <t>Marginal4</t>
  </si>
  <si>
    <t>psto año 2007</t>
  </si>
  <si>
    <t xml:space="preserve"> septiembre 30/07</t>
  </si>
  <si>
    <t>recaudo dic/07</t>
  </si>
  <si>
    <t>Marginal 5</t>
  </si>
  <si>
    <t>psto año 2008</t>
  </si>
  <si>
    <t>Certificaciones</t>
  </si>
  <si>
    <t>MONTO MÁXIMO PAGO HONARARIOS CONCEJALES (ONCE -11-) 70 SESIONES ORDIN Y  12 EXTRAOR X A</t>
  </si>
  <si>
    <t>MONTO MÁXIMO FUNCIONAMIENTO MUNICIPIO 80% I.C.L.D.</t>
  </si>
  <si>
    <t>MONTO INVERSIÓN I. CORRIENTES LIBRE DESTINACIÓN 20% I.C.L.D.</t>
  </si>
  <si>
    <t>DEFICIT FISCAL</t>
  </si>
  <si>
    <t>Transferencia Fenacon</t>
  </si>
  <si>
    <t>MONTO TRANSF. DESTINACIÓN ESPECÍFICA R. PROPIOS (S. AMBIENT., F. SALUD, S. PÚBLICOS, S. BOMBERIL, ESTAMPILLA PROCULTURA y PROANCIANO, FONPET)</t>
  </si>
  <si>
    <t>DOTACION MATERIAL Y EQUIPO MATADERO</t>
  </si>
  <si>
    <t>EQUIPAMENTO MUNICIPAL</t>
  </si>
  <si>
    <t>FONDO DE SOLIDARIDAD Y REDISTRIBUCION DE INGRESOS</t>
  </si>
  <si>
    <t>Otros ingresos no tributarios</t>
  </si>
  <si>
    <t>APOYO PROGRAMAS DE MEDIO AMBIENTE</t>
  </si>
  <si>
    <t>BÁSICA/2007</t>
  </si>
  <si>
    <t>HONORARI/08</t>
  </si>
  <si>
    <t>INTERESES</t>
  </si>
  <si>
    <t>CESANTIAS 12%</t>
  </si>
  <si>
    <t>alcalde</t>
  </si>
  <si>
    <t>BÁSICA/2008</t>
  </si>
  <si>
    <t>HONORARI/09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</si>
</sst>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_ ;[Red]\-#,##0\ "/>
    <numFmt numFmtId="181" formatCode="_-* #,##0\ _P_t_s_-;\-* #,##0\ _P_t_s_-;_-* &quot;-&quot;??\ _P_t_s_-;_-@_-"/>
    <numFmt numFmtId="182" formatCode="General_)"/>
    <numFmt numFmtId="183" formatCode="#,##0;[Red]#,##0"/>
    <numFmt numFmtId="184" formatCode="0.0"/>
    <numFmt numFmtId="185" formatCode="_(* #,##0_);_(* \(#,##0\);_(* &quot;-&quot;??_);_(@_)"/>
    <numFmt numFmtId="186" formatCode="#,##0.0"/>
    <numFmt numFmtId="187" formatCode="_ * #,##0_ ;_ * \-#,##0_ ;_ * &quot;-&quot;??_ ;_ @_ "/>
    <numFmt numFmtId="188" formatCode="#,##0.000"/>
    <numFmt numFmtId="189" formatCode="_ * #,##0.0_ ;_ * \-#,##0.0_ ;_ * &quot;-&quot;??_ ;_ @_ "/>
  </numFmts>
  <fonts count="29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58"/>
      <name val="Times New Roman"/>
      <family val="1"/>
    </font>
    <font>
      <sz val="10"/>
      <color indexed="58"/>
      <name val="Arial"/>
      <family val="2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b/>
      <sz val="10"/>
      <name val="Courier"/>
      <family val="0"/>
    </font>
    <font>
      <sz val="8"/>
      <name val="Times New Roman"/>
      <family val="1"/>
    </font>
    <font>
      <sz val="8"/>
      <name val="Courier"/>
      <family val="0"/>
    </font>
    <font>
      <b/>
      <sz val="9"/>
      <name val="Times New Roman"/>
      <family val="1"/>
    </font>
    <font>
      <b/>
      <sz val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0"/>
    </font>
    <font>
      <b/>
      <sz val="10"/>
      <color indexed="5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11" fillId="0" borderId="0">
      <alignment/>
      <protection/>
    </xf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80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80" fontId="2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3" xfId="18" applyNumberFormat="1" applyFont="1" applyBorder="1" applyAlignment="1">
      <alignment/>
    </xf>
    <xf numFmtId="180" fontId="6" fillId="0" borderId="3" xfId="18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" fillId="0" borderId="3" xfId="18" applyNumberFormat="1" applyFont="1" applyBorder="1" applyAlignment="1">
      <alignment/>
    </xf>
    <xf numFmtId="180" fontId="0" fillId="0" borderId="3" xfId="18" applyNumberForma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180" fontId="7" fillId="0" borderId="3" xfId="18" applyNumberFormat="1" applyFont="1" applyBorder="1" applyAlignment="1">
      <alignment/>
    </xf>
    <xf numFmtId="180" fontId="8" fillId="0" borderId="3" xfId="18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3" xfId="0" applyNumberFormat="1" applyBorder="1" applyAlignment="1">
      <alignment/>
    </xf>
    <xf numFmtId="180" fontId="6" fillId="0" borderId="3" xfId="0" applyNumberFormat="1" applyFont="1" applyBorder="1" applyAlignment="1">
      <alignment/>
    </xf>
    <xf numFmtId="180" fontId="0" fillId="0" borderId="0" xfId="0" applyNumberFormat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180" fontId="4" fillId="0" borderId="6" xfId="0" applyNumberFormat="1" applyFont="1" applyBorder="1" applyAlignment="1">
      <alignment/>
    </xf>
    <xf numFmtId="180" fontId="4" fillId="0" borderId="6" xfId="18" applyNumberFormat="1" applyFont="1" applyBorder="1" applyAlignment="1">
      <alignment/>
    </xf>
    <xf numFmtId="180" fontId="3" fillId="0" borderId="6" xfId="18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180" fontId="4" fillId="0" borderId="0" xfId="18" applyNumberFormat="1" applyFont="1" applyBorder="1" applyAlignment="1">
      <alignment/>
    </xf>
    <xf numFmtId="180" fontId="3" fillId="0" borderId="0" xfId="18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 horizontal="center"/>
    </xf>
    <xf numFmtId="180" fontId="9" fillId="0" borderId="0" xfId="18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80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82" fontId="4" fillId="0" borderId="0" xfId="23" applyFont="1" applyAlignment="1">
      <alignment horizontal="center"/>
      <protection/>
    </xf>
    <xf numFmtId="182" fontId="4" fillId="0" borderId="0" xfId="23" applyFont="1" applyAlignment="1" applyProtection="1">
      <alignment horizontal="center"/>
      <protection/>
    </xf>
    <xf numFmtId="183" fontId="4" fillId="0" borderId="0" xfId="23" applyNumberFormat="1" applyFont="1" applyAlignment="1" applyProtection="1">
      <alignment horizontal="center"/>
      <protection/>
    </xf>
    <xf numFmtId="10" fontId="4" fillId="0" borderId="0" xfId="23" applyNumberFormat="1" applyFont="1" applyAlignment="1" applyProtection="1">
      <alignment horizontal="center"/>
      <protection/>
    </xf>
    <xf numFmtId="3" fontId="1" fillId="0" borderId="0" xfId="23" applyNumberFormat="1" applyFont="1" applyAlignment="1">
      <alignment horizontal="center"/>
      <protection/>
    </xf>
    <xf numFmtId="3" fontId="1" fillId="0" borderId="0" xfId="23" applyNumberFormat="1" applyFont="1" applyAlignment="1" applyProtection="1">
      <alignment horizontal="center"/>
      <protection/>
    </xf>
    <xf numFmtId="182" fontId="1" fillId="0" borderId="0" xfId="23" applyFont="1">
      <alignment/>
      <protection/>
    </xf>
    <xf numFmtId="182" fontId="12" fillId="0" borderId="0" xfId="23" applyFont="1" applyAlignment="1">
      <alignment horizontal="center"/>
      <protection/>
    </xf>
    <xf numFmtId="182" fontId="13" fillId="3" borderId="1" xfId="23" applyFont="1" applyFill="1" applyBorder="1" applyAlignment="1" applyProtection="1">
      <alignment horizontal="center"/>
      <protection/>
    </xf>
    <xf numFmtId="182" fontId="13" fillId="3" borderId="7" xfId="23" applyFont="1" applyFill="1" applyBorder="1" applyAlignment="1" applyProtection="1">
      <alignment horizontal="center"/>
      <protection/>
    </xf>
    <xf numFmtId="183" fontId="13" fillId="3" borderId="7" xfId="23" applyNumberFormat="1" applyFont="1" applyFill="1" applyBorder="1" applyAlignment="1" applyProtection="1">
      <alignment horizontal="center"/>
      <protection/>
    </xf>
    <xf numFmtId="10" fontId="13" fillId="3" borderId="1" xfId="23" applyNumberFormat="1" applyFont="1" applyFill="1" applyBorder="1" applyAlignment="1" applyProtection="1">
      <alignment horizontal="center"/>
      <protection/>
    </xf>
    <xf numFmtId="182" fontId="13" fillId="0" borderId="0" xfId="23" applyFont="1" applyAlignment="1">
      <alignment horizontal="center"/>
      <protection/>
    </xf>
    <xf numFmtId="182" fontId="14" fillId="0" borderId="0" xfId="23" applyFont="1" applyAlignment="1">
      <alignment horizontal="center"/>
      <protection/>
    </xf>
    <xf numFmtId="182" fontId="13" fillId="3" borderId="8" xfId="23" applyFont="1" applyFill="1" applyBorder="1" applyAlignment="1" applyProtection="1">
      <alignment horizontal="center"/>
      <protection/>
    </xf>
    <xf numFmtId="182" fontId="13" fillId="3" borderId="9" xfId="23" applyFont="1" applyFill="1" applyBorder="1" applyAlignment="1">
      <alignment horizontal="center"/>
      <protection/>
    </xf>
    <xf numFmtId="183" fontId="13" fillId="3" borderId="9" xfId="23" applyNumberFormat="1" applyFont="1" applyFill="1" applyBorder="1" applyAlignment="1" applyProtection="1">
      <alignment horizontal="center"/>
      <protection/>
    </xf>
    <xf numFmtId="10" fontId="13" fillId="3" borderId="8" xfId="23" applyNumberFormat="1" applyFont="1" applyFill="1" applyBorder="1" applyAlignment="1" applyProtection="1">
      <alignment horizontal="center"/>
      <protection/>
    </xf>
    <xf numFmtId="3" fontId="13" fillId="3" borderId="8" xfId="23" applyNumberFormat="1" applyFont="1" applyFill="1" applyBorder="1" applyAlignment="1">
      <alignment horizontal="center"/>
      <protection/>
    </xf>
    <xf numFmtId="3" fontId="13" fillId="3" borderId="9" xfId="23" applyNumberFormat="1" applyFont="1" applyFill="1" applyBorder="1" applyAlignment="1">
      <alignment horizontal="center"/>
      <protection/>
    </xf>
    <xf numFmtId="182" fontId="13" fillId="3" borderId="9" xfId="23" applyFont="1" applyFill="1" applyBorder="1" applyAlignment="1" applyProtection="1">
      <alignment horizontal="center"/>
      <protection/>
    </xf>
    <xf numFmtId="182" fontId="1" fillId="0" borderId="3" xfId="23" applyFont="1" applyBorder="1" applyAlignment="1" applyProtection="1">
      <alignment horizontal="center"/>
      <protection/>
    </xf>
    <xf numFmtId="182" fontId="1" fillId="0" borderId="0" xfId="23" applyFont="1" applyBorder="1" applyAlignment="1" applyProtection="1">
      <alignment horizontal="left"/>
      <protection/>
    </xf>
    <xf numFmtId="183" fontId="1" fillId="0" borderId="0" xfId="23" applyNumberFormat="1" applyFont="1" applyBorder="1" applyAlignment="1" applyProtection="1">
      <alignment horizontal="center"/>
      <protection/>
    </xf>
    <xf numFmtId="10" fontId="1" fillId="0" borderId="3" xfId="23" applyNumberFormat="1" applyFont="1" applyBorder="1" applyAlignment="1" applyProtection="1">
      <alignment horizontal="center"/>
      <protection/>
    </xf>
    <xf numFmtId="37" fontId="1" fillId="0" borderId="0" xfId="23" applyNumberFormat="1" applyFont="1" applyBorder="1" applyProtection="1">
      <alignment/>
      <protection/>
    </xf>
    <xf numFmtId="37" fontId="1" fillId="0" borderId="3" xfId="23" applyNumberFormat="1" applyFont="1" applyBorder="1" applyProtection="1">
      <alignment/>
      <protection/>
    </xf>
    <xf numFmtId="182" fontId="1" fillId="0" borderId="0" xfId="23" applyFont="1" applyBorder="1">
      <alignment/>
      <protection/>
    </xf>
    <xf numFmtId="182" fontId="11" fillId="0" borderId="0" xfId="23" applyFont="1">
      <alignment/>
      <protection/>
    </xf>
    <xf numFmtId="37" fontId="1" fillId="0" borderId="0" xfId="23" applyNumberFormat="1" applyFont="1" applyProtection="1">
      <alignment/>
      <protection/>
    </xf>
    <xf numFmtId="37" fontId="1" fillId="0" borderId="3" xfId="23" applyNumberFormat="1" applyFont="1" applyBorder="1" applyAlignment="1" applyProtection="1">
      <alignment horizontal="center"/>
      <protection/>
    </xf>
    <xf numFmtId="182" fontId="11" fillId="0" borderId="0" xfId="23" applyFont="1">
      <alignment/>
      <protection/>
    </xf>
    <xf numFmtId="37" fontId="1" fillId="0" borderId="2" xfId="23" applyNumberFormat="1" applyFont="1" applyBorder="1" applyProtection="1">
      <alignment/>
      <protection/>
    </xf>
    <xf numFmtId="182" fontId="4" fillId="0" borderId="6" xfId="23" applyFont="1" applyBorder="1" applyAlignment="1" applyProtection="1">
      <alignment horizontal="center"/>
      <protection/>
    </xf>
    <xf numFmtId="182" fontId="4" fillId="0" borderId="5" xfId="23" applyFont="1" applyBorder="1" applyAlignment="1" applyProtection="1">
      <alignment horizontal="left"/>
      <protection/>
    </xf>
    <xf numFmtId="182" fontId="4" fillId="0" borderId="6" xfId="23" applyFont="1" applyBorder="1">
      <alignment/>
      <protection/>
    </xf>
    <xf numFmtId="183" fontId="4" fillId="0" borderId="5" xfId="23" applyNumberFormat="1" applyFont="1" applyBorder="1">
      <alignment/>
      <protection/>
    </xf>
    <xf numFmtId="10" fontId="4" fillId="0" borderId="6" xfId="23" applyNumberFormat="1" applyFont="1" applyBorder="1">
      <alignment/>
      <protection/>
    </xf>
    <xf numFmtId="38" fontId="4" fillId="0" borderId="5" xfId="23" applyNumberFormat="1" applyFont="1" applyBorder="1" applyAlignment="1" applyProtection="1">
      <alignment horizontal="center"/>
      <protection/>
    </xf>
    <xf numFmtId="38" fontId="4" fillId="0" borderId="6" xfId="23" applyNumberFormat="1" applyFont="1" applyBorder="1" applyAlignment="1" applyProtection="1">
      <alignment horizontal="center"/>
      <protection/>
    </xf>
    <xf numFmtId="37" fontId="4" fillId="0" borderId="0" xfId="23" applyNumberFormat="1" applyFont="1" applyProtection="1">
      <alignment/>
      <protection/>
    </xf>
    <xf numFmtId="182" fontId="4" fillId="0" borderId="0" xfId="23" applyFont="1">
      <alignment/>
      <protection/>
    </xf>
    <xf numFmtId="182" fontId="12" fillId="0" borderId="0" xfId="23" applyFont="1">
      <alignment/>
      <protection/>
    </xf>
    <xf numFmtId="182" fontId="4" fillId="0" borderId="3" xfId="23" applyFont="1" applyBorder="1" applyAlignment="1" applyProtection="1">
      <alignment horizontal="center"/>
      <protection/>
    </xf>
    <xf numFmtId="182" fontId="4" fillId="0" borderId="0" xfId="23" applyFont="1" applyBorder="1" applyAlignment="1" applyProtection="1">
      <alignment horizontal="left"/>
      <protection/>
    </xf>
    <xf numFmtId="182" fontId="4" fillId="0" borderId="3" xfId="23" applyFont="1" applyBorder="1">
      <alignment/>
      <protection/>
    </xf>
    <xf numFmtId="183" fontId="4" fillId="0" borderId="0" xfId="23" applyNumberFormat="1" applyFont="1" applyBorder="1">
      <alignment/>
      <protection/>
    </xf>
    <xf numFmtId="10" fontId="4" fillId="0" borderId="3" xfId="23" applyNumberFormat="1" applyFont="1" applyBorder="1">
      <alignment/>
      <protection/>
    </xf>
    <xf numFmtId="38" fontId="4" fillId="0" borderId="0" xfId="23" applyNumberFormat="1" applyFont="1" applyBorder="1" applyAlignment="1" applyProtection="1">
      <alignment horizontal="center"/>
      <protection/>
    </xf>
    <xf numFmtId="38" fontId="4" fillId="0" borderId="3" xfId="23" applyNumberFormat="1" applyFont="1" applyBorder="1" applyAlignment="1" applyProtection="1">
      <alignment horizontal="center"/>
      <protection/>
    </xf>
    <xf numFmtId="182" fontId="1" fillId="0" borderId="3" xfId="23" applyFont="1" applyBorder="1" applyAlignment="1">
      <alignment horizontal="center"/>
      <protection/>
    </xf>
    <xf numFmtId="182" fontId="1" fillId="0" borderId="3" xfId="23" applyFont="1" applyBorder="1">
      <alignment/>
      <protection/>
    </xf>
    <xf numFmtId="183" fontId="1" fillId="0" borderId="0" xfId="23" applyNumberFormat="1" applyFont="1">
      <alignment/>
      <protection/>
    </xf>
    <xf numFmtId="10" fontId="1" fillId="0" borderId="3" xfId="23" applyNumberFormat="1" applyFont="1" applyBorder="1">
      <alignment/>
      <protection/>
    </xf>
    <xf numFmtId="182" fontId="11" fillId="0" borderId="0" xfId="23">
      <alignment/>
      <protection/>
    </xf>
    <xf numFmtId="182" fontId="15" fillId="3" borderId="1" xfId="23" applyFont="1" applyFill="1" applyBorder="1" applyAlignment="1" applyProtection="1">
      <alignment horizontal="center"/>
      <protection/>
    </xf>
    <xf numFmtId="182" fontId="15" fillId="3" borderId="7" xfId="23" applyFont="1" applyFill="1" applyBorder="1" applyAlignment="1" applyProtection="1">
      <alignment horizontal="center"/>
      <protection/>
    </xf>
    <xf numFmtId="183" fontId="15" fillId="3" borderId="7" xfId="23" applyNumberFormat="1" applyFont="1" applyFill="1" applyBorder="1" applyAlignment="1" applyProtection="1">
      <alignment horizontal="center"/>
      <protection/>
    </xf>
    <xf numFmtId="10" fontId="15" fillId="3" borderId="1" xfId="23" applyNumberFormat="1" applyFont="1" applyFill="1" applyBorder="1" applyAlignment="1" applyProtection="1">
      <alignment horizontal="center"/>
      <protection/>
    </xf>
    <xf numFmtId="182" fontId="15" fillId="0" borderId="0" xfId="23" applyFont="1" applyAlignment="1">
      <alignment horizontal="center"/>
      <protection/>
    </xf>
    <xf numFmtId="182" fontId="16" fillId="0" borderId="0" xfId="23" applyFont="1" applyAlignment="1">
      <alignment horizontal="center"/>
      <protection/>
    </xf>
    <xf numFmtId="182" fontId="15" fillId="3" borderId="8" xfId="23" applyFont="1" applyFill="1" applyBorder="1" applyAlignment="1" applyProtection="1">
      <alignment horizontal="center"/>
      <protection/>
    </xf>
    <xf numFmtId="182" fontId="15" fillId="3" borderId="9" xfId="23" applyFont="1" applyFill="1" applyBorder="1" applyAlignment="1">
      <alignment horizontal="center"/>
      <protection/>
    </xf>
    <xf numFmtId="183" fontId="15" fillId="3" borderId="9" xfId="23" applyNumberFormat="1" applyFont="1" applyFill="1" applyBorder="1" applyAlignment="1" applyProtection="1">
      <alignment horizontal="center"/>
      <protection/>
    </xf>
    <xf numFmtId="10" fontId="15" fillId="3" borderId="8" xfId="23" applyNumberFormat="1" applyFont="1" applyFill="1" applyBorder="1" applyAlignment="1" applyProtection="1">
      <alignment horizontal="center"/>
      <protection/>
    </xf>
    <xf numFmtId="182" fontId="15" fillId="3" borderId="9" xfId="23" applyFont="1" applyFill="1" applyBorder="1" applyAlignment="1" applyProtection="1">
      <alignment horizontal="center"/>
      <protection/>
    </xf>
    <xf numFmtId="3" fontId="15" fillId="3" borderId="8" xfId="23" applyNumberFormat="1" applyFont="1" applyFill="1" applyBorder="1" applyAlignment="1">
      <alignment horizontal="center"/>
      <protection/>
    </xf>
    <xf numFmtId="3" fontId="15" fillId="3" borderId="9" xfId="23" applyNumberFormat="1" applyFont="1" applyFill="1" applyBorder="1" applyAlignment="1">
      <alignment horizontal="center"/>
      <protection/>
    </xf>
    <xf numFmtId="3" fontId="1" fillId="0" borderId="0" xfId="23" applyNumberFormat="1" applyFont="1" applyBorder="1">
      <alignment/>
      <protection/>
    </xf>
    <xf numFmtId="182" fontId="4" fillId="0" borderId="0" xfId="23" applyFont="1" applyBorder="1" applyAlignment="1" applyProtection="1">
      <alignment horizontal="center"/>
      <protection/>
    </xf>
    <xf numFmtId="182" fontId="4" fillId="0" borderId="0" xfId="23" applyFont="1" applyBorder="1">
      <alignment/>
      <protection/>
    </xf>
    <xf numFmtId="10" fontId="4" fillId="0" borderId="0" xfId="23" applyNumberFormat="1" applyFont="1" applyBorder="1">
      <alignment/>
      <protection/>
    </xf>
    <xf numFmtId="182" fontId="1" fillId="0" borderId="0" xfId="23" applyFont="1" applyAlignment="1">
      <alignment horizontal="center"/>
      <protection/>
    </xf>
    <xf numFmtId="10" fontId="1" fillId="0" borderId="0" xfId="23" applyNumberFormat="1" applyFont="1">
      <alignment/>
      <protection/>
    </xf>
    <xf numFmtId="1" fontId="1" fillId="0" borderId="0" xfId="22" applyNumberFormat="1" applyFont="1" applyAlignment="1">
      <alignment horizontal="left"/>
      <protection/>
    </xf>
    <xf numFmtId="3" fontId="19" fillId="0" borderId="0" xfId="21" applyNumberFormat="1" applyFont="1" applyAlignment="1">
      <alignment horizontal="center"/>
      <protection/>
    </xf>
    <xf numFmtId="183" fontId="1" fillId="0" borderId="0" xfId="22" applyNumberFormat="1" applyFont="1">
      <alignment/>
      <protection/>
    </xf>
    <xf numFmtId="0" fontId="0" fillId="0" borderId="0" xfId="22">
      <alignment/>
      <protection/>
    </xf>
    <xf numFmtId="183" fontId="1" fillId="0" borderId="0" xfId="22" applyNumberFormat="1" applyFont="1" applyBorder="1" applyAlignment="1">
      <alignment horizontal="left"/>
      <protection/>
    </xf>
    <xf numFmtId="3" fontId="19" fillId="0" borderId="0" xfId="21" applyNumberFormat="1" applyFont="1" applyBorder="1" applyAlignment="1">
      <alignment horizontal="center"/>
      <protection/>
    </xf>
    <xf numFmtId="1" fontId="1" fillId="0" borderId="0" xfId="22" applyNumberFormat="1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183" fontId="1" fillId="0" borderId="0" xfId="22" applyNumberFormat="1" applyFont="1" applyBorder="1" applyAlignment="1">
      <alignment horizontal="center"/>
      <protection/>
    </xf>
    <xf numFmtId="1" fontId="1" fillId="2" borderId="10" xfId="22" applyNumberFormat="1" applyFont="1" applyFill="1" applyBorder="1" applyAlignment="1">
      <alignment horizontal="center"/>
      <protection/>
    </xf>
    <xf numFmtId="0" fontId="1" fillId="2" borderId="1" xfId="22" applyFont="1" applyFill="1" applyBorder="1" applyAlignment="1">
      <alignment horizontal="center"/>
      <protection/>
    </xf>
    <xf numFmtId="183" fontId="1" fillId="2" borderId="1" xfId="22" applyNumberFormat="1" applyFont="1" applyFill="1" applyBorder="1" applyAlignment="1">
      <alignment horizontal="center"/>
      <protection/>
    </xf>
    <xf numFmtId="0" fontId="3" fillId="0" borderId="0" xfId="22" applyFont="1">
      <alignment/>
      <protection/>
    </xf>
    <xf numFmtId="1" fontId="1" fillId="2" borderId="11" xfId="22" applyNumberFormat="1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center"/>
      <protection/>
    </xf>
    <xf numFmtId="183" fontId="1" fillId="2" borderId="2" xfId="22" applyNumberFormat="1" applyFont="1" applyFill="1" applyBorder="1" applyAlignment="1">
      <alignment horizontal="center"/>
      <protection/>
    </xf>
    <xf numFmtId="1" fontId="4" fillId="0" borderId="2" xfId="22" applyNumberFormat="1" applyFont="1" applyFill="1" applyBorder="1" applyAlignment="1">
      <alignment horizontal="left"/>
      <protection/>
    </xf>
    <xf numFmtId="0" fontId="4" fillId="0" borderId="2" xfId="22" applyFont="1" applyFill="1" applyBorder="1">
      <alignment/>
      <protection/>
    </xf>
    <xf numFmtId="183" fontId="4" fillId="0" borderId="2" xfId="22" applyNumberFormat="1" applyFont="1" applyFill="1" applyBorder="1">
      <alignment/>
      <protection/>
    </xf>
    <xf numFmtId="0" fontId="0" fillId="0" borderId="0" xfId="22" applyFill="1">
      <alignment/>
      <protection/>
    </xf>
    <xf numFmtId="1" fontId="1" fillId="0" borderId="6" xfId="22" applyNumberFormat="1" applyFont="1" applyFill="1" applyBorder="1" applyAlignment="1">
      <alignment horizontal="left"/>
      <protection/>
    </xf>
    <xf numFmtId="0" fontId="1" fillId="0" borderId="6" xfId="22" applyFont="1" applyFill="1" applyBorder="1">
      <alignment/>
      <protection/>
    </xf>
    <xf numFmtId="183" fontId="1" fillId="0" borderId="2" xfId="22" applyNumberFormat="1" applyFont="1" applyFill="1" applyBorder="1">
      <alignment/>
      <protection/>
    </xf>
    <xf numFmtId="3" fontId="1" fillId="0" borderId="6" xfId="22" applyNumberFormat="1" applyFont="1" applyFill="1" applyBorder="1">
      <alignment/>
      <protection/>
    </xf>
    <xf numFmtId="1" fontId="4" fillId="0" borderId="6" xfId="22" applyNumberFormat="1" applyFont="1" applyFill="1" applyBorder="1" applyAlignment="1">
      <alignment horizontal="left"/>
      <protection/>
    </xf>
    <xf numFmtId="3" fontId="4" fillId="0" borderId="6" xfId="22" applyNumberFormat="1" applyFont="1" applyFill="1" applyBorder="1">
      <alignment/>
      <protection/>
    </xf>
    <xf numFmtId="0" fontId="3" fillId="0" borderId="7" xfId="22" applyFont="1" applyFill="1" applyBorder="1">
      <alignment/>
      <protection/>
    </xf>
    <xf numFmtId="0" fontId="3" fillId="0" borderId="5" xfId="22" applyFont="1" applyFill="1" applyBorder="1">
      <alignment/>
      <protection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3" fillId="0" borderId="0" xfId="22" applyFont="1" applyFill="1">
      <alignment/>
      <protection/>
    </xf>
    <xf numFmtId="184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0" fillId="0" borderId="0" xfId="0" applyNumberFormat="1" applyFont="1" applyBorder="1" applyAlignment="1">
      <alignment horizontal="left"/>
    </xf>
    <xf numFmtId="18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85" fontId="0" fillId="0" borderId="12" xfId="0" applyNumberFormat="1" applyFont="1" applyFill="1" applyBorder="1" applyAlignment="1">
      <alignment horizontal="left"/>
    </xf>
    <xf numFmtId="3" fontId="1" fillId="0" borderId="12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10" fillId="4" borderId="10" xfId="0" applyNumberFormat="1" applyFont="1" applyFill="1" applyBorder="1" applyAlignment="1">
      <alignment horizontal="centerContinuous"/>
    </xf>
    <xf numFmtId="0" fontId="10" fillId="4" borderId="1" xfId="0" applyFont="1" applyFill="1" applyBorder="1" applyAlignment="1">
      <alignment horizontal="centerContinuous"/>
    </xf>
    <xf numFmtId="3" fontId="10" fillId="4" borderId="13" xfId="0" applyNumberFormat="1" applyFont="1" applyFill="1" applyBorder="1" applyAlignment="1">
      <alignment horizontal="center"/>
    </xf>
    <xf numFmtId="38" fontId="10" fillId="4" borderId="4" xfId="0" applyNumberFormat="1" applyFont="1" applyFill="1" applyBorder="1" applyAlignment="1">
      <alignment horizontal="center"/>
    </xf>
    <xf numFmtId="38" fontId="10" fillId="4" borderId="5" xfId="0" applyNumberFormat="1" applyFont="1" applyFill="1" applyBorder="1" applyAlignment="1">
      <alignment horizontal="center"/>
    </xf>
    <xf numFmtId="38" fontId="10" fillId="4" borderId="1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Continuous"/>
    </xf>
    <xf numFmtId="184" fontId="10" fillId="4" borderId="11" xfId="0" applyNumberFormat="1" applyFont="1" applyFill="1" applyBorder="1" applyAlignment="1">
      <alignment horizontal="centerContinuous"/>
    </xf>
    <xf numFmtId="0" fontId="10" fillId="4" borderId="2" xfId="0" applyFont="1" applyFill="1" applyBorder="1" applyAlignment="1">
      <alignment horizontal="centerContinuous"/>
    </xf>
    <xf numFmtId="3" fontId="10" fillId="4" borderId="15" xfId="0" applyNumberFormat="1" applyFont="1" applyFill="1" applyBorder="1" applyAlignment="1">
      <alignment horizontal="center"/>
    </xf>
    <xf numFmtId="38" fontId="10" fillId="4" borderId="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Continuous"/>
    </xf>
    <xf numFmtId="184" fontId="22" fillId="0" borderId="16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84" fontId="4" fillId="0" borderId="16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17" xfId="0" applyFont="1" applyBorder="1" applyAlignment="1">
      <alignment/>
    </xf>
    <xf numFmtId="184" fontId="22" fillId="0" borderId="16" xfId="0" applyNumberFormat="1" applyFont="1" applyBorder="1" applyAlignment="1">
      <alignment horizontal="center"/>
    </xf>
    <xf numFmtId="0" fontId="22" fillId="0" borderId="3" xfId="0" applyFont="1" applyBorder="1" applyAlignment="1">
      <alignment/>
    </xf>
    <xf numFmtId="184" fontId="1" fillId="0" borderId="16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184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23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6" xfId="18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180" fontId="5" fillId="0" borderId="6" xfId="18" applyNumberFormat="1" applyFont="1" applyBorder="1" applyAlignment="1">
      <alignment/>
    </xf>
    <xf numFmtId="180" fontId="5" fillId="0" borderId="6" xfId="0" applyNumberFormat="1" applyFont="1" applyBorder="1" applyAlignment="1">
      <alignment/>
    </xf>
    <xf numFmtId="9" fontId="5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180" fontId="1" fillId="0" borderId="6" xfId="18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180" fontId="7" fillId="0" borderId="6" xfId="18" applyNumberFormat="1" applyFont="1" applyBorder="1" applyAlignment="1">
      <alignment/>
    </xf>
    <xf numFmtId="10" fontId="7" fillId="0" borderId="6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9" fontId="7" fillId="0" borderId="6" xfId="0" applyNumberFormat="1" applyFont="1" applyBorder="1" applyAlignment="1">
      <alignment/>
    </xf>
    <xf numFmtId="181" fontId="1" fillId="0" borderId="6" xfId="17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3" fontId="1" fillId="0" borderId="0" xfId="22" applyNumberFormat="1" applyFont="1" applyFill="1" applyBorder="1">
      <alignment/>
      <protection/>
    </xf>
    <xf numFmtId="38" fontId="10" fillId="0" borderId="3" xfId="0" applyNumberFormat="1" applyFont="1" applyFill="1" applyBorder="1" applyAlignment="1">
      <alignment horizontal="center"/>
    </xf>
    <xf numFmtId="169" fontId="1" fillId="0" borderId="0" xfId="18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4" fillId="0" borderId="6" xfId="0" applyFont="1" applyBorder="1" applyAlignment="1">
      <alignment/>
    </xf>
    <xf numFmtId="0" fontId="24" fillId="0" borderId="6" xfId="0" applyFont="1" applyFill="1" applyBorder="1" applyAlignment="1">
      <alignment/>
    </xf>
    <xf numFmtId="180" fontId="0" fillId="0" borderId="17" xfId="18" applyNumberFormat="1" applyBorder="1" applyAlignment="1">
      <alignment/>
    </xf>
    <xf numFmtId="183" fontId="1" fillId="0" borderId="6" xfId="22" applyNumberFormat="1" applyFont="1" applyFill="1" applyBorder="1">
      <alignment/>
      <protection/>
    </xf>
    <xf numFmtId="3" fontId="1" fillId="0" borderId="7" xfId="22" applyNumberFormat="1" applyFont="1" applyFill="1" applyBorder="1">
      <alignment/>
      <protection/>
    </xf>
    <xf numFmtId="184" fontId="22" fillId="0" borderId="4" xfId="0" applyNumberFormat="1" applyFont="1" applyBorder="1" applyAlignment="1">
      <alignment horizontal="center"/>
    </xf>
    <xf numFmtId="0" fontId="22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3" fillId="0" borderId="3" xfId="0" applyFont="1" applyBorder="1" applyAlignment="1">
      <alignment/>
    </xf>
    <xf numFmtId="180" fontId="1" fillId="0" borderId="17" xfId="0" applyNumberFormat="1" applyFont="1" applyBorder="1" applyAlignment="1">
      <alignment/>
    </xf>
    <xf numFmtId="182" fontId="13" fillId="3" borderId="10" xfId="23" applyFont="1" applyFill="1" applyBorder="1" applyAlignment="1" applyProtection="1">
      <alignment horizontal="center"/>
      <protection/>
    </xf>
    <xf numFmtId="182" fontId="13" fillId="3" borderId="18" xfId="23" applyFont="1" applyFill="1" applyBorder="1" applyAlignment="1" applyProtection="1">
      <alignment horizontal="center"/>
      <protection/>
    </xf>
    <xf numFmtId="37" fontId="1" fillId="0" borderId="16" xfId="23" applyNumberFormat="1" applyFont="1" applyBorder="1" applyProtection="1">
      <alignment/>
      <protection/>
    </xf>
    <xf numFmtId="38" fontId="4" fillId="0" borderId="4" xfId="23" applyNumberFormat="1" applyFont="1" applyBorder="1" applyAlignment="1" applyProtection="1">
      <alignment horizontal="center"/>
      <protection/>
    </xf>
    <xf numFmtId="38" fontId="4" fillId="0" borderId="16" xfId="23" applyNumberFormat="1" applyFont="1" applyBorder="1" applyAlignment="1" applyProtection="1">
      <alignment horizontal="center"/>
      <protection/>
    </xf>
    <xf numFmtId="182" fontId="1" fillId="0" borderId="16" xfId="23" applyFont="1" applyBorder="1">
      <alignment/>
      <protection/>
    </xf>
    <xf numFmtId="182" fontId="15" fillId="3" borderId="10" xfId="23" applyFont="1" applyFill="1" applyBorder="1" applyAlignment="1" applyProtection="1">
      <alignment horizontal="center"/>
      <protection/>
    </xf>
    <xf numFmtId="182" fontId="15" fillId="3" borderId="18" xfId="23" applyFont="1" applyFill="1" applyBorder="1" applyAlignment="1" applyProtection="1">
      <alignment horizontal="center"/>
      <protection/>
    </xf>
    <xf numFmtId="38" fontId="4" fillId="0" borderId="19" xfId="23" applyNumberFormat="1" applyFont="1" applyBorder="1" applyAlignment="1" applyProtection="1">
      <alignment horizontal="center"/>
      <protection/>
    </xf>
    <xf numFmtId="182" fontId="13" fillId="3" borderId="2" xfId="23" applyFont="1" applyFill="1" applyBorder="1" applyAlignment="1" applyProtection="1">
      <alignment horizontal="center"/>
      <protection/>
    </xf>
    <xf numFmtId="180" fontId="0" fillId="0" borderId="1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22" applyFont="1" applyFill="1">
      <alignment/>
      <protection/>
    </xf>
    <xf numFmtId="180" fontId="1" fillId="0" borderId="2" xfId="18" applyNumberFormat="1" applyFont="1" applyBorder="1" applyAlignment="1">
      <alignment/>
    </xf>
    <xf numFmtId="1" fontId="1" fillId="2" borderId="16" xfId="22" applyNumberFormat="1" applyFont="1" applyFill="1" applyBorder="1" applyAlignment="1">
      <alignment horizontal="center"/>
      <protection/>
    </xf>
    <xf numFmtId="0" fontId="1" fillId="2" borderId="3" xfId="22" applyFont="1" applyFill="1" applyBorder="1" applyAlignment="1">
      <alignment horizontal="center"/>
      <protection/>
    </xf>
    <xf numFmtId="183" fontId="1" fillId="2" borderId="3" xfId="22" applyNumberFormat="1" applyFont="1" applyFill="1" applyBorder="1" applyAlignment="1">
      <alignment horizontal="center"/>
      <protection/>
    </xf>
    <xf numFmtId="1" fontId="1" fillId="0" borderId="0" xfId="22" applyNumberFormat="1" applyFont="1" applyFill="1" applyBorder="1" applyAlignment="1">
      <alignment horizontal="left"/>
      <protection/>
    </xf>
    <xf numFmtId="183" fontId="1" fillId="0" borderId="0" xfId="22" applyNumberFormat="1" applyFont="1" applyFill="1" applyBorder="1">
      <alignment/>
      <protection/>
    </xf>
    <xf numFmtId="1" fontId="1" fillId="0" borderId="12" xfId="22" applyNumberFormat="1" applyFont="1" applyFill="1" applyBorder="1" applyAlignment="1">
      <alignment horizontal="left"/>
      <protection/>
    </xf>
    <xf numFmtId="3" fontId="1" fillId="0" borderId="12" xfId="22" applyNumberFormat="1" applyFont="1" applyFill="1" applyBorder="1">
      <alignment/>
      <protection/>
    </xf>
    <xf numFmtId="183" fontId="1" fillId="0" borderId="12" xfId="22" applyNumberFormat="1" applyFont="1" applyFill="1" applyBorder="1">
      <alignment/>
      <protection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6" xfId="18" applyNumberFormat="1" applyFont="1" applyBorder="1" applyAlignment="1">
      <alignment/>
    </xf>
    <xf numFmtId="3" fontId="4" fillId="2" borderId="3" xfId="0" applyNumberFormat="1" applyFont="1" applyFill="1" applyBorder="1" applyAlignment="1">
      <alignment horizontal="center"/>
    </xf>
    <xf numFmtId="180" fontId="4" fillId="2" borderId="3" xfId="0" applyNumberFormat="1" applyFont="1" applyFill="1" applyBorder="1" applyAlignment="1">
      <alignment horizontal="center"/>
    </xf>
    <xf numFmtId="180" fontId="1" fillId="0" borderId="12" xfId="18" applyNumberFormat="1" applyFont="1" applyBorder="1" applyAlignment="1">
      <alignment/>
    </xf>
    <xf numFmtId="0" fontId="26" fillId="0" borderId="0" xfId="0" applyFont="1" applyBorder="1" applyAlignment="1">
      <alignment/>
    </xf>
    <xf numFmtId="3" fontId="1" fillId="0" borderId="6" xfId="17" applyNumberFormat="1" applyFont="1" applyBorder="1" applyAlignment="1">
      <alignment/>
    </xf>
    <xf numFmtId="3" fontId="1" fillId="0" borderId="6" xfId="17" applyNumberFormat="1" applyFont="1" applyBorder="1" applyAlignment="1">
      <alignment horizontal="right"/>
    </xf>
    <xf numFmtId="3" fontId="1" fillId="0" borderId="6" xfId="17" applyNumberFormat="1" applyFont="1" applyBorder="1" applyAlignment="1">
      <alignment/>
    </xf>
    <xf numFmtId="3" fontId="7" fillId="0" borderId="6" xfId="17" applyNumberFormat="1" applyFont="1" applyBorder="1" applyAlignment="1">
      <alignment/>
    </xf>
    <xf numFmtId="3" fontId="5" fillId="0" borderId="6" xfId="18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17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9" fontId="13" fillId="3" borderId="1" xfId="23" applyNumberFormat="1" applyFont="1" applyFill="1" applyBorder="1" applyAlignment="1" applyProtection="1">
      <alignment horizontal="center"/>
      <protection/>
    </xf>
    <xf numFmtId="4" fontId="0" fillId="0" borderId="3" xfId="0" applyNumberFormat="1" applyFill="1" applyBorder="1" applyAlignment="1">
      <alignment/>
    </xf>
    <xf numFmtId="180" fontId="1" fillId="0" borderId="3" xfId="18" applyNumberFormat="1" applyFont="1" applyFill="1" applyBorder="1" applyAlignment="1">
      <alignment/>
    </xf>
    <xf numFmtId="188" fontId="1" fillId="0" borderId="6" xfId="0" applyNumberFormat="1" applyFont="1" applyBorder="1" applyAlignment="1">
      <alignment/>
    </xf>
    <xf numFmtId="180" fontId="5" fillId="0" borderId="3" xfId="0" applyNumberFormat="1" applyFont="1" applyFill="1" applyBorder="1" applyAlignment="1">
      <alignment/>
    </xf>
    <xf numFmtId="38" fontId="1" fillId="0" borderId="6" xfId="22" applyNumberFormat="1" applyFont="1" applyFill="1" applyBorder="1">
      <alignment/>
      <protection/>
    </xf>
    <xf numFmtId="180" fontId="1" fillId="0" borderId="6" xfId="0" applyNumberFormat="1" applyFont="1" applyFill="1" applyBorder="1" applyAlignment="1">
      <alignment/>
    </xf>
    <xf numFmtId="180" fontId="1" fillId="0" borderId="6" xfId="18" applyNumberFormat="1" applyFont="1" applyFill="1" applyBorder="1" applyAlignment="1">
      <alignment/>
    </xf>
    <xf numFmtId="180" fontId="5" fillId="0" borderId="6" xfId="0" applyNumberFormat="1" applyFont="1" applyFill="1" applyBorder="1" applyAlignment="1">
      <alignment/>
    </xf>
    <xf numFmtId="180" fontId="5" fillId="0" borderId="6" xfId="18" applyNumberFormat="1" applyFont="1" applyFill="1" applyBorder="1" applyAlignment="1">
      <alignment/>
    </xf>
    <xf numFmtId="185" fontId="1" fillId="0" borderId="17" xfId="0" applyNumberFormat="1" applyFont="1" applyBorder="1" applyAlignment="1">
      <alignment/>
    </xf>
    <xf numFmtId="185" fontId="22" fillId="0" borderId="17" xfId="0" applyNumberFormat="1" applyFont="1" applyBorder="1" applyAlignment="1">
      <alignment/>
    </xf>
    <xf numFmtId="185" fontId="22" fillId="0" borderId="17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centerContinuous"/>
    </xf>
    <xf numFmtId="3" fontId="22" fillId="0" borderId="17" xfId="0" applyNumberFormat="1" applyFont="1" applyBorder="1" applyAlignment="1">
      <alignment/>
    </xf>
    <xf numFmtId="185" fontId="1" fillId="0" borderId="20" xfId="0" applyNumberFormat="1" applyFont="1" applyBorder="1" applyAlignment="1">
      <alignment/>
    </xf>
    <xf numFmtId="185" fontId="1" fillId="0" borderId="8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12" xfId="0" applyNumberFormat="1" applyFont="1" applyFill="1" applyBorder="1" applyAlignment="1">
      <alignment horizontal="left"/>
    </xf>
    <xf numFmtId="185" fontId="22" fillId="0" borderId="14" xfId="0" applyNumberFormat="1" applyFont="1" applyBorder="1" applyAlignment="1">
      <alignment/>
    </xf>
    <xf numFmtId="180" fontId="1" fillId="0" borderId="17" xfId="18" applyNumberFormat="1" applyFont="1" applyBorder="1" applyAlignment="1">
      <alignment/>
    </xf>
    <xf numFmtId="38" fontId="1" fillId="0" borderId="3" xfId="0" applyNumberFormat="1" applyFont="1" applyFill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38" fontId="1" fillId="4" borderId="4" xfId="0" applyNumberFormat="1" applyFont="1" applyFill="1" applyBorder="1" applyAlignment="1">
      <alignment horizontal="center"/>
    </xf>
    <xf numFmtId="38" fontId="1" fillId="4" borderId="5" xfId="0" applyNumberFormat="1" applyFont="1" applyFill="1" applyBorder="1" applyAlignment="1">
      <alignment horizontal="center"/>
    </xf>
    <xf numFmtId="38" fontId="1" fillId="4" borderId="14" xfId="0" applyNumberFormat="1" applyFont="1" applyFill="1" applyBorder="1" applyAlignment="1">
      <alignment horizontal="center"/>
    </xf>
    <xf numFmtId="3" fontId="1" fillId="4" borderId="15" xfId="0" applyNumberFormat="1" applyFont="1" applyFill="1" applyBorder="1" applyAlignment="1">
      <alignment horizontal="center"/>
    </xf>
    <xf numFmtId="38" fontId="1" fillId="4" borderId="2" xfId="0" applyNumberFormat="1" applyFont="1" applyFill="1" applyBorder="1" applyAlignment="1">
      <alignment horizontal="center"/>
    </xf>
    <xf numFmtId="183" fontId="1" fillId="2" borderId="0" xfId="22" applyNumberFormat="1" applyFont="1" applyFill="1" applyBorder="1" applyAlignment="1">
      <alignment horizontal="center"/>
      <protection/>
    </xf>
    <xf numFmtId="183" fontId="4" fillId="0" borderId="0" xfId="22" applyNumberFormat="1" applyFont="1" applyFill="1" applyBorder="1">
      <alignment/>
      <protection/>
    </xf>
    <xf numFmtId="38" fontId="1" fillId="0" borderId="0" xfId="22" applyNumberFormat="1" applyFont="1" applyFill="1" applyBorder="1">
      <alignment/>
      <protection/>
    </xf>
    <xf numFmtId="183" fontId="1" fillId="0" borderId="0" xfId="22" applyNumberFormat="1" applyFont="1" applyFill="1" applyBorder="1" applyAlignment="1">
      <alignment horizontal="center"/>
      <protection/>
    </xf>
    <xf numFmtId="182" fontId="13" fillId="3" borderId="0" xfId="23" applyFont="1" applyFill="1" applyBorder="1" applyAlignment="1" applyProtection="1">
      <alignment horizontal="center"/>
      <protection/>
    </xf>
    <xf numFmtId="182" fontId="15" fillId="3" borderId="0" xfId="23" applyFont="1" applyFill="1" applyBorder="1" applyAlignment="1" applyProtection="1">
      <alignment horizontal="center"/>
      <protection/>
    </xf>
    <xf numFmtId="3" fontId="27" fillId="0" borderId="0" xfId="0" applyNumberFormat="1" applyFont="1" applyAlignment="1">
      <alignment/>
    </xf>
    <xf numFmtId="3" fontId="27" fillId="0" borderId="16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1" xfId="18" applyNumberFormat="1" applyFont="1" applyFill="1" applyBorder="1" applyAlignment="1">
      <alignment/>
    </xf>
    <xf numFmtId="3" fontId="27" fillId="0" borderId="21" xfId="18" applyNumberFormat="1" applyFont="1" applyFill="1" applyBorder="1" applyAlignment="1">
      <alignment/>
    </xf>
    <xf numFmtId="3" fontId="27" fillId="0" borderId="22" xfId="18" applyNumberFormat="1" applyFont="1" applyFill="1" applyBorder="1" applyAlignment="1">
      <alignment/>
    </xf>
    <xf numFmtId="0" fontId="27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3" fontId="27" fillId="0" borderId="23" xfId="18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4" fontId="5" fillId="0" borderId="6" xfId="18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22" applyNumberFormat="1" applyFont="1" applyFill="1" applyBorder="1" applyAlignment="1">
      <alignment horizontal="left"/>
      <protection/>
    </xf>
    <xf numFmtId="3" fontId="4" fillId="0" borderId="1" xfId="22" applyNumberFormat="1" applyFont="1" applyFill="1" applyBorder="1">
      <alignment/>
      <protection/>
    </xf>
    <xf numFmtId="3" fontId="1" fillId="0" borderId="5" xfId="22" applyNumberFormat="1" applyFont="1" applyFill="1" applyBorder="1">
      <alignment/>
      <protection/>
    </xf>
    <xf numFmtId="183" fontId="4" fillId="0" borderId="1" xfId="22" applyNumberFormat="1" applyFont="1" applyFill="1" applyBorder="1">
      <alignment/>
      <protection/>
    </xf>
    <xf numFmtId="183" fontId="4" fillId="0" borderId="6" xfId="22" applyNumberFormat="1" applyFont="1" applyFill="1" applyBorder="1">
      <alignment/>
      <protection/>
    </xf>
    <xf numFmtId="182" fontId="13" fillId="3" borderId="16" xfId="23" applyFont="1" applyFill="1" applyBorder="1" applyAlignment="1" applyProtection="1">
      <alignment horizontal="center"/>
      <protection/>
    </xf>
    <xf numFmtId="182" fontId="13" fillId="3" borderId="11" xfId="23" applyFont="1" applyFill="1" applyBorder="1" applyAlignment="1" applyProtection="1">
      <alignment horizontal="center"/>
      <protection/>
    </xf>
    <xf numFmtId="182" fontId="15" fillId="3" borderId="16" xfId="23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25" fillId="0" borderId="0" xfId="0" applyFont="1" applyAlignment="1">
      <alignment/>
    </xf>
    <xf numFmtId="182" fontId="13" fillId="0" borderId="3" xfId="23" applyFont="1" applyBorder="1" applyAlignment="1" applyProtection="1">
      <alignment horizontal="center"/>
      <protection/>
    </xf>
    <xf numFmtId="182" fontId="13" fillId="0" borderId="0" xfId="23" applyFont="1" applyBorder="1" applyAlignment="1" applyProtection="1">
      <alignment horizontal="left"/>
      <protection/>
    </xf>
    <xf numFmtId="183" fontId="13" fillId="0" borderId="0" xfId="23" applyNumberFormat="1" applyFont="1" applyBorder="1" applyAlignment="1" applyProtection="1">
      <alignment horizontal="center"/>
      <protection/>
    </xf>
    <xf numFmtId="10" fontId="13" fillId="0" borderId="3" xfId="23" applyNumberFormat="1" applyFont="1" applyBorder="1" applyAlignment="1" applyProtection="1">
      <alignment horizontal="center"/>
      <protection/>
    </xf>
    <xf numFmtId="37" fontId="13" fillId="0" borderId="0" xfId="23" applyNumberFormat="1" applyFont="1" applyBorder="1" applyProtection="1">
      <alignment/>
      <protection/>
    </xf>
    <xf numFmtId="37" fontId="13" fillId="0" borderId="3" xfId="23" applyNumberFormat="1" applyFont="1" applyBorder="1" applyProtection="1">
      <alignment/>
      <protection/>
    </xf>
    <xf numFmtId="37" fontId="13" fillId="0" borderId="16" xfId="23" applyNumberFormat="1" applyFont="1" applyBorder="1" applyProtection="1">
      <alignment/>
      <protection/>
    </xf>
    <xf numFmtId="182" fontId="26" fillId="0" borderId="6" xfId="23" applyFont="1" applyBorder="1" applyAlignment="1" applyProtection="1">
      <alignment horizontal="center"/>
      <protection/>
    </xf>
    <xf numFmtId="182" fontId="26" fillId="0" borderId="5" xfId="23" applyFont="1" applyBorder="1" applyAlignment="1" applyProtection="1">
      <alignment horizontal="left"/>
      <protection/>
    </xf>
    <xf numFmtId="182" fontId="26" fillId="0" borderId="6" xfId="23" applyFont="1" applyBorder="1">
      <alignment/>
      <protection/>
    </xf>
    <xf numFmtId="183" fontId="26" fillId="0" borderId="5" xfId="23" applyNumberFormat="1" applyFont="1" applyBorder="1">
      <alignment/>
      <protection/>
    </xf>
    <xf numFmtId="10" fontId="26" fillId="0" borderId="6" xfId="23" applyNumberFormat="1" applyFont="1" applyBorder="1">
      <alignment/>
      <protection/>
    </xf>
    <xf numFmtId="38" fontId="26" fillId="0" borderId="5" xfId="23" applyNumberFormat="1" applyFont="1" applyBorder="1" applyAlignment="1" applyProtection="1">
      <alignment horizontal="center"/>
      <protection/>
    </xf>
    <xf numFmtId="187" fontId="25" fillId="0" borderId="0" xfId="17" applyNumberFormat="1" applyFont="1" applyAlignment="1">
      <alignment/>
    </xf>
    <xf numFmtId="38" fontId="22" fillId="0" borderId="6" xfId="23" applyNumberFormat="1" applyFont="1" applyBorder="1" applyAlignment="1" applyProtection="1">
      <alignment horizontal="center"/>
      <protection/>
    </xf>
    <xf numFmtId="38" fontId="22" fillId="0" borderId="3" xfId="23" applyNumberFormat="1" applyFont="1" applyBorder="1" applyAlignment="1" applyProtection="1">
      <alignment horizontal="center"/>
      <protection/>
    </xf>
    <xf numFmtId="180" fontId="28" fillId="0" borderId="3" xfId="18" applyNumberFormat="1" applyFont="1" applyBorder="1" applyAlignment="1">
      <alignment/>
    </xf>
    <xf numFmtId="180" fontId="28" fillId="0" borderId="3" xfId="0" applyNumberFormat="1" applyFont="1" applyBorder="1" applyAlignment="1">
      <alignment/>
    </xf>
    <xf numFmtId="187" fontId="0" fillId="0" borderId="0" xfId="17" applyNumberForma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NEXOS" xfId="21"/>
    <cellStyle name="Normal_Distbpsto99" xfId="22"/>
    <cellStyle name="Normal_PSTOAD9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0"/>
  <sheetViews>
    <sheetView workbookViewId="0" topLeftCell="A56">
      <selection activeCell="D84" sqref="D84"/>
    </sheetView>
  </sheetViews>
  <sheetFormatPr defaultColWidth="11.421875" defaultRowHeight="12.75"/>
  <cols>
    <col min="1" max="1" width="2.57421875" style="0" customWidth="1"/>
    <col min="2" max="2" width="6.00390625" style="0" customWidth="1"/>
    <col min="3" max="3" width="35.7109375" style="0" customWidth="1"/>
    <col min="4" max="4" width="13.421875" style="0" customWidth="1"/>
    <col min="5" max="5" width="12.8515625" style="0" customWidth="1"/>
    <col min="6" max="7" width="14.8515625" style="0" customWidth="1"/>
    <col min="8" max="8" width="12.140625" style="0" bestFit="1" customWidth="1"/>
  </cols>
  <sheetData>
    <row r="1" spans="2:7" s="6" customFormat="1" ht="12.75">
      <c r="B1" s="45" t="s">
        <v>0</v>
      </c>
      <c r="C1" s="46" t="s">
        <v>1</v>
      </c>
      <c r="D1" s="47" t="s">
        <v>5</v>
      </c>
      <c r="E1" s="47" t="s">
        <v>10</v>
      </c>
      <c r="F1" s="47" t="s">
        <v>11</v>
      </c>
      <c r="G1" s="47" t="s">
        <v>12</v>
      </c>
    </row>
    <row r="2" spans="2:7" s="6" customFormat="1" ht="12.75">
      <c r="B2" s="7"/>
      <c r="C2" s="48"/>
      <c r="D2" s="49" t="s">
        <v>308</v>
      </c>
      <c r="E2" s="49" t="s">
        <v>17</v>
      </c>
      <c r="F2" s="49" t="s">
        <v>18</v>
      </c>
      <c r="G2" s="49" t="s">
        <v>19</v>
      </c>
    </row>
    <row r="3" spans="2:7" s="18" customFormat="1" ht="12.75">
      <c r="B3" s="13">
        <v>1</v>
      </c>
      <c r="C3" s="14" t="s">
        <v>20</v>
      </c>
      <c r="D3" s="16">
        <f>SUM(D5+D34)</f>
        <v>4163444810</v>
      </c>
      <c r="E3" s="16">
        <f>SUM(E5+E34)</f>
        <v>2910145736</v>
      </c>
      <c r="F3" s="16">
        <f>SUM(F5+F34)</f>
        <v>0</v>
      </c>
      <c r="G3" s="16">
        <f>SUM(G5+G34)</f>
        <v>1253299074</v>
      </c>
    </row>
    <row r="4" spans="2:7" ht="12.75">
      <c r="B4" s="19"/>
      <c r="C4" s="20"/>
      <c r="D4" s="22"/>
      <c r="E4" s="22"/>
      <c r="F4" s="22"/>
      <c r="G4" s="22"/>
    </row>
    <row r="5" spans="2:7" s="28" customFormat="1" ht="12.75">
      <c r="B5" s="24">
        <v>1.1</v>
      </c>
      <c r="C5" s="25" t="s">
        <v>21</v>
      </c>
      <c r="D5" s="26">
        <f>SUM(D6+D12)</f>
        <v>635936598</v>
      </c>
      <c r="E5" s="26">
        <f>SUM(E6+E12)</f>
        <v>0</v>
      </c>
      <c r="F5" s="26">
        <f>SUM(F6+F12)</f>
        <v>0</v>
      </c>
      <c r="G5" s="26">
        <f>SUM(G6+G12)</f>
        <v>635936598</v>
      </c>
    </row>
    <row r="6" spans="2:7" ht="12.75">
      <c r="B6" s="13" t="s">
        <v>22</v>
      </c>
      <c r="C6" s="14" t="s">
        <v>23</v>
      </c>
      <c r="D6" s="16">
        <f>SUM(D7:D10)</f>
        <v>208332153</v>
      </c>
      <c r="E6" s="16">
        <f>SUM(E7:E10)</f>
        <v>0</v>
      </c>
      <c r="F6" s="16">
        <f>SUM(F7:F10)</f>
        <v>0</v>
      </c>
      <c r="G6" s="16">
        <f>SUM(G7:G10)</f>
        <v>208332153</v>
      </c>
    </row>
    <row r="7" spans="2:7" ht="12.75">
      <c r="B7" s="19">
        <v>11101</v>
      </c>
      <c r="C7" s="20" t="s">
        <v>24</v>
      </c>
      <c r="D7" s="22">
        <v>206183651</v>
      </c>
      <c r="E7" s="22"/>
      <c r="F7" s="22"/>
      <c r="G7" s="22">
        <f>+D7</f>
        <v>206183651</v>
      </c>
    </row>
    <row r="8" spans="2:7" ht="12.75">
      <c r="B8" s="19">
        <v>11102</v>
      </c>
      <c r="C8" s="20" t="s">
        <v>25</v>
      </c>
      <c r="D8" s="22"/>
      <c r="E8" s="22">
        <f>+D8</f>
        <v>0</v>
      </c>
      <c r="F8" s="22"/>
      <c r="G8" s="22"/>
    </row>
    <row r="9" spans="2:7" ht="12.75">
      <c r="B9" s="19">
        <v>11103</v>
      </c>
      <c r="C9" s="20" t="s">
        <v>26</v>
      </c>
      <c r="D9" s="22">
        <v>1344502</v>
      </c>
      <c r="E9" s="22"/>
      <c r="F9" s="22"/>
      <c r="G9" s="22">
        <f>+D9</f>
        <v>1344502</v>
      </c>
    </row>
    <row r="10" spans="2:7" ht="12.75">
      <c r="B10" s="19">
        <v>11104</v>
      </c>
      <c r="C10" s="20" t="s">
        <v>27</v>
      </c>
      <c r="D10" s="22">
        <v>804000</v>
      </c>
      <c r="E10" s="22"/>
      <c r="F10" s="22"/>
      <c r="G10" s="22">
        <f>+D10</f>
        <v>804000</v>
      </c>
    </row>
    <row r="11" spans="2:7" ht="12.75">
      <c r="B11" s="19"/>
      <c r="C11" s="256"/>
      <c r="D11" s="22"/>
      <c r="E11" s="22"/>
      <c r="F11" s="22"/>
      <c r="G11" s="22"/>
    </row>
    <row r="12" spans="2:7" ht="12.75">
      <c r="B12" s="13" t="s">
        <v>28</v>
      </c>
      <c r="C12" s="14" t="s">
        <v>29</v>
      </c>
      <c r="D12" s="16">
        <f>SUM(D13:D32)</f>
        <v>427604445</v>
      </c>
      <c r="E12" s="16">
        <f>SUM(E13:E32)</f>
        <v>0</v>
      </c>
      <c r="F12" s="16">
        <f>SUM(F13:F32)</f>
        <v>0</v>
      </c>
      <c r="G12" s="16">
        <f>SUM(G13:G32)</f>
        <v>427604445</v>
      </c>
    </row>
    <row r="13" spans="2:7" ht="12.75">
      <c r="B13" s="19"/>
      <c r="C13" s="20" t="s">
        <v>30</v>
      </c>
      <c r="D13" s="22">
        <v>198466657</v>
      </c>
      <c r="E13" s="22"/>
      <c r="F13" s="22"/>
      <c r="G13" s="22">
        <f>+D13</f>
        <v>198466657</v>
      </c>
    </row>
    <row r="14" spans="2:7" ht="12.75">
      <c r="B14" s="19"/>
      <c r="C14" s="20" t="s">
        <v>31</v>
      </c>
      <c r="D14" s="22">
        <v>26858077</v>
      </c>
      <c r="E14" s="22"/>
      <c r="F14" s="22"/>
      <c r="G14" s="22">
        <f>+D14</f>
        <v>26858077</v>
      </c>
    </row>
    <row r="15" spans="2:6" ht="12.75">
      <c r="B15" s="19"/>
      <c r="C15" s="20" t="s">
        <v>32</v>
      </c>
      <c r="D15" s="22"/>
      <c r="E15" s="22">
        <f>+D15</f>
        <v>0</v>
      </c>
      <c r="F15" s="22"/>
    </row>
    <row r="16" spans="2:7" ht="12.75">
      <c r="B16" s="19"/>
      <c r="C16" s="20" t="s">
        <v>33</v>
      </c>
      <c r="D16" s="22">
        <v>177219661</v>
      </c>
      <c r="F16" s="22"/>
      <c r="G16" s="22">
        <f>+D16</f>
        <v>177219661</v>
      </c>
    </row>
    <row r="17" spans="2:7" ht="12.75">
      <c r="B17" s="19"/>
      <c r="C17" s="20" t="s">
        <v>34</v>
      </c>
      <c r="D17" s="22"/>
      <c r="E17" s="22">
        <f>+D17</f>
        <v>0</v>
      </c>
      <c r="F17" s="22"/>
      <c r="G17" s="22"/>
    </row>
    <row r="18" spans="2:7" ht="12.75">
      <c r="B18" s="19"/>
      <c r="C18" s="20" t="s">
        <v>35</v>
      </c>
      <c r="D18" s="22">
        <f>SUM('ANALISIS INGRESOS'!O19)</f>
        <v>0</v>
      </c>
      <c r="E18" s="22">
        <f>+D18</f>
        <v>0</v>
      </c>
      <c r="F18" s="22"/>
      <c r="G18" s="22"/>
    </row>
    <row r="19" spans="2:7" ht="12.75">
      <c r="B19" s="19"/>
      <c r="C19" s="20" t="s">
        <v>36</v>
      </c>
      <c r="D19" s="22"/>
      <c r="E19" s="22">
        <f>+D19</f>
        <v>0</v>
      </c>
      <c r="F19" s="22"/>
      <c r="G19" s="22"/>
    </row>
    <row r="20" spans="2:7" ht="12.75">
      <c r="B20" s="19"/>
      <c r="C20" s="20" t="s">
        <v>37</v>
      </c>
      <c r="D20" s="22"/>
      <c r="E20" s="22">
        <f>+D20</f>
        <v>0</v>
      </c>
      <c r="F20" s="22"/>
      <c r="G20" s="22"/>
    </row>
    <row r="21" spans="2:7" ht="12.75">
      <c r="B21" s="19"/>
      <c r="C21" s="20" t="s">
        <v>38</v>
      </c>
      <c r="D21" s="22">
        <v>807750</v>
      </c>
      <c r="E21" s="22"/>
      <c r="F21" s="22"/>
      <c r="G21" s="22">
        <f aca="true" t="shared" si="0" ref="G21:G29">+D21</f>
        <v>807750</v>
      </c>
    </row>
    <row r="22" spans="2:7" ht="12.75">
      <c r="B22" s="19"/>
      <c r="C22" s="20" t="s">
        <v>39</v>
      </c>
      <c r="D22" s="22">
        <v>2430200</v>
      </c>
      <c r="E22" s="22"/>
      <c r="F22" s="22"/>
      <c r="G22" s="22">
        <f t="shared" si="0"/>
        <v>2430200</v>
      </c>
    </row>
    <row r="23" spans="2:7" ht="12.75">
      <c r="B23" s="19"/>
      <c r="C23" s="20" t="s">
        <v>40</v>
      </c>
      <c r="D23" s="22">
        <v>92000</v>
      </c>
      <c r="E23" s="22"/>
      <c r="F23" s="22"/>
      <c r="G23" s="22">
        <f t="shared" si="0"/>
        <v>92000</v>
      </c>
    </row>
    <row r="24" spans="2:7" ht="12.75">
      <c r="B24" s="19"/>
      <c r="C24" s="20" t="s">
        <v>41</v>
      </c>
      <c r="D24" s="22">
        <v>836400</v>
      </c>
      <c r="E24" s="22"/>
      <c r="F24" s="22"/>
      <c r="G24" s="22">
        <f t="shared" si="0"/>
        <v>836400</v>
      </c>
    </row>
    <row r="25" spans="2:7" ht="12.75">
      <c r="B25" s="19"/>
      <c r="C25" s="20" t="s">
        <v>42</v>
      </c>
      <c r="D25" s="22">
        <v>20893700</v>
      </c>
      <c r="E25" s="22"/>
      <c r="F25" s="22"/>
      <c r="G25" s="22">
        <f t="shared" si="0"/>
        <v>20893700</v>
      </c>
    </row>
    <row r="26" spans="2:7" ht="12.75">
      <c r="B26" s="19"/>
      <c r="C26" s="20" t="s">
        <v>43</v>
      </c>
      <c r="D26" s="22">
        <f>SUM('ANALISIS INGRESOS'!O27)</f>
        <v>0</v>
      </c>
      <c r="E26" s="22"/>
      <c r="F26" s="22"/>
      <c r="G26" s="22">
        <f t="shared" si="0"/>
        <v>0</v>
      </c>
    </row>
    <row r="27" spans="2:7" ht="12.75">
      <c r="B27" s="19"/>
      <c r="C27" s="20" t="s">
        <v>44</v>
      </c>
      <c r="D27" s="22">
        <f>SUM('ANALISIS INGRESOS'!O28)</f>
        <v>0</v>
      </c>
      <c r="E27" s="22"/>
      <c r="F27" s="22"/>
      <c r="G27" s="22">
        <f t="shared" si="0"/>
        <v>0</v>
      </c>
    </row>
    <row r="28" spans="2:7" ht="12.75">
      <c r="B28" s="19"/>
      <c r="C28" s="20" t="s">
        <v>45</v>
      </c>
      <c r="D28" s="22">
        <f>SUM('ANALISIS INGRESOS'!O29)</f>
        <v>0</v>
      </c>
      <c r="E28" s="22"/>
      <c r="F28" s="22"/>
      <c r="G28" s="22">
        <f t="shared" si="0"/>
        <v>0</v>
      </c>
    </row>
    <row r="29" spans="2:7" ht="12.75">
      <c r="B29" s="19"/>
      <c r="C29" s="20" t="s">
        <v>46</v>
      </c>
      <c r="D29" s="22">
        <f>SUM('ANALISIS INGRESOS'!O30)</f>
        <v>0</v>
      </c>
      <c r="E29" s="22"/>
      <c r="F29" s="22"/>
      <c r="G29" s="22">
        <f t="shared" si="0"/>
        <v>0</v>
      </c>
    </row>
    <row r="30" spans="2:7" ht="12.75">
      <c r="B30" s="19"/>
      <c r="C30" s="20" t="s">
        <v>47</v>
      </c>
      <c r="D30" s="22"/>
      <c r="E30" s="22"/>
      <c r="F30" s="22"/>
      <c r="G30" s="22"/>
    </row>
    <row r="31" spans="2:7" ht="12.75">
      <c r="B31" s="19"/>
      <c r="C31" s="20" t="s">
        <v>266</v>
      </c>
      <c r="D31" s="22"/>
      <c r="E31" s="22">
        <f>+D31</f>
        <v>0</v>
      </c>
      <c r="F31" s="22"/>
      <c r="G31" s="22"/>
    </row>
    <row r="32" spans="2:7" ht="12.75">
      <c r="B32" s="19"/>
      <c r="C32" s="20" t="s">
        <v>279</v>
      </c>
      <c r="D32" s="22"/>
      <c r="E32" s="22">
        <f>+D32</f>
        <v>0</v>
      </c>
      <c r="F32" s="21"/>
      <c r="G32" s="21"/>
    </row>
    <row r="33" spans="2:7" ht="12.75">
      <c r="B33" s="19"/>
      <c r="C33" s="20"/>
      <c r="D33" s="22"/>
      <c r="E33" s="22"/>
      <c r="F33" s="21"/>
      <c r="G33" s="21"/>
    </row>
    <row r="34" spans="2:7" s="28" customFormat="1" ht="12.75">
      <c r="B34" s="24">
        <v>1.2</v>
      </c>
      <c r="C34" s="25" t="s">
        <v>48</v>
      </c>
      <c r="D34" s="26">
        <f>SUM(D35+D56+D60+D68)</f>
        <v>3527508212</v>
      </c>
      <c r="E34" s="26">
        <f>SUM(E35+E56+E60+E68)</f>
        <v>2910145736</v>
      </c>
      <c r="F34" s="26">
        <f>SUM(F35+F56+F60+F68)</f>
        <v>0</v>
      </c>
      <c r="G34" s="26">
        <f>SUM(G35+G56+G60+G68)</f>
        <v>617362476</v>
      </c>
    </row>
    <row r="35" spans="2:7" ht="12.75">
      <c r="B35" s="13" t="s">
        <v>49</v>
      </c>
      <c r="C35" s="14" t="s">
        <v>50</v>
      </c>
      <c r="D35" s="16">
        <f>SUM(D36:D48)</f>
        <v>38106763</v>
      </c>
      <c r="E35" s="16">
        <f>SUM(E36:E48)</f>
        <v>0</v>
      </c>
      <c r="F35" s="16">
        <f>SUM(F36:F48)</f>
        <v>0</v>
      </c>
      <c r="G35" s="16">
        <f>SUM(G36:G48)</f>
        <v>38106763</v>
      </c>
    </row>
    <row r="36" spans="2:7" ht="12.75">
      <c r="B36" s="19"/>
      <c r="C36" s="20" t="s">
        <v>51</v>
      </c>
      <c r="D36" s="22">
        <f>SUM('ANALISIS INGRESOS'!T38)</f>
        <v>0</v>
      </c>
      <c r="E36" s="22"/>
      <c r="F36" s="22"/>
      <c r="G36" s="22">
        <f aca="true" t="shared" si="1" ref="G36:G43">+D36</f>
        <v>0</v>
      </c>
    </row>
    <row r="37" spans="2:7" ht="12.75">
      <c r="B37" s="19"/>
      <c r="C37" s="20" t="s">
        <v>52</v>
      </c>
      <c r="D37" s="22">
        <v>6630635</v>
      </c>
      <c r="E37" s="22"/>
      <c r="F37" s="22"/>
      <c r="G37" s="22">
        <f t="shared" si="1"/>
        <v>6630635</v>
      </c>
    </row>
    <row r="38" spans="2:7" ht="12.75">
      <c r="B38" s="19"/>
      <c r="C38" s="20" t="s">
        <v>53</v>
      </c>
      <c r="D38" s="22">
        <f>SUM('ANALISIS INGRESOS'!O40)</f>
        <v>0</v>
      </c>
      <c r="E38" s="22"/>
      <c r="F38" s="22"/>
      <c r="G38" s="22">
        <f t="shared" si="1"/>
        <v>0</v>
      </c>
    </row>
    <row r="39" spans="2:7" ht="12.75">
      <c r="B39" s="19"/>
      <c r="C39" s="20" t="s">
        <v>313</v>
      </c>
      <c r="D39" s="22">
        <v>16951140</v>
      </c>
      <c r="E39" s="22"/>
      <c r="F39" s="22"/>
      <c r="G39" s="22">
        <f t="shared" si="1"/>
        <v>16951140</v>
      </c>
    </row>
    <row r="40" spans="2:7" ht="12.75">
      <c r="B40" s="19"/>
      <c r="C40" s="20" t="s">
        <v>55</v>
      </c>
      <c r="D40" s="22">
        <v>135000</v>
      </c>
      <c r="E40" s="22"/>
      <c r="F40" s="22"/>
      <c r="G40" s="22">
        <f t="shared" si="1"/>
        <v>135000</v>
      </c>
    </row>
    <row r="41" spans="2:7" ht="12.75">
      <c r="B41" s="19"/>
      <c r="C41" s="20" t="s">
        <v>56</v>
      </c>
      <c r="D41" s="22"/>
      <c r="E41" s="22"/>
      <c r="F41" s="22"/>
      <c r="G41" s="22">
        <f t="shared" si="1"/>
        <v>0</v>
      </c>
    </row>
    <row r="42" spans="2:7" ht="12.75">
      <c r="B42" s="19"/>
      <c r="C42" s="20" t="s">
        <v>57</v>
      </c>
      <c r="D42" s="22">
        <v>5169554</v>
      </c>
      <c r="E42" s="22"/>
      <c r="F42" s="22"/>
      <c r="G42" s="22">
        <f t="shared" si="1"/>
        <v>5169554</v>
      </c>
    </row>
    <row r="43" spans="2:7" ht="12.75">
      <c r="B43" s="19"/>
      <c r="C43" s="20" t="s">
        <v>58</v>
      </c>
      <c r="D43" s="22">
        <v>772850</v>
      </c>
      <c r="E43" s="22"/>
      <c r="F43" s="22"/>
      <c r="G43" s="22">
        <f t="shared" si="1"/>
        <v>772850</v>
      </c>
    </row>
    <row r="44" spans="2:7" ht="12.75">
      <c r="B44" s="19"/>
      <c r="C44" s="20" t="s">
        <v>59</v>
      </c>
      <c r="D44" s="22">
        <f>SUM('ANALISIS INGRESOS'!O46)</f>
        <v>0</v>
      </c>
      <c r="E44" s="22">
        <f>+D44</f>
        <v>0</v>
      </c>
      <c r="F44" s="22"/>
      <c r="G44" s="22"/>
    </row>
    <row r="45" spans="2:7" ht="12.75">
      <c r="B45" s="19"/>
      <c r="C45" s="20" t="s">
        <v>60</v>
      </c>
      <c r="D45" s="22">
        <v>4313084</v>
      </c>
      <c r="E45" s="22"/>
      <c r="F45" s="22"/>
      <c r="G45" s="22">
        <f>+D45</f>
        <v>4313084</v>
      </c>
    </row>
    <row r="46" spans="2:7" ht="12.75">
      <c r="B46" s="19"/>
      <c r="C46" s="20" t="s">
        <v>61</v>
      </c>
      <c r="D46" s="22"/>
      <c r="E46" s="22"/>
      <c r="F46" s="22"/>
      <c r="G46" s="22">
        <f>+D46</f>
        <v>0</v>
      </c>
    </row>
    <row r="47" spans="2:7" ht="12.75">
      <c r="B47" s="19"/>
      <c r="C47" s="20" t="s">
        <v>204</v>
      </c>
      <c r="D47" s="22">
        <v>3790500</v>
      </c>
      <c r="E47" s="22"/>
      <c r="F47" s="22"/>
      <c r="G47" s="22">
        <f>+D47</f>
        <v>3790500</v>
      </c>
    </row>
    <row r="48" spans="2:7" ht="12.75">
      <c r="B48" s="19"/>
      <c r="C48" s="51" t="s">
        <v>284</v>
      </c>
      <c r="D48" s="22">
        <v>344000</v>
      </c>
      <c r="E48" s="53"/>
      <c r="F48" s="22"/>
      <c r="G48" s="22">
        <f>+D48</f>
        <v>344000</v>
      </c>
    </row>
    <row r="49" spans="2:7" ht="12.75">
      <c r="B49" s="239"/>
      <c r="C49" s="170"/>
      <c r="D49" s="287"/>
      <c r="E49" s="287"/>
      <c r="F49" s="271"/>
      <c r="G49" s="271"/>
    </row>
    <row r="50" spans="2:7" ht="12.75">
      <c r="B50" s="57"/>
      <c r="C50" s="51"/>
      <c r="D50" s="53"/>
      <c r="E50" s="53"/>
      <c r="F50" s="53"/>
      <c r="G50" s="53"/>
    </row>
    <row r="51" spans="2:7" ht="12.75">
      <c r="B51" s="57"/>
      <c r="C51" s="51"/>
      <c r="D51" s="53"/>
      <c r="E51" s="53"/>
      <c r="F51" s="53"/>
      <c r="G51" s="53"/>
    </row>
    <row r="52" spans="2:7" ht="12.75">
      <c r="B52" s="240"/>
      <c r="C52" s="170"/>
      <c r="D52" s="287"/>
      <c r="E52" s="287"/>
      <c r="F52" s="287"/>
      <c r="G52" s="287"/>
    </row>
    <row r="53" spans="2:7" ht="12.75">
      <c r="B53" s="19"/>
      <c r="C53" s="285" t="s">
        <v>1</v>
      </c>
      <c r="D53" s="286" t="s">
        <v>5</v>
      </c>
      <c r="E53" s="286" t="s">
        <v>10</v>
      </c>
      <c r="F53" s="286" t="s">
        <v>11</v>
      </c>
      <c r="G53" s="286" t="s">
        <v>12</v>
      </c>
    </row>
    <row r="54" spans="2:7" ht="12.75">
      <c r="B54" s="19"/>
      <c r="C54" s="48"/>
      <c r="D54" s="49" t="s">
        <v>280</v>
      </c>
      <c r="E54" s="49" t="s">
        <v>17</v>
      </c>
      <c r="F54" s="49" t="s">
        <v>18</v>
      </c>
      <c r="G54" s="49" t="s">
        <v>19</v>
      </c>
    </row>
    <row r="55" spans="2:7" ht="12.75">
      <c r="B55" s="19"/>
      <c r="D55" s="281"/>
      <c r="E55" s="282"/>
      <c r="F55" s="22"/>
      <c r="G55" s="22"/>
    </row>
    <row r="56" spans="2:7" ht="12.75">
      <c r="B56" s="13" t="s">
        <v>63</v>
      </c>
      <c r="C56" s="14" t="s">
        <v>64</v>
      </c>
      <c r="D56" s="15">
        <f>SUM(D57:D58)</f>
        <v>0</v>
      </c>
      <c r="E56" s="15">
        <f>SUM(E57:E58)</f>
        <v>0</v>
      </c>
      <c r="F56" s="15">
        <f>SUM(F57:F58)</f>
        <v>0</v>
      </c>
      <c r="G56" s="15">
        <f>SUM(G57:G58)</f>
        <v>0</v>
      </c>
    </row>
    <row r="57" spans="2:7" ht="12.75">
      <c r="B57" s="19"/>
      <c r="C57" s="20" t="s">
        <v>65</v>
      </c>
      <c r="D57" s="21">
        <f>SUM('ANALISIS INGRESOS'!T53)</f>
        <v>0</v>
      </c>
      <c r="E57" s="21"/>
      <c r="F57" s="21"/>
      <c r="G57" s="22">
        <f>+D57</f>
        <v>0</v>
      </c>
    </row>
    <row r="58" spans="2:7" ht="12.75">
      <c r="B58" s="19"/>
      <c r="C58" s="20" t="s">
        <v>66</v>
      </c>
      <c r="D58" s="21">
        <f>SUM('ANALISIS INGRESOS'!T54)</f>
        <v>0</v>
      </c>
      <c r="E58" s="283">
        <f>+D58</f>
        <v>0</v>
      </c>
      <c r="F58" s="21"/>
      <c r="G58" s="22"/>
    </row>
    <row r="59" spans="2:7" ht="12.75">
      <c r="B59" s="19"/>
      <c r="C59" s="20"/>
      <c r="D59" s="283"/>
      <c r="E59" s="283"/>
      <c r="F59" s="283"/>
      <c r="G59" s="284"/>
    </row>
    <row r="60" spans="2:7" ht="12.75">
      <c r="B60" s="13" t="s">
        <v>67</v>
      </c>
      <c r="C60" s="14" t="s">
        <v>282</v>
      </c>
      <c r="D60" s="16">
        <f>SUM(D61:D66)</f>
        <v>3428023617</v>
      </c>
      <c r="E60" s="16">
        <f>SUM(E61:E66)</f>
        <v>2848767904</v>
      </c>
      <c r="F60" s="16">
        <f>SUM(F61:F66)</f>
        <v>0</v>
      </c>
      <c r="G60" s="16">
        <f>SUM(G61:G66)</f>
        <v>579255713</v>
      </c>
    </row>
    <row r="61" spans="2:7" ht="12.75">
      <c r="B61" s="19"/>
      <c r="C61" s="20" t="s">
        <v>69</v>
      </c>
      <c r="D61" s="22">
        <f>SUM('ANALISIS INGRESOS'!O57)</f>
        <v>248704973</v>
      </c>
      <c r="E61" s="22">
        <f>+D61</f>
        <v>248704973</v>
      </c>
      <c r="F61" s="21"/>
      <c r="G61" s="21"/>
    </row>
    <row r="62" spans="2:7" ht="12.75">
      <c r="B62" s="19"/>
      <c r="C62" s="20" t="s">
        <v>70</v>
      </c>
      <c r="D62" s="22">
        <v>579255713</v>
      </c>
      <c r="E62" s="22"/>
      <c r="F62" s="22"/>
      <c r="G62" s="22">
        <f>+D62</f>
        <v>579255713</v>
      </c>
    </row>
    <row r="63" spans="2:7" ht="12.75">
      <c r="B63" s="19"/>
      <c r="C63" s="20" t="s">
        <v>71</v>
      </c>
      <c r="D63" s="22">
        <f>SUM('ANALISIS INGRESOS'!O59)</f>
        <v>402722945</v>
      </c>
      <c r="E63" s="22">
        <f>+D63</f>
        <v>402722945</v>
      </c>
      <c r="F63" s="22"/>
      <c r="G63" s="22"/>
    </row>
    <row r="64" spans="2:7" ht="12.75">
      <c r="B64" s="19"/>
      <c r="C64" s="51" t="s">
        <v>265</v>
      </c>
      <c r="D64" s="22">
        <f>SUM('ANALISIS INGRESOS'!O60)</f>
        <v>1050476458</v>
      </c>
      <c r="E64" s="22">
        <f>+D64</f>
        <v>1050476458</v>
      </c>
      <c r="F64" s="22"/>
      <c r="G64" s="22"/>
    </row>
    <row r="65" spans="2:7" ht="12.75">
      <c r="B65" s="19"/>
      <c r="C65" s="20" t="s">
        <v>72</v>
      </c>
      <c r="D65" s="22">
        <f>SUM('ANALISIS INGRESOS'!O61)</f>
        <v>1095088076</v>
      </c>
      <c r="E65" s="22">
        <f>+D65</f>
        <v>1095088076</v>
      </c>
      <c r="F65" s="22"/>
      <c r="G65" s="22"/>
    </row>
    <row r="66" spans="2:7" ht="12.75">
      <c r="B66" s="19"/>
      <c r="C66" s="20" t="s">
        <v>73</v>
      </c>
      <c r="D66" s="22">
        <f>SUM('ANALISIS INGRESOS'!O62)</f>
        <v>51775452</v>
      </c>
      <c r="E66" s="22">
        <f>+D66</f>
        <v>51775452</v>
      </c>
      <c r="F66" s="22"/>
      <c r="G66" s="22"/>
    </row>
    <row r="67" spans="2:7" ht="12.75">
      <c r="B67" s="19"/>
      <c r="C67" s="20"/>
      <c r="D67" s="22"/>
      <c r="E67" s="22"/>
      <c r="F67" s="22"/>
      <c r="G67" s="22"/>
    </row>
    <row r="68" spans="2:7" s="18" customFormat="1" ht="12.75">
      <c r="B68" s="13">
        <v>2</v>
      </c>
      <c r="C68" s="14" t="s">
        <v>74</v>
      </c>
      <c r="D68" s="15">
        <f>SUM(D69:D69)</f>
        <v>61377832</v>
      </c>
      <c r="E68" s="15">
        <f>SUM(E69:E69)</f>
        <v>61377832</v>
      </c>
      <c r="F68" s="15">
        <f>SUM(F69:F69)</f>
        <v>0</v>
      </c>
      <c r="G68" s="15">
        <f>SUM(G69:G69)</f>
        <v>0</v>
      </c>
    </row>
    <row r="69" spans="2:7" ht="12.75">
      <c r="B69" s="19"/>
      <c r="C69" s="20" t="s">
        <v>75</v>
      </c>
      <c r="D69" s="22">
        <v>61377832</v>
      </c>
      <c r="E69" s="21">
        <f>+D69</f>
        <v>61377832</v>
      </c>
      <c r="F69" s="21"/>
      <c r="G69" s="22"/>
    </row>
    <row r="70" spans="2:7" ht="12.75">
      <c r="B70" s="19"/>
      <c r="C70" s="20"/>
      <c r="D70" s="21"/>
      <c r="E70" s="21"/>
      <c r="F70" s="21"/>
      <c r="G70" s="21"/>
    </row>
    <row r="71" spans="2:7" ht="12.75">
      <c r="B71" s="19"/>
      <c r="C71" s="20"/>
      <c r="D71" s="22"/>
      <c r="E71" s="22"/>
      <c r="F71" s="22"/>
      <c r="G71" s="22"/>
    </row>
    <row r="72" spans="2:7" s="18" customFormat="1" ht="12.75">
      <c r="B72" s="13">
        <v>3</v>
      </c>
      <c r="C72" s="14" t="s">
        <v>76</v>
      </c>
      <c r="D72" s="15">
        <f>SUM(D73:D76)</f>
        <v>2474980021</v>
      </c>
      <c r="E72" s="15">
        <f>SUM(E73:E76)</f>
        <v>0</v>
      </c>
      <c r="F72" s="15">
        <f>SUM(F73:F76)</f>
        <v>12515743</v>
      </c>
      <c r="G72" s="15">
        <f>SUM(G73:G76)</f>
        <v>0</v>
      </c>
    </row>
    <row r="73" spans="2:7" ht="12.75">
      <c r="B73" s="19"/>
      <c r="C73" s="20" t="s">
        <v>77</v>
      </c>
      <c r="D73" s="21">
        <v>2462464278</v>
      </c>
      <c r="E73" s="21"/>
      <c r="F73" s="21"/>
      <c r="G73" s="21"/>
    </row>
    <row r="74" spans="2:7" ht="12.75">
      <c r="B74" s="19"/>
      <c r="C74" s="20" t="s">
        <v>78</v>
      </c>
      <c r="D74" s="21">
        <f>SUM('ANALISIS INGRESOS'!O80)</f>
        <v>12515743</v>
      </c>
      <c r="E74" s="21"/>
      <c r="F74" s="21">
        <f>D74</f>
        <v>12515743</v>
      </c>
      <c r="G74" s="21"/>
    </row>
    <row r="75" spans="2:7" ht="12.75">
      <c r="B75" s="19"/>
      <c r="C75" s="20" t="s">
        <v>86</v>
      </c>
      <c r="D75" s="21">
        <f>SUM('ANALISIS INGRESOS'!T82)</f>
        <v>0</v>
      </c>
      <c r="E75" s="21"/>
      <c r="F75" s="21">
        <f>D75</f>
        <v>0</v>
      </c>
      <c r="G75" s="21"/>
    </row>
    <row r="76" spans="2:7" ht="12.75">
      <c r="B76" s="19"/>
      <c r="C76" s="20" t="s">
        <v>80</v>
      </c>
      <c r="D76" s="21">
        <f>SUM('ANALISIS INGRESOS'!T85)</f>
        <v>0</v>
      </c>
      <c r="E76" s="21"/>
      <c r="F76" s="21">
        <f>D76</f>
        <v>0</v>
      </c>
      <c r="G76" s="21"/>
    </row>
    <row r="77" spans="2:7" ht="12.75">
      <c r="B77" s="19"/>
      <c r="C77" s="20"/>
      <c r="D77" s="22"/>
      <c r="E77" s="21">
        <f>F77</f>
        <v>0</v>
      </c>
      <c r="F77" s="22"/>
      <c r="G77" s="22"/>
    </row>
    <row r="78" spans="2:7" s="37" customFormat="1" ht="12.75">
      <c r="B78" s="32"/>
      <c r="C78" s="33" t="s">
        <v>81</v>
      </c>
      <c r="D78" s="35">
        <f>SUM(D3+D72)</f>
        <v>6638424831</v>
      </c>
      <c r="E78" s="35">
        <f>SUM(E3+E72)</f>
        <v>2910145736</v>
      </c>
      <c r="F78" s="35">
        <f>SUM(F3+F72)</f>
        <v>12515743</v>
      </c>
      <c r="G78" s="35">
        <f>SUM(G3+G68+G72)</f>
        <v>1253299074</v>
      </c>
    </row>
    <row r="79" spans="2:7" s="37" customFormat="1" ht="12.75" hidden="1">
      <c r="B79" s="38" t="s">
        <v>82</v>
      </c>
      <c r="C79" s="39"/>
      <c r="D79" s="42"/>
      <c r="E79" s="42"/>
      <c r="F79" s="42"/>
      <c r="G79" s="42"/>
    </row>
    <row r="80" spans="2:7" s="37" customFormat="1" ht="12.75" hidden="1">
      <c r="B80" s="44" t="s">
        <v>83</v>
      </c>
      <c r="C80" s="39"/>
      <c r="D80" s="42"/>
      <c r="E80" s="42"/>
      <c r="F80" s="42"/>
      <c r="G80" s="42"/>
    </row>
    <row r="81" spans="2:7" s="37" customFormat="1" ht="12.75">
      <c r="B81" s="44"/>
      <c r="C81" s="39"/>
      <c r="D81" s="42"/>
      <c r="E81" s="42"/>
      <c r="F81" s="42"/>
      <c r="G81" s="42"/>
    </row>
    <row r="82" spans="2:7" s="37" customFormat="1" ht="14.25">
      <c r="B82" s="44"/>
      <c r="C82" s="39"/>
      <c r="D82" s="50" t="s">
        <v>87</v>
      </c>
      <c r="E82" s="42"/>
      <c r="F82" s="42"/>
      <c r="G82" s="42"/>
    </row>
    <row r="83" spans="2:7" s="37" customFormat="1" ht="12.75">
      <c r="B83" s="44"/>
      <c r="C83" s="39"/>
      <c r="D83" s="42"/>
      <c r="E83" s="42"/>
      <c r="F83" s="42"/>
      <c r="G83" s="42"/>
    </row>
    <row r="84" spans="2:8" s="37" customFormat="1" ht="12.75">
      <c r="B84" s="51" t="s">
        <v>315</v>
      </c>
      <c r="C84" s="52"/>
      <c r="D84" s="53"/>
      <c r="E84" s="53"/>
      <c r="F84" s="53"/>
      <c r="G84" s="53">
        <f>+G78*0.8</f>
        <v>1002639259.2</v>
      </c>
      <c r="H84" s="54"/>
    </row>
    <row r="85" spans="2:7" s="37" customFormat="1" ht="12.75">
      <c r="B85" s="55" t="s">
        <v>314</v>
      </c>
      <c r="C85" s="52"/>
      <c r="D85" s="53"/>
      <c r="E85" s="53"/>
      <c r="F85" s="53"/>
      <c r="G85" s="53">
        <f>SUM(PROYENOMINA!V44)</f>
        <v>75908170.80000001</v>
      </c>
    </row>
    <row r="86" spans="2:8" s="37" customFormat="1" ht="12.75">
      <c r="B86" s="51" t="s">
        <v>304</v>
      </c>
      <c r="C86" s="52"/>
      <c r="D86" s="53"/>
      <c r="E86" s="53"/>
      <c r="F86" s="53"/>
      <c r="G86" s="53">
        <f>+G78*0.015</f>
        <v>18799486.11</v>
      </c>
      <c r="H86" s="53"/>
    </row>
    <row r="87" spans="2:8" s="37" customFormat="1" ht="12.75">
      <c r="B87" s="51" t="s">
        <v>88</v>
      </c>
      <c r="C87" s="52"/>
      <c r="D87" s="53"/>
      <c r="E87" s="53"/>
      <c r="F87" s="53"/>
      <c r="G87" s="53">
        <f>+G85+G86</f>
        <v>94707656.91000001</v>
      </c>
      <c r="H87" s="54"/>
    </row>
    <row r="88" spans="2:7" s="37" customFormat="1" ht="12.75">
      <c r="B88" s="51" t="s">
        <v>89</v>
      </c>
      <c r="C88" s="52"/>
      <c r="D88" s="53"/>
      <c r="E88" s="53"/>
      <c r="F88" s="53"/>
      <c r="G88" s="53">
        <f>+(433700*1.05)*150</f>
        <v>68307750</v>
      </c>
    </row>
    <row r="89" spans="2:7" s="37" customFormat="1" ht="12.75">
      <c r="B89" s="55" t="s">
        <v>319</v>
      </c>
      <c r="C89" s="52"/>
      <c r="D89" s="53"/>
      <c r="E89" s="53"/>
      <c r="F89" s="53"/>
      <c r="G89" s="53">
        <f>SUM(E69:E69)+E8+E15+E17+E19+E20+E44+E31+E32+H91</f>
        <v>63255193.45</v>
      </c>
    </row>
    <row r="90" spans="2:7" s="37" customFormat="1" ht="12.75">
      <c r="B90" s="51" t="s">
        <v>316</v>
      </c>
      <c r="C90" s="52"/>
      <c r="D90" s="53"/>
      <c r="E90" s="53"/>
      <c r="F90" s="53"/>
      <c r="G90" s="53">
        <f>+G78*0.2</f>
        <v>250659814.8</v>
      </c>
    </row>
    <row r="91" spans="2:8" s="37" customFormat="1" ht="12.75">
      <c r="B91" s="51" t="s">
        <v>90</v>
      </c>
      <c r="C91" s="52"/>
      <c r="D91" s="53"/>
      <c r="E91" s="53"/>
      <c r="F91" s="53"/>
      <c r="G91" s="53">
        <f>SUM(F74:F76)-H91+1</f>
        <v>10638382.55</v>
      </c>
      <c r="H91" s="56">
        <f>F78*0.15</f>
        <v>1877361.45</v>
      </c>
    </row>
    <row r="92" spans="2:7" s="37" customFormat="1" ht="12.75">
      <c r="B92" s="51" t="s">
        <v>91</v>
      </c>
      <c r="C92" s="52"/>
      <c r="D92" s="53"/>
      <c r="E92" s="53"/>
      <c r="F92" s="53"/>
      <c r="G92" s="53">
        <f>+E58</f>
        <v>0</v>
      </c>
    </row>
    <row r="93" spans="2:7" s="37" customFormat="1" ht="12.75">
      <c r="B93" s="51" t="s">
        <v>164</v>
      </c>
      <c r="C93" s="52"/>
      <c r="D93" s="53"/>
      <c r="E93" s="53"/>
      <c r="F93" s="53"/>
      <c r="G93" s="53">
        <f>E61+E63+E64+E65+E66</f>
        <v>2848767904</v>
      </c>
    </row>
    <row r="94" spans="2:7" ht="12.75">
      <c r="B94" s="57" t="s">
        <v>92</v>
      </c>
      <c r="C94" s="51"/>
      <c r="D94" s="53"/>
      <c r="E94" s="53"/>
      <c r="F94" s="53"/>
      <c r="G94" s="237">
        <f>G90+G91+G92+G93-1</f>
        <v>3110066100.35</v>
      </c>
    </row>
    <row r="95" spans="2:7" ht="12.75">
      <c r="B95" s="57"/>
      <c r="C95" s="51"/>
      <c r="D95" s="53"/>
      <c r="E95" s="53"/>
      <c r="F95" s="53"/>
      <c r="G95" s="53"/>
    </row>
    <row r="96" spans="2:7" ht="12.75">
      <c r="B96" s="51" t="s">
        <v>93</v>
      </c>
      <c r="C96" s="51"/>
      <c r="D96" s="53"/>
      <c r="E96" s="53"/>
      <c r="F96" s="53"/>
      <c r="G96" s="53">
        <f>+G84-G87-G88</f>
        <v>839623852.2900001</v>
      </c>
    </row>
    <row r="98" ht="12.75">
      <c r="G98" t="s">
        <v>267</v>
      </c>
    </row>
    <row r="100" ht="12.75">
      <c r="C100" s="37"/>
    </row>
  </sheetData>
  <printOptions/>
  <pageMargins left="0.11811023622047245" right="0.11811023622047245" top="1.7322834645669292" bottom="0.7874015748031497" header="0.3937007874015748" footer="0.1968503937007874"/>
  <pageSetup horizontalDpi="120" verticalDpi="120" orientation="portrait" paperSize="128" scale="96" r:id="rId1"/>
  <headerFooter alignWithMargins="0">
    <oddHeader>&amp;CDEPARTAMENTO DE VICHADA
ALCALDIA MUNICIPIO DE PUERTO CARREÑO
INGRESOS 2007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3" sqref="D13"/>
    </sheetView>
  </sheetViews>
  <sheetFormatPr defaultColWidth="11.421875" defaultRowHeight="12.75"/>
  <cols>
    <col min="2" max="2" width="8.8515625" style="0" customWidth="1"/>
    <col min="3" max="3" width="53.00390625" style="0" customWidth="1"/>
    <col min="4" max="4" width="15.00390625" style="0" customWidth="1"/>
  </cols>
  <sheetData>
    <row r="1" spans="2:4" s="135" customFormat="1" ht="18" customHeight="1">
      <c r="B1" s="132"/>
      <c r="C1" s="160" t="s">
        <v>233</v>
      </c>
      <c r="D1" s="134"/>
    </row>
    <row r="2" spans="2:4" s="135" customFormat="1" ht="18" customHeight="1">
      <c r="B2" s="136"/>
      <c r="C2" s="161" t="s">
        <v>231</v>
      </c>
      <c r="D2" s="134"/>
    </row>
    <row r="3" spans="2:4" s="135" customFormat="1" ht="12.75" customHeight="1">
      <c r="B3" s="138"/>
      <c r="C3" s="139"/>
      <c r="D3" s="140"/>
    </row>
    <row r="4" spans="2:4" s="144" customFormat="1" ht="14.25" customHeight="1">
      <c r="B4" s="141" t="s">
        <v>167</v>
      </c>
      <c r="C4" s="142" t="s">
        <v>1</v>
      </c>
      <c r="D4" s="143" t="s">
        <v>168</v>
      </c>
    </row>
    <row r="5" spans="2:4" s="144" customFormat="1" ht="14.25" customHeight="1">
      <c r="B5" s="145"/>
      <c r="C5" s="146"/>
      <c r="D5" s="147" t="s">
        <v>169</v>
      </c>
    </row>
    <row r="6" spans="2:4" s="162" customFormat="1" ht="18" customHeight="1">
      <c r="B6" s="148">
        <v>1</v>
      </c>
      <c r="C6" s="149" t="s">
        <v>170</v>
      </c>
      <c r="D6" s="150">
        <f>SUM(D7+D19+D22+D25)</f>
        <v>86577440.22538196</v>
      </c>
    </row>
    <row r="7" spans="2:4" s="151" customFormat="1" ht="18" customHeight="1">
      <c r="B7" s="152">
        <v>1102</v>
      </c>
      <c r="C7" s="153" t="s">
        <v>171</v>
      </c>
      <c r="D7" s="154">
        <f>SUM(D8:D17)</f>
        <v>9906074.171006944</v>
      </c>
    </row>
    <row r="8" spans="2:4" s="151" customFormat="1" ht="18" customHeight="1">
      <c r="B8" s="152">
        <v>110201</v>
      </c>
      <c r="C8" s="153" t="s">
        <v>172</v>
      </c>
      <c r="D8" s="154">
        <f>SUM(PROYENOMINA!H46+PROYENOMINA!U46)</f>
        <v>7039696.024305556</v>
      </c>
    </row>
    <row r="9" spans="2:4" s="151" customFormat="1" ht="18" customHeight="1">
      <c r="B9" s="152">
        <v>110203</v>
      </c>
      <c r="C9" s="155" t="s">
        <v>174</v>
      </c>
      <c r="D9" s="154"/>
    </row>
    <row r="10" spans="2:4" s="151" customFormat="1" ht="18" customHeight="1">
      <c r="B10" s="152">
        <v>110204</v>
      </c>
      <c r="C10" s="155" t="s">
        <v>175</v>
      </c>
      <c r="D10" s="154"/>
    </row>
    <row r="11" spans="2:4" s="151" customFormat="1" ht="18" customHeight="1">
      <c r="B11" s="152">
        <v>11020402</v>
      </c>
      <c r="C11" s="155" t="s">
        <v>177</v>
      </c>
      <c r="D11" s="154">
        <f>SUM(PROYENOMINA!J46)</f>
        <v>445320</v>
      </c>
    </row>
    <row r="12" spans="2:4" s="151" customFormat="1" ht="18" customHeight="1">
      <c r="B12" s="152">
        <v>11020403</v>
      </c>
      <c r="C12" s="155" t="s">
        <v>178</v>
      </c>
      <c r="D12" s="154">
        <f>SUM(PROYENOMINA!K46)</f>
        <v>637032</v>
      </c>
    </row>
    <row r="13" spans="2:4" s="151" customFormat="1" ht="18" customHeight="1">
      <c r="B13" s="152">
        <v>11020404</v>
      </c>
      <c r="C13" s="155" t="s">
        <v>179</v>
      </c>
      <c r="D13" s="154">
        <f>SUM(PROYENOMINA!L46)</f>
        <v>288750</v>
      </c>
    </row>
    <row r="14" spans="2:4" s="151" customFormat="1" ht="18" customHeight="1">
      <c r="B14" s="152">
        <v>11020405</v>
      </c>
      <c r="C14" s="155" t="s">
        <v>180</v>
      </c>
      <c r="D14" s="154">
        <f>SUM(PROYENOMINA!M46)</f>
        <v>345879.25</v>
      </c>
    </row>
    <row r="15" spans="2:4" s="151" customFormat="1" ht="18" customHeight="1">
      <c r="B15" s="152">
        <v>11020406</v>
      </c>
      <c r="C15" s="155" t="s">
        <v>181</v>
      </c>
      <c r="D15" s="154">
        <f>SUM(PROYENOMINA!N46)</f>
        <v>360290.8854166667</v>
      </c>
    </row>
    <row r="16" spans="2:4" s="151" customFormat="1" ht="18" customHeight="1">
      <c r="B16" s="152">
        <v>11020407</v>
      </c>
      <c r="C16" s="155" t="s">
        <v>182</v>
      </c>
      <c r="D16" s="154">
        <f>SUM(PROYENOMINA!O46)</f>
        <v>750606.0112847221</v>
      </c>
    </row>
    <row r="17" spans="2:4" s="151" customFormat="1" ht="18" customHeight="1">
      <c r="B17" s="152">
        <v>11020408</v>
      </c>
      <c r="C17" s="155" t="s">
        <v>183</v>
      </c>
      <c r="D17" s="154">
        <f>SUM(PROYENOMINA!T46)</f>
        <v>38500</v>
      </c>
    </row>
    <row r="18" spans="2:4" s="151" customFormat="1" ht="18" customHeight="1">
      <c r="B18" s="152"/>
      <c r="C18" s="155"/>
      <c r="D18" s="154"/>
    </row>
    <row r="19" spans="2:4" s="151" customFormat="1" ht="18" customHeight="1">
      <c r="B19" s="152">
        <v>1202</v>
      </c>
      <c r="C19" s="155" t="s">
        <v>185</v>
      </c>
      <c r="D19" s="154">
        <f>D20</f>
        <v>75908170.80000001</v>
      </c>
    </row>
    <row r="20" spans="2:4" s="151" customFormat="1" ht="18" customHeight="1">
      <c r="B20" s="152">
        <v>120203</v>
      </c>
      <c r="C20" s="155" t="s">
        <v>187</v>
      </c>
      <c r="D20" s="154">
        <f>SUM(INGRESOS04!G85)</f>
        <v>75908170.80000001</v>
      </c>
    </row>
    <row r="21" spans="2:4" s="151" customFormat="1" ht="18" customHeight="1">
      <c r="B21" s="152"/>
      <c r="C21" s="155"/>
      <c r="D21" s="154"/>
    </row>
    <row r="22" spans="2:4" s="151" customFormat="1" ht="18" customHeight="1">
      <c r="B22" s="152">
        <v>1302</v>
      </c>
      <c r="C22" s="155" t="s">
        <v>189</v>
      </c>
      <c r="D22" s="154">
        <f>D23</f>
        <v>339197.4463888889</v>
      </c>
    </row>
    <row r="23" spans="2:4" s="151" customFormat="1" ht="18" customHeight="1">
      <c r="B23" s="152">
        <v>130201</v>
      </c>
      <c r="C23" s="155" t="s">
        <v>190</v>
      </c>
      <c r="D23" s="154">
        <f>SUM(PROYENOMINA!Y45)</f>
        <v>339197.4463888889</v>
      </c>
    </row>
    <row r="24" spans="2:4" s="151" customFormat="1" ht="18" customHeight="1">
      <c r="B24" s="152"/>
      <c r="C24" s="155"/>
      <c r="D24" s="154"/>
    </row>
    <row r="25" spans="2:4" s="151" customFormat="1" ht="18" customHeight="1">
      <c r="B25" s="152">
        <v>1402</v>
      </c>
      <c r="C25" s="155" t="s">
        <v>191</v>
      </c>
      <c r="D25" s="154">
        <f>SUM(D26:D29)</f>
        <v>423997.80798611103</v>
      </c>
    </row>
    <row r="26" spans="2:4" s="151" customFormat="1" ht="18" customHeight="1">
      <c r="B26" s="152">
        <v>140201</v>
      </c>
      <c r="C26" s="155" t="s">
        <v>192</v>
      </c>
      <c r="D26" s="154">
        <f>SUM(PROYENOMINA!AA45)</f>
        <v>42399.68079861111</v>
      </c>
    </row>
    <row r="27" spans="2:4" s="151" customFormat="1" ht="18" customHeight="1">
      <c r="B27" s="152">
        <v>140202</v>
      </c>
      <c r="C27" s="155" t="s">
        <v>113</v>
      </c>
      <c r="D27" s="154">
        <f>SUM(PROYENOMINA!Z46)</f>
        <v>254398.08479166665</v>
      </c>
    </row>
    <row r="28" spans="2:4" s="151" customFormat="1" ht="18" customHeight="1">
      <c r="B28" s="152">
        <v>140203</v>
      </c>
      <c r="C28" s="155" t="s">
        <v>193</v>
      </c>
      <c r="D28" s="154">
        <f>SUM(PROYENOMINA!AC45)+1</f>
        <v>84800.36159722222</v>
      </c>
    </row>
    <row r="29" spans="2:4" s="151" customFormat="1" ht="18" customHeight="1">
      <c r="B29" s="152">
        <v>140204</v>
      </c>
      <c r="C29" s="155" t="s">
        <v>194</v>
      </c>
      <c r="D29" s="154">
        <f>+D26</f>
        <v>42399.68079861111</v>
      </c>
    </row>
    <row r="30" spans="2:4" s="151" customFormat="1" ht="18" customHeight="1">
      <c r="B30" s="152"/>
      <c r="C30" s="155"/>
      <c r="D30" s="154"/>
    </row>
    <row r="31" spans="2:4" s="162" customFormat="1" ht="18" customHeight="1">
      <c r="B31" s="156">
        <v>2</v>
      </c>
      <c r="C31" s="157" t="s">
        <v>195</v>
      </c>
      <c r="D31" s="150">
        <f>SUM(D32+D42)</f>
        <v>4733998</v>
      </c>
    </row>
    <row r="32" spans="2:4" s="151" customFormat="1" ht="18" customHeight="1">
      <c r="B32" s="152">
        <v>1502</v>
      </c>
      <c r="C32" s="155" t="s">
        <v>196</v>
      </c>
      <c r="D32" s="154">
        <f>SUM(D33:D35)</f>
        <v>3118011</v>
      </c>
    </row>
    <row r="33" spans="2:4" s="151" customFormat="1" ht="18" customHeight="1">
      <c r="B33" s="152"/>
      <c r="C33" s="155" t="s">
        <v>197</v>
      </c>
      <c r="D33" s="154">
        <v>767922</v>
      </c>
    </row>
    <row r="34" spans="2:4" s="151" customFormat="1" ht="18" customHeight="1">
      <c r="B34" s="152">
        <v>150202</v>
      </c>
      <c r="C34" s="155" t="s">
        <v>198</v>
      </c>
      <c r="D34" s="154">
        <v>1240089</v>
      </c>
    </row>
    <row r="35" spans="2:4" s="151" customFormat="1" ht="18" customHeight="1">
      <c r="B35" s="152">
        <v>150203</v>
      </c>
      <c r="C35" s="155" t="s">
        <v>199</v>
      </c>
      <c r="D35" s="154">
        <v>1110000</v>
      </c>
    </row>
    <row r="36" spans="2:4" s="151" customFormat="1" ht="18" customHeight="1">
      <c r="B36" s="152"/>
      <c r="C36" s="155"/>
      <c r="D36" s="154"/>
    </row>
    <row r="37" spans="2:4" s="151" customFormat="1" ht="18" customHeight="1">
      <c r="B37" s="152"/>
      <c r="C37" s="155"/>
      <c r="D37" s="244"/>
    </row>
    <row r="38" spans="2:4" s="151" customFormat="1" ht="18" customHeight="1">
      <c r="B38" s="275"/>
      <c r="C38" s="235"/>
      <c r="D38" s="276"/>
    </row>
    <row r="39" spans="2:4" s="151" customFormat="1" ht="18" customHeight="1">
      <c r="B39" s="275"/>
      <c r="C39" s="235"/>
      <c r="D39" s="276"/>
    </row>
    <row r="40" spans="2:4" s="151" customFormat="1" ht="18" customHeight="1">
      <c r="B40" s="141" t="s">
        <v>167</v>
      </c>
      <c r="C40" s="142" t="s">
        <v>1</v>
      </c>
      <c r="D40" s="143" t="s">
        <v>168</v>
      </c>
    </row>
    <row r="41" spans="2:4" s="151" customFormat="1" ht="18" customHeight="1">
      <c r="B41" s="145"/>
      <c r="C41" s="146"/>
      <c r="D41" s="147" t="s">
        <v>169</v>
      </c>
    </row>
    <row r="42" spans="2:4" s="151" customFormat="1" ht="18" customHeight="1">
      <c r="B42" s="152">
        <v>1602</v>
      </c>
      <c r="C42" s="155" t="s">
        <v>201</v>
      </c>
      <c r="D42" s="154">
        <f>SUM(D43:D44)</f>
        <v>1615987</v>
      </c>
    </row>
    <row r="43" spans="2:4" s="151" customFormat="1" ht="18" customHeight="1">
      <c r="B43" s="152">
        <v>160201</v>
      </c>
      <c r="C43" s="155" t="s">
        <v>202</v>
      </c>
      <c r="D43" s="154">
        <v>815987</v>
      </c>
    </row>
    <row r="44" spans="2:4" s="151" customFormat="1" ht="18" customHeight="1">
      <c r="B44" s="152">
        <v>16022</v>
      </c>
      <c r="C44" s="155" t="s">
        <v>203</v>
      </c>
      <c r="D44" s="154">
        <v>800000</v>
      </c>
    </row>
    <row r="45" spans="2:4" s="151" customFormat="1" ht="18" customHeight="1">
      <c r="B45" s="152"/>
      <c r="C45" s="155"/>
      <c r="D45" s="154"/>
    </row>
    <row r="46" spans="2:4" s="162" customFormat="1" ht="18" customHeight="1">
      <c r="B46" s="156">
        <v>3</v>
      </c>
      <c r="C46" s="157" t="s">
        <v>217</v>
      </c>
      <c r="D46" s="150">
        <f>+D47</f>
        <v>2312857.262358264</v>
      </c>
    </row>
    <row r="47" spans="2:4" s="151" customFormat="1" ht="18" customHeight="1">
      <c r="B47" s="152">
        <v>3602</v>
      </c>
      <c r="C47" s="155" t="s">
        <v>218</v>
      </c>
      <c r="D47" s="154">
        <f>SUM(D48:D51)</f>
        <v>2312857.262358264</v>
      </c>
    </row>
    <row r="48" spans="2:4" s="151" customFormat="1" ht="18" customHeight="1">
      <c r="B48" s="152">
        <v>360201</v>
      </c>
      <c r="C48" s="155" t="s">
        <v>219</v>
      </c>
      <c r="D48" s="154">
        <f>SUM(PROYENOMINA!W46+PROYENOMINA!X46)</f>
        <v>920605.1998582638</v>
      </c>
    </row>
    <row r="49" spans="2:4" s="151" customFormat="1" ht="18" customHeight="1">
      <c r="B49" s="152">
        <v>360202</v>
      </c>
      <c r="C49" s="155" t="s">
        <v>220</v>
      </c>
      <c r="D49" s="154">
        <f>SUM(PROYENOMINA!AE45)</f>
        <v>577500</v>
      </c>
    </row>
    <row r="50" spans="2:4" s="151" customFormat="1" ht="18" customHeight="1">
      <c r="B50" s="152">
        <v>360203</v>
      </c>
      <c r="C50" s="155" t="s">
        <v>221</v>
      </c>
      <c r="D50" s="154">
        <f>SUM(PROYENOMINA!AD46)</f>
        <v>785039.0625</v>
      </c>
    </row>
    <row r="51" spans="2:4" s="151" customFormat="1" ht="18" customHeight="1">
      <c r="B51" s="152">
        <v>360204</v>
      </c>
      <c r="C51" s="155" t="s">
        <v>222</v>
      </c>
      <c r="D51" s="154">
        <v>29713</v>
      </c>
    </row>
    <row r="52" spans="2:4" s="151" customFormat="1" ht="18" customHeight="1">
      <c r="B52" s="156">
        <v>4602</v>
      </c>
      <c r="C52" s="157" t="s">
        <v>223</v>
      </c>
      <c r="D52" s="154">
        <f>D53</f>
        <v>200000</v>
      </c>
    </row>
    <row r="53" spans="2:4" s="151" customFormat="1" ht="18" customHeight="1">
      <c r="B53" s="152">
        <v>460203</v>
      </c>
      <c r="C53" s="155" t="s">
        <v>318</v>
      </c>
      <c r="D53" s="154">
        <v>200000</v>
      </c>
    </row>
    <row r="54" spans="2:4" s="151" customFormat="1" ht="18" customHeight="1">
      <c r="B54" s="156"/>
      <c r="C54" s="157"/>
      <c r="D54" s="154"/>
    </row>
    <row r="55" spans="2:4" s="162" customFormat="1" ht="18" customHeight="1">
      <c r="B55" s="156"/>
      <c r="C55" s="157" t="s">
        <v>110</v>
      </c>
      <c r="D55" s="150">
        <f>+D46+D31+D6+D52</f>
        <v>93824295.48774022</v>
      </c>
    </row>
    <row r="57" ht="12.75">
      <c r="C57" s="235"/>
    </row>
    <row r="58" ht="12.75">
      <c r="C58" s="235"/>
    </row>
    <row r="59" ht="12.75">
      <c r="C59" s="280" t="s">
        <v>286</v>
      </c>
    </row>
  </sheetData>
  <printOptions/>
  <pageMargins left="0.2755905511811024" right="0.4330708661417323" top="1.3761417322834646" bottom="0.9055118110236221" header="0" footer="0"/>
  <pageSetup horizontalDpi="120" verticalDpi="120" orientation="portrait" paperSize="128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V60"/>
  <sheetViews>
    <sheetView workbookViewId="0" topLeftCell="A1">
      <selection activeCell="B8" sqref="B8"/>
    </sheetView>
  </sheetViews>
  <sheetFormatPr defaultColWidth="11.421875" defaultRowHeight="12.75"/>
  <cols>
    <col min="2" max="2" width="6.28125" style="0" customWidth="1"/>
    <col min="3" max="3" width="24.7109375" style="0" customWidth="1"/>
    <col min="4" max="4" width="8.8515625" style="0" customWidth="1"/>
    <col min="8" max="8" width="12.57421875" style="0" customWidth="1"/>
    <col min="13" max="13" width="12.57421875" style="0" bestFit="1" customWidth="1"/>
    <col min="15" max="16" width="12.8515625" style="0" customWidth="1"/>
    <col min="17" max="18" width="12.28125" style="0" customWidth="1"/>
    <col min="19" max="19" width="17.140625" style="0" customWidth="1"/>
    <col min="20" max="20" width="10.8515625" style="0" customWidth="1"/>
    <col min="21" max="21" width="10.140625" style="0" customWidth="1"/>
    <col min="22" max="22" width="14.00390625" style="0" customWidth="1"/>
    <col min="33" max="33" width="13.57421875" style="0" bestFit="1" customWidth="1"/>
  </cols>
  <sheetData>
    <row r="1" spans="2:74" s="112" customFormat="1" ht="12.75">
      <c r="B1" s="130"/>
      <c r="C1" s="64"/>
      <c r="D1" s="64"/>
      <c r="E1" s="110"/>
      <c r="F1" s="13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</row>
    <row r="2" spans="2:74" s="112" customFormat="1" ht="12.75">
      <c r="B2" s="130"/>
      <c r="C2" s="64"/>
      <c r="D2" s="64"/>
      <c r="E2" s="110"/>
      <c r="F2" s="131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</row>
    <row r="3" spans="2:74" s="112" customFormat="1" ht="12.75">
      <c r="B3" s="130"/>
      <c r="C3" s="64"/>
      <c r="D3" s="64"/>
      <c r="E3" s="110"/>
      <c r="F3" s="131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</row>
    <row r="4" spans="2:74" s="65" customFormat="1" ht="12.75">
      <c r="B4" s="58"/>
      <c r="C4" s="58"/>
      <c r="D4" s="59"/>
      <c r="E4" s="60"/>
      <c r="F4" s="61"/>
      <c r="G4" s="58"/>
      <c r="H4" s="58"/>
      <c r="I4" s="58"/>
      <c r="J4" s="62">
        <v>993591</v>
      </c>
      <c r="K4" s="62">
        <v>867400</v>
      </c>
      <c r="L4" s="63">
        <v>995949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4"/>
      <c r="AE4" s="64"/>
      <c r="AF4" s="64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2:74" s="71" customFormat="1" ht="12.75">
      <c r="B5" s="66" t="s">
        <v>94</v>
      </c>
      <c r="C5" s="67" t="s">
        <v>95</v>
      </c>
      <c r="D5" s="66" t="s">
        <v>96</v>
      </c>
      <c r="E5" s="68" t="s">
        <v>97</v>
      </c>
      <c r="F5" s="69" t="s">
        <v>98</v>
      </c>
      <c r="G5" s="68" t="s">
        <v>99</v>
      </c>
      <c r="H5" s="66" t="s">
        <v>100</v>
      </c>
      <c r="I5" s="67" t="s">
        <v>101</v>
      </c>
      <c r="J5" s="66" t="s">
        <v>102</v>
      </c>
      <c r="K5" s="67" t="s">
        <v>103</v>
      </c>
      <c r="L5" s="66" t="s">
        <v>104</v>
      </c>
      <c r="M5" s="67" t="s">
        <v>105</v>
      </c>
      <c r="N5" s="258" t="s">
        <v>106</v>
      </c>
      <c r="O5" s="66" t="s">
        <v>107</v>
      </c>
      <c r="P5" s="67"/>
      <c r="Q5" s="67"/>
      <c r="R5" s="67"/>
      <c r="S5" s="67" t="s">
        <v>95</v>
      </c>
      <c r="T5" s="66" t="s">
        <v>108</v>
      </c>
      <c r="U5" s="67" t="s">
        <v>109</v>
      </c>
      <c r="V5" s="66" t="s">
        <v>110</v>
      </c>
      <c r="W5" s="67" t="s">
        <v>111</v>
      </c>
      <c r="X5" s="303">
        <v>0.12</v>
      </c>
      <c r="Y5" s="66" t="s">
        <v>112</v>
      </c>
      <c r="Z5" s="67" t="s">
        <v>113</v>
      </c>
      <c r="AA5" s="66" t="s">
        <v>114</v>
      </c>
      <c r="AB5" s="67" t="s">
        <v>115</v>
      </c>
      <c r="AC5" s="66" t="s">
        <v>116</v>
      </c>
      <c r="AD5" s="67" t="s">
        <v>117</v>
      </c>
      <c r="AE5" s="66" t="s">
        <v>118</v>
      </c>
      <c r="AF5" s="67" t="s">
        <v>119</v>
      </c>
      <c r="AG5" s="66" t="s">
        <v>110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</row>
    <row r="6" spans="2:74" s="71" customFormat="1" ht="13.5" thickBot="1">
      <c r="B6" s="72" t="s">
        <v>120</v>
      </c>
      <c r="C6" s="73"/>
      <c r="D6" s="72" t="s">
        <v>121</v>
      </c>
      <c r="E6" s="74" t="s">
        <v>325</v>
      </c>
      <c r="F6" s="75"/>
      <c r="G6" s="74">
        <v>2008</v>
      </c>
      <c r="H6" s="72" t="s">
        <v>123</v>
      </c>
      <c r="I6" s="73" t="s">
        <v>124</v>
      </c>
      <c r="J6" s="76">
        <v>37110</v>
      </c>
      <c r="K6" s="77">
        <v>53086</v>
      </c>
      <c r="L6" s="72" t="s">
        <v>125</v>
      </c>
      <c r="M6" s="78" t="s">
        <v>126</v>
      </c>
      <c r="N6" s="259" t="s">
        <v>127</v>
      </c>
      <c r="O6" s="267" t="s">
        <v>128</v>
      </c>
      <c r="P6" s="336"/>
      <c r="Q6" s="336"/>
      <c r="R6" s="336"/>
      <c r="S6" s="73"/>
      <c r="T6" s="72" t="s">
        <v>129</v>
      </c>
      <c r="U6" s="78" t="s">
        <v>127</v>
      </c>
      <c r="V6" s="72" t="s">
        <v>130</v>
      </c>
      <c r="W6" s="78" t="s">
        <v>131</v>
      </c>
      <c r="X6" s="72" t="s">
        <v>300</v>
      </c>
      <c r="Y6" s="72" t="s">
        <v>132</v>
      </c>
      <c r="Z6" s="78" t="s">
        <v>133</v>
      </c>
      <c r="AA6" s="72" t="s">
        <v>134</v>
      </c>
      <c r="AB6" s="78" t="s">
        <v>135</v>
      </c>
      <c r="AC6" s="72" t="s">
        <v>136</v>
      </c>
      <c r="AD6" s="78"/>
      <c r="AE6" s="72"/>
      <c r="AF6" s="78" t="s">
        <v>137</v>
      </c>
      <c r="AG6" s="72" t="s">
        <v>138</v>
      </c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</row>
    <row r="7" spans="2:74" s="86" customFormat="1" ht="12.75">
      <c r="B7" s="79">
        <v>1</v>
      </c>
      <c r="C7" s="80" t="s">
        <v>139</v>
      </c>
      <c r="D7" s="79">
        <v>1</v>
      </c>
      <c r="E7" s="81">
        <v>2289929</v>
      </c>
      <c r="F7" s="82">
        <v>0</v>
      </c>
      <c r="G7" s="83">
        <v>2420228</v>
      </c>
      <c r="H7" s="84">
        <f aca="true" t="shared" si="0" ref="H7:H28">B7*G7*12</f>
        <v>29042736</v>
      </c>
      <c r="I7" s="126">
        <f>G7*6</f>
        <v>14521368</v>
      </c>
      <c r="J7" s="84">
        <f aca="true" t="shared" si="1" ref="J7:J15">(IF(+G7&lt;=+$J$4,+$J$6,0))*12*B7</f>
        <v>0</v>
      </c>
      <c r="K7" s="83">
        <f aca="true" t="shared" si="2" ref="K7:K20">(IF(+G7&lt;=+$K$4,+$K$6,0))*12</f>
        <v>0</v>
      </c>
      <c r="L7" s="84">
        <f aca="true" t="shared" si="3" ref="L7:L15">(IF(+G7&lt;=+$L$4,(G7*0.5),(G7*0.35)))*B7</f>
        <v>847079.7999999999</v>
      </c>
      <c r="M7" s="83">
        <f>(SUM(H7:L7)-I7)/24</f>
        <v>1245408.9916666665</v>
      </c>
      <c r="N7" s="260">
        <f aca="true" t="shared" si="4" ref="N7:N28">(SUM(H7:M7)-I7)/24</f>
        <v>1297301.032986111</v>
      </c>
      <c r="O7" s="84">
        <f aca="true" t="shared" si="5" ref="O7:O28">(SUM(H7:N7)-I7)/12</f>
        <v>2702710.4853877313</v>
      </c>
      <c r="P7" s="83"/>
      <c r="Q7" s="83"/>
      <c r="R7" s="83"/>
      <c r="S7" s="80" t="s">
        <v>139</v>
      </c>
      <c r="T7" s="84">
        <f aca="true" t="shared" si="6" ref="T7:T28">H7/180</f>
        <v>161348.53333333333</v>
      </c>
      <c r="U7" s="83">
        <f aca="true" t="shared" si="7" ref="U7:U28">((J7+K7+L7+M7)/12)*23/30</f>
        <v>133686.78391203703</v>
      </c>
      <c r="V7" s="84">
        <f aca="true" t="shared" si="8" ref="V7:V28">SUM(H7:U7)</f>
        <v>49951639.627285875</v>
      </c>
      <c r="W7" s="83">
        <f aca="true" t="shared" si="9" ref="W7:W28">(+V7-T7-I7)*8.33/100</f>
        <v>2937901.293726247</v>
      </c>
      <c r="X7" s="84">
        <f>W7*12%</f>
        <v>352548.1552471496</v>
      </c>
      <c r="Y7" s="84">
        <f>(+V7-O7-T7-K7-I7)*4/100</f>
        <v>1302648.5043425923</v>
      </c>
      <c r="Z7" s="83">
        <f aca="true" t="shared" si="10" ref="Z7:Z28">(+V7-O7-T7-K7-I7)*3/100</f>
        <v>976986.3782569442</v>
      </c>
      <c r="AA7" s="84">
        <f aca="true" t="shared" si="11" ref="AA7:AA28">(+V7-O7-T7-K7-I7)*0.5/100</f>
        <v>162831.06304282404</v>
      </c>
      <c r="AB7" s="83">
        <f aca="true" t="shared" si="12" ref="AB7:AB28">+AA7</f>
        <v>162831.06304282404</v>
      </c>
      <c r="AC7" s="84">
        <f aca="true" t="shared" si="13" ref="AC7:AC28">+AB7*2</f>
        <v>325662.1260856481</v>
      </c>
      <c r="AD7" s="83">
        <f>(+H7+L7)*10.875/100</f>
        <v>3250517.46825</v>
      </c>
      <c r="AE7" s="84">
        <f>(+H7+L7)*8/100</f>
        <v>2391185.264</v>
      </c>
      <c r="AF7" s="83">
        <f aca="true" t="shared" si="14" ref="AF7:AF28">(+H7+L7)*0.522/100</f>
        <v>156024.838476</v>
      </c>
      <c r="AG7" s="84">
        <f aca="true" t="shared" si="15" ref="AG7:AG28">SUM(V7:AF7)</f>
        <v>61970775.78175611</v>
      </c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</row>
    <row r="8" spans="2:74" s="86" customFormat="1" ht="12.75">
      <c r="B8" s="79">
        <v>4</v>
      </c>
      <c r="C8" s="80" t="s">
        <v>140</v>
      </c>
      <c r="D8" s="79">
        <v>2</v>
      </c>
      <c r="E8" s="81">
        <v>1787893</v>
      </c>
      <c r="F8" s="82">
        <v>0.05</v>
      </c>
      <c r="G8" s="83">
        <f aca="true" t="shared" si="16" ref="G8:G28">+E8*(1+F8)</f>
        <v>1877287.6500000001</v>
      </c>
      <c r="H8" s="84">
        <f t="shared" si="0"/>
        <v>90109807.2</v>
      </c>
      <c r="I8" s="85"/>
      <c r="J8" s="84">
        <f t="shared" si="1"/>
        <v>0</v>
      </c>
      <c r="K8" s="83">
        <f t="shared" si="2"/>
        <v>0</v>
      </c>
      <c r="L8" s="84">
        <f t="shared" si="3"/>
        <v>2628202.71</v>
      </c>
      <c r="M8" s="83">
        <f aca="true" t="shared" si="17" ref="M8:M19">(H8+J8+K8+L8)/24</f>
        <v>3864083.74625</v>
      </c>
      <c r="N8" s="260">
        <f t="shared" si="4"/>
        <v>4025087.2356770835</v>
      </c>
      <c r="O8" s="84">
        <f t="shared" si="5"/>
        <v>8385598.40766059</v>
      </c>
      <c r="P8" s="83"/>
      <c r="Q8" s="83"/>
      <c r="R8" s="83"/>
      <c r="S8" s="80" t="s">
        <v>140</v>
      </c>
      <c r="T8" s="84">
        <f t="shared" si="6"/>
        <v>500610.04000000004</v>
      </c>
      <c r="U8" s="83">
        <f t="shared" si="7"/>
        <v>414784.96803819446</v>
      </c>
      <c r="V8" s="84">
        <f t="shared" si="8"/>
        <v>109928174.30762587</v>
      </c>
      <c r="W8" s="83">
        <f t="shared" si="9"/>
        <v>9115316.103493236</v>
      </c>
      <c r="X8" s="84">
        <f aca="true" t="shared" si="18" ref="X8:X26">W8*12%</f>
        <v>1093837.9324191883</v>
      </c>
      <c r="Y8" s="84">
        <f aca="true" t="shared" si="19" ref="Y8:Y26">(+V8-O8-T8-K8-I8)*4/100</f>
        <v>4041678.6343986113</v>
      </c>
      <c r="Z8" s="83">
        <f t="shared" si="10"/>
        <v>3031258.9757989584</v>
      </c>
      <c r="AA8" s="84">
        <f t="shared" si="11"/>
        <v>505209.8292998264</v>
      </c>
      <c r="AB8" s="83">
        <f t="shared" si="12"/>
        <v>505209.8292998264</v>
      </c>
      <c r="AC8" s="84">
        <f t="shared" si="13"/>
        <v>1010419.6585996528</v>
      </c>
      <c r="AD8" s="83">
        <f aca="true" t="shared" si="20" ref="AD8:AD28">(+H8+L8)*10.875/100</f>
        <v>10085258.5777125</v>
      </c>
      <c r="AE8" s="84">
        <f aca="true" t="shared" si="21" ref="AE8:AE28">(+H8+L8)*8/100</f>
        <v>7419040.7928</v>
      </c>
      <c r="AF8" s="83">
        <f t="shared" si="14"/>
        <v>484092.4117302</v>
      </c>
      <c r="AG8" s="84">
        <f t="shared" si="15"/>
        <v>147219497.05317786</v>
      </c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</row>
    <row r="9" spans="2:74" s="86" customFormat="1" ht="12.75" hidden="1">
      <c r="B9" s="79"/>
      <c r="C9" s="80"/>
      <c r="D9" s="79">
        <v>3</v>
      </c>
      <c r="E9" s="81"/>
      <c r="F9" s="82">
        <v>0.05</v>
      </c>
      <c r="G9" s="83">
        <f>+E9*(1+F9)</f>
        <v>0</v>
      </c>
      <c r="H9" s="84">
        <f t="shared" si="0"/>
        <v>0</v>
      </c>
      <c r="I9" s="85"/>
      <c r="J9" s="84">
        <f t="shared" si="1"/>
        <v>0</v>
      </c>
      <c r="K9" s="83">
        <f t="shared" si="2"/>
        <v>637032</v>
      </c>
      <c r="L9" s="84">
        <f t="shared" si="3"/>
        <v>0</v>
      </c>
      <c r="M9" s="83">
        <f t="shared" si="17"/>
        <v>26543</v>
      </c>
      <c r="N9" s="260">
        <f>(SUM(H9:M9)-I9)/24</f>
        <v>27648.958333333332</v>
      </c>
      <c r="O9" s="84">
        <f>(SUM(H9:N9)-I9)/12</f>
        <v>57601.99652777778</v>
      </c>
      <c r="P9" s="83"/>
      <c r="Q9" s="83"/>
      <c r="R9" s="83"/>
      <c r="S9" s="80" t="s">
        <v>140</v>
      </c>
      <c r="T9" s="84">
        <f>H9/180</f>
        <v>0</v>
      </c>
      <c r="U9" s="83">
        <f>((J9+K9+L9+M9)/12)*23/30</f>
        <v>42395.069444444445</v>
      </c>
      <c r="V9" s="84">
        <f>SUM(H9:U9)</f>
        <v>791221.0243055556</v>
      </c>
      <c r="W9" s="83">
        <f>(+V9-T9-I9)*8.33/100</f>
        <v>65908.71132465279</v>
      </c>
      <c r="X9" s="84">
        <f t="shared" si="18"/>
        <v>7909.045358958334</v>
      </c>
      <c r="Y9" s="84">
        <f>(+V9-O9-T9-K9-I9)*4/100</f>
        <v>3863.481111111115</v>
      </c>
      <c r="Z9" s="83">
        <f t="shared" si="10"/>
        <v>2897.610833333336</v>
      </c>
      <c r="AA9" s="84">
        <f>(+V9-O9-T9-K9-I9)*0.5/100</f>
        <v>482.93513888888936</v>
      </c>
      <c r="AB9" s="83">
        <f t="shared" si="12"/>
        <v>482.93513888888936</v>
      </c>
      <c r="AC9" s="84">
        <f t="shared" si="13"/>
        <v>965.8702777777787</v>
      </c>
      <c r="AD9" s="83">
        <f>(+H9+L9)*10.875/100</f>
        <v>0</v>
      </c>
      <c r="AE9" s="84">
        <f>(+H9+L9)*8/100</f>
        <v>0</v>
      </c>
      <c r="AF9" s="83">
        <f>(+H9+L9)*0.522/100</f>
        <v>0</v>
      </c>
      <c r="AG9" s="84">
        <f>SUM(V9:AF9)</f>
        <v>873731.6134891667</v>
      </c>
      <c r="AH9" s="87"/>
      <c r="AI9" s="87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</row>
    <row r="10" spans="2:74" s="86" customFormat="1" ht="12.75" hidden="1">
      <c r="B10" s="79"/>
      <c r="C10" s="80"/>
      <c r="D10" s="79">
        <v>4</v>
      </c>
      <c r="E10" s="81"/>
      <c r="F10" s="82">
        <v>0.05</v>
      </c>
      <c r="G10" s="83">
        <f>+E10*(1+F10)</f>
        <v>0</v>
      </c>
      <c r="H10" s="84">
        <f t="shared" si="0"/>
        <v>0</v>
      </c>
      <c r="I10" s="85"/>
      <c r="J10" s="84">
        <f t="shared" si="1"/>
        <v>0</v>
      </c>
      <c r="K10" s="83">
        <f t="shared" si="2"/>
        <v>637032</v>
      </c>
      <c r="L10" s="84">
        <f t="shared" si="3"/>
        <v>0</v>
      </c>
      <c r="M10" s="83">
        <f t="shared" si="17"/>
        <v>26543</v>
      </c>
      <c r="N10" s="260">
        <f>(SUM(H10:M10)-I10)/24</f>
        <v>27648.958333333332</v>
      </c>
      <c r="O10" s="84">
        <f>(SUM(H10:N10)-I10)/12</f>
        <v>57601.99652777778</v>
      </c>
      <c r="P10" s="83"/>
      <c r="Q10" s="83"/>
      <c r="R10" s="83"/>
      <c r="S10" s="80" t="s">
        <v>140</v>
      </c>
      <c r="T10" s="84">
        <f>H10/180</f>
        <v>0</v>
      </c>
      <c r="U10" s="83">
        <f>((J10+K10+L10+M10)/12)*23/30</f>
        <v>42395.069444444445</v>
      </c>
      <c r="V10" s="84">
        <f>SUM(H10:U10)</f>
        <v>791221.0243055556</v>
      </c>
      <c r="W10" s="83">
        <f>(+V10-T10-I10)*8.33/100</f>
        <v>65908.71132465279</v>
      </c>
      <c r="X10" s="84">
        <f t="shared" si="18"/>
        <v>7909.045358958334</v>
      </c>
      <c r="Y10" s="84">
        <f>(+V10-O10-T10-K10-I10)*4/100</f>
        <v>3863.481111111115</v>
      </c>
      <c r="Z10" s="83">
        <f t="shared" si="10"/>
        <v>2897.610833333336</v>
      </c>
      <c r="AA10" s="84">
        <f>(+V10-O10-T10-K10-I10)*0.5/100</f>
        <v>482.93513888888936</v>
      </c>
      <c r="AB10" s="83">
        <f t="shared" si="12"/>
        <v>482.93513888888936</v>
      </c>
      <c r="AC10" s="84">
        <f t="shared" si="13"/>
        <v>965.8702777777787</v>
      </c>
      <c r="AD10" s="83">
        <f>(+H10+L10)*10.875/100</f>
        <v>0</v>
      </c>
      <c r="AE10" s="84">
        <f>(+H10+L10)*8/100</f>
        <v>0</v>
      </c>
      <c r="AF10" s="83">
        <f>(+H10+L10)*0.522/100</f>
        <v>0</v>
      </c>
      <c r="AG10" s="84">
        <f>SUM(V10:AF10)</f>
        <v>873731.6134891667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</row>
    <row r="11" spans="2:74" s="86" customFormat="1" ht="12.75" hidden="1">
      <c r="B11" s="79"/>
      <c r="C11" s="80"/>
      <c r="D11" s="79">
        <v>5</v>
      </c>
      <c r="E11" s="81"/>
      <c r="F11" s="82">
        <v>0.05</v>
      </c>
      <c r="G11" s="83">
        <f>+E11*(1+F11)</f>
        <v>0</v>
      </c>
      <c r="H11" s="84">
        <f t="shared" si="0"/>
        <v>0</v>
      </c>
      <c r="I11" s="85"/>
      <c r="J11" s="84">
        <f t="shared" si="1"/>
        <v>0</v>
      </c>
      <c r="K11" s="83">
        <f t="shared" si="2"/>
        <v>637032</v>
      </c>
      <c r="L11" s="84">
        <f t="shared" si="3"/>
        <v>0</v>
      </c>
      <c r="M11" s="83">
        <f t="shared" si="17"/>
        <v>26543</v>
      </c>
      <c r="N11" s="260">
        <f>(SUM(H11:M11)-I11)/24</f>
        <v>27648.958333333332</v>
      </c>
      <c r="O11" s="84">
        <f>(SUM(H11:N11)-I11)/12</f>
        <v>57601.99652777778</v>
      </c>
      <c r="P11" s="83"/>
      <c r="Q11" s="83"/>
      <c r="R11" s="83"/>
      <c r="S11" s="80" t="s">
        <v>140</v>
      </c>
      <c r="T11" s="84">
        <f>H11/180</f>
        <v>0</v>
      </c>
      <c r="U11" s="83">
        <f>((J11+K11+L11+M11)/12)*23/30</f>
        <v>42395.069444444445</v>
      </c>
      <c r="V11" s="84">
        <f>SUM(H11:U11)</f>
        <v>791221.0243055556</v>
      </c>
      <c r="W11" s="83">
        <f>(+V11-T11-I11)*8.33/100</f>
        <v>65908.71132465279</v>
      </c>
      <c r="X11" s="84">
        <f t="shared" si="18"/>
        <v>7909.045358958334</v>
      </c>
      <c r="Y11" s="84">
        <f>(+V11-O11-T11-K11-I11)*4/100</f>
        <v>3863.481111111115</v>
      </c>
      <c r="Z11" s="83">
        <f t="shared" si="10"/>
        <v>2897.610833333336</v>
      </c>
      <c r="AA11" s="84">
        <f>(+V11-O11-T11-K11-I11)*0.5/100</f>
        <v>482.93513888888936</v>
      </c>
      <c r="AB11" s="83">
        <f t="shared" si="12"/>
        <v>482.93513888888936</v>
      </c>
      <c r="AC11" s="84">
        <f t="shared" si="13"/>
        <v>965.8702777777787</v>
      </c>
      <c r="AD11" s="83">
        <f>(+H11+L11)*10.875/100</f>
        <v>0</v>
      </c>
      <c r="AE11" s="84">
        <f>(+H11+L11)*8/100</f>
        <v>0</v>
      </c>
      <c r="AF11" s="83">
        <f>(+H11+L11)*0.522/100</f>
        <v>0</v>
      </c>
      <c r="AG11" s="84">
        <f>SUM(V11:AF11)</f>
        <v>873731.6134891667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</row>
    <row r="12" spans="2:74" s="86" customFormat="1" ht="12.75" hidden="1">
      <c r="B12" s="79"/>
      <c r="C12" s="80"/>
      <c r="D12" s="79">
        <v>6</v>
      </c>
      <c r="E12" s="81"/>
      <c r="F12" s="82">
        <v>0.05</v>
      </c>
      <c r="G12" s="83">
        <f>+E12*(1+F12)</f>
        <v>0</v>
      </c>
      <c r="H12" s="84">
        <f t="shared" si="0"/>
        <v>0</v>
      </c>
      <c r="I12" s="85"/>
      <c r="J12" s="84">
        <f t="shared" si="1"/>
        <v>0</v>
      </c>
      <c r="K12" s="83">
        <f t="shared" si="2"/>
        <v>637032</v>
      </c>
      <c r="L12" s="84">
        <f t="shared" si="3"/>
        <v>0</v>
      </c>
      <c r="M12" s="83">
        <f t="shared" si="17"/>
        <v>26543</v>
      </c>
      <c r="N12" s="260">
        <f>(SUM(H12:M12)-I12)/24</f>
        <v>27648.958333333332</v>
      </c>
      <c r="O12" s="84">
        <f>(SUM(H12:N12)-I12)/12</f>
        <v>57601.99652777778</v>
      </c>
      <c r="P12" s="83"/>
      <c r="Q12" s="83"/>
      <c r="R12" s="83"/>
      <c r="S12" s="80" t="s">
        <v>140</v>
      </c>
      <c r="T12" s="84">
        <f>H12/180</f>
        <v>0</v>
      </c>
      <c r="U12" s="83">
        <f>((J12+K12+L12+M12)/12)*23/30</f>
        <v>42395.069444444445</v>
      </c>
      <c r="V12" s="84">
        <f>SUM(H12:U12)</f>
        <v>791221.0243055556</v>
      </c>
      <c r="W12" s="83">
        <f>(+V12-T12-I12)*8.33/100</f>
        <v>65908.71132465279</v>
      </c>
      <c r="X12" s="84">
        <f t="shared" si="18"/>
        <v>7909.045358958334</v>
      </c>
      <c r="Y12" s="84">
        <f>(+V12-O12-T12-K12-I12)*4/100</f>
        <v>3863.481111111115</v>
      </c>
      <c r="Z12" s="83">
        <f t="shared" si="10"/>
        <v>2897.610833333336</v>
      </c>
      <c r="AA12" s="84">
        <f>(+V12-O12-T12-K12-I12)*0.5/100</f>
        <v>482.93513888888936</v>
      </c>
      <c r="AB12" s="83">
        <f t="shared" si="12"/>
        <v>482.93513888888936</v>
      </c>
      <c r="AC12" s="84">
        <f t="shared" si="13"/>
        <v>965.8702777777787</v>
      </c>
      <c r="AD12" s="83">
        <f>(+H12+L12)*10.875/100</f>
        <v>0</v>
      </c>
      <c r="AE12" s="84">
        <f>(+H12+L12)*8/100</f>
        <v>0</v>
      </c>
      <c r="AF12" s="83">
        <f>(+H12+L12)*0.522/100</f>
        <v>0</v>
      </c>
      <c r="AG12" s="84">
        <f>SUM(V12:AF12)</f>
        <v>873731.6134891667</v>
      </c>
      <c r="AH12" s="87"/>
      <c r="AI12" s="87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</row>
    <row r="13" spans="2:74" s="86" customFormat="1" ht="12.75" hidden="1">
      <c r="B13" s="79"/>
      <c r="C13" s="80"/>
      <c r="D13" s="79">
        <v>7</v>
      </c>
      <c r="E13" s="81"/>
      <c r="F13" s="82">
        <v>0.05</v>
      </c>
      <c r="G13" s="83">
        <f>+E13*(1+F13)</f>
        <v>0</v>
      </c>
      <c r="H13" s="84">
        <f t="shared" si="0"/>
        <v>0</v>
      </c>
      <c r="I13" s="85"/>
      <c r="J13" s="84">
        <f t="shared" si="1"/>
        <v>0</v>
      </c>
      <c r="K13" s="83">
        <f t="shared" si="2"/>
        <v>637032</v>
      </c>
      <c r="L13" s="84">
        <f t="shared" si="3"/>
        <v>0</v>
      </c>
      <c r="M13" s="83">
        <f t="shared" si="17"/>
        <v>26543</v>
      </c>
      <c r="N13" s="260">
        <f>(SUM(H13:M13)-I13)/24</f>
        <v>27648.958333333332</v>
      </c>
      <c r="O13" s="84">
        <f>(SUM(H13:N13)-I13)/12</f>
        <v>57601.99652777778</v>
      </c>
      <c r="P13" s="83"/>
      <c r="Q13" s="83"/>
      <c r="R13" s="83"/>
      <c r="S13" s="80" t="s">
        <v>140</v>
      </c>
      <c r="T13" s="84">
        <f>H13/180</f>
        <v>0</v>
      </c>
      <c r="U13" s="83">
        <f>((J13+K13+L13+M13)/12)*23/30</f>
        <v>42395.069444444445</v>
      </c>
      <c r="V13" s="84">
        <f>SUM(H13:U13)</f>
        <v>791221.0243055556</v>
      </c>
      <c r="W13" s="83">
        <f>(+V13-T13-I13)*8.33/100</f>
        <v>65908.71132465279</v>
      </c>
      <c r="X13" s="84">
        <f t="shared" si="18"/>
        <v>7909.045358958334</v>
      </c>
      <c r="Y13" s="84">
        <f>(+V13-O13-T13-K13-I13)*4/100</f>
        <v>3863.481111111115</v>
      </c>
      <c r="Z13" s="83">
        <f t="shared" si="10"/>
        <v>2897.610833333336</v>
      </c>
      <c r="AA13" s="84">
        <f>(+V13-O13-T13-K13-I13)*0.5/100</f>
        <v>482.93513888888936</v>
      </c>
      <c r="AB13" s="83">
        <f t="shared" si="12"/>
        <v>482.93513888888936</v>
      </c>
      <c r="AC13" s="84">
        <f t="shared" si="13"/>
        <v>965.8702777777787</v>
      </c>
      <c r="AD13" s="83">
        <f>(+H13+L13)*10.875/100</f>
        <v>0</v>
      </c>
      <c r="AE13" s="84">
        <f>(+H13+L13)*8/100</f>
        <v>0</v>
      </c>
      <c r="AF13" s="83">
        <f>(+H13+L13)*0.522/100</f>
        <v>0</v>
      </c>
      <c r="AG13" s="84">
        <f>SUM(V13:AF13)</f>
        <v>873731.6134891667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</row>
    <row r="14" spans="2:74" s="86" customFormat="1" ht="12.75">
      <c r="B14" s="79">
        <v>1</v>
      </c>
      <c r="C14" s="80" t="s">
        <v>141</v>
      </c>
      <c r="D14" s="79">
        <v>8</v>
      </c>
      <c r="E14" s="81">
        <v>1523293</v>
      </c>
      <c r="F14" s="82">
        <v>0.05</v>
      </c>
      <c r="G14" s="83">
        <f t="shared" si="16"/>
        <v>1599457.6500000001</v>
      </c>
      <c r="H14" s="84">
        <f t="shared" si="0"/>
        <v>19193491.8</v>
      </c>
      <c r="I14" s="85"/>
      <c r="J14" s="84">
        <f t="shared" si="1"/>
        <v>0</v>
      </c>
      <c r="K14" s="83">
        <f t="shared" si="2"/>
        <v>0</v>
      </c>
      <c r="L14" s="84">
        <f t="shared" si="3"/>
        <v>559810.1775</v>
      </c>
      <c r="M14" s="83">
        <f t="shared" si="17"/>
        <v>823054.2490625</v>
      </c>
      <c r="N14" s="260">
        <f t="shared" si="4"/>
        <v>857348.1761067709</v>
      </c>
      <c r="O14" s="84">
        <f t="shared" si="5"/>
        <v>1786142.0335557724</v>
      </c>
      <c r="P14" s="83"/>
      <c r="Q14" s="83"/>
      <c r="R14" s="83"/>
      <c r="S14" s="80" t="s">
        <v>141</v>
      </c>
      <c r="T14" s="84">
        <f t="shared" si="6"/>
        <v>106630.51000000001</v>
      </c>
      <c r="U14" s="83">
        <f t="shared" si="7"/>
        <v>88349.67169704862</v>
      </c>
      <c r="V14" s="84">
        <f t="shared" si="8"/>
        <v>23414826.617922094</v>
      </c>
      <c r="W14" s="83">
        <f t="shared" si="9"/>
        <v>1941572.7357899102</v>
      </c>
      <c r="X14" s="84">
        <f t="shared" si="18"/>
        <v>232988.7282947892</v>
      </c>
      <c r="Y14" s="84">
        <f t="shared" si="19"/>
        <v>860882.1629746528</v>
      </c>
      <c r="Z14" s="83">
        <f t="shared" si="10"/>
        <v>645661.6222309896</v>
      </c>
      <c r="AA14" s="84">
        <f t="shared" si="11"/>
        <v>107610.2703718316</v>
      </c>
      <c r="AB14" s="83">
        <f t="shared" si="12"/>
        <v>107610.2703718316</v>
      </c>
      <c r="AC14" s="84">
        <f t="shared" si="13"/>
        <v>215220.5407436632</v>
      </c>
      <c r="AD14" s="83">
        <f t="shared" si="20"/>
        <v>2148171.590053125</v>
      </c>
      <c r="AE14" s="84">
        <f t="shared" si="21"/>
        <v>1580264.1582</v>
      </c>
      <c r="AF14" s="83">
        <f t="shared" si="14"/>
        <v>103112.23632254999</v>
      </c>
      <c r="AG14" s="84">
        <f t="shared" si="15"/>
        <v>31357920.933275435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</row>
    <row r="15" spans="2:74" s="86" customFormat="1" ht="12.75">
      <c r="B15" s="79">
        <v>1</v>
      </c>
      <c r="C15" s="80" t="s">
        <v>142</v>
      </c>
      <c r="D15" s="79">
        <v>9</v>
      </c>
      <c r="E15" s="81">
        <v>1482640</v>
      </c>
      <c r="F15" s="82">
        <v>0.05</v>
      </c>
      <c r="G15" s="83">
        <f t="shared" si="16"/>
        <v>1556772</v>
      </c>
      <c r="H15" s="84">
        <f t="shared" si="0"/>
        <v>18681264</v>
      </c>
      <c r="I15" s="85"/>
      <c r="J15" s="84">
        <f t="shared" si="1"/>
        <v>0</v>
      </c>
      <c r="K15" s="83">
        <f t="shared" si="2"/>
        <v>0</v>
      </c>
      <c r="L15" s="84">
        <f t="shared" si="3"/>
        <v>544870.2</v>
      </c>
      <c r="M15" s="83">
        <f t="shared" si="17"/>
        <v>801088.9249999999</v>
      </c>
      <c r="N15" s="260">
        <f t="shared" si="4"/>
        <v>834467.6302083334</v>
      </c>
      <c r="O15" s="84">
        <f t="shared" si="5"/>
        <v>1738474.2296006943</v>
      </c>
      <c r="P15" s="83"/>
      <c r="Q15" s="83"/>
      <c r="R15" s="83"/>
      <c r="S15" s="80" t="s">
        <v>142</v>
      </c>
      <c r="T15" s="84">
        <f t="shared" si="6"/>
        <v>103784.8</v>
      </c>
      <c r="U15" s="83">
        <f t="shared" si="7"/>
        <v>85991.83298611111</v>
      </c>
      <c r="V15" s="84">
        <f t="shared" si="8"/>
        <v>22789941.61779514</v>
      </c>
      <c r="W15" s="83">
        <f t="shared" si="9"/>
        <v>1889756.862922335</v>
      </c>
      <c r="X15" s="84">
        <f t="shared" si="18"/>
        <v>226770.8235506802</v>
      </c>
      <c r="Y15" s="84">
        <f t="shared" si="19"/>
        <v>837907.3035277778</v>
      </c>
      <c r="Z15" s="83">
        <f t="shared" si="10"/>
        <v>628430.4776458334</v>
      </c>
      <c r="AA15" s="84">
        <f t="shared" si="11"/>
        <v>104738.41294097222</v>
      </c>
      <c r="AB15" s="83">
        <f t="shared" si="12"/>
        <v>104738.41294097222</v>
      </c>
      <c r="AC15" s="84">
        <f t="shared" si="13"/>
        <v>209476.82588194445</v>
      </c>
      <c r="AD15" s="83">
        <f t="shared" si="20"/>
        <v>2090842.0942499998</v>
      </c>
      <c r="AE15" s="84">
        <f t="shared" si="21"/>
        <v>1538090.736</v>
      </c>
      <c r="AF15" s="83">
        <f t="shared" si="14"/>
        <v>100360.420524</v>
      </c>
      <c r="AG15" s="84">
        <f t="shared" si="15"/>
        <v>30521053.98797965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</row>
    <row r="16" spans="2:74" s="86" customFormat="1" ht="12.75">
      <c r="B16" s="79">
        <v>1</v>
      </c>
      <c r="C16" s="80" t="s">
        <v>143</v>
      </c>
      <c r="D16" s="79">
        <v>10</v>
      </c>
      <c r="E16" s="81">
        <v>1112390</v>
      </c>
      <c r="F16" s="82">
        <v>0.05</v>
      </c>
      <c r="G16" s="83">
        <f t="shared" si="16"/>
        <v>1168009.5</v>
      </c>
      <c r="H16" s="84">
        <f t="shared" si="0"/>
        <v>14016114</v>
      </c>
      <c r="I16" s="85"/>
      <c r="J16" s="84"/>
      <c r="K16" s="83">
        <f t="shared" si="2"/>
        <v>0</v>
      </c>
      <c r="L16" s="84">
        <f>(IF(+G16&lt;=+$L$4,(G16*0.5),(G16*0.35)))*B16</f>
        <v>408803.32499999995</v>
      </c>
      <c r="M16" s="83">
        <f t="shared" si="17"/>
        <v>601038.2218749999</v>
      </c>
      <c r="N16" s="260">
        <f t="shared" si="4"/>
        <v>626081.4811197916</v>
      </c>
      <c r="O16" s="84">
        <f t="shared" si="5"/>
        <v>1304336.418999566</v>
      </c>
      <c r="P16" s="83"/>
      <c r="Q16" s="83"/>
      <c r="R16" s="83"/>
      <c r="S16" s="80" t="s">
        <v>143</v>
      </c>
      <c r="T16" s="84">
        <f t="shared" si="6"/>
        <v>77867.3</v>
      </c>
      <c r="U16" s="83">
        <f t="shared" si="7"/>
        <v>64517.65438368055</v>
      </c>
      <c r="V16" s="84">
        <f t="shared" si="8"/>
        <v>17098758.40137804</v>
      </c>
      <c r="W16" s="83">
        <f t="shared" si="9"/>
        <v>1417840.2287447907</v>
      </c>
      <c r="X16" s="84">
        <f t="shared" si="18"/>
        <v>170140.82744937486</v>
      </c>
      <c r="Y16" s="84">
        <f t="shared" si="19"/>
        <v>628662.187295139</v>
      </c>
      <c r="Z16" s="83">
        <f t="shared" si="10"/>
        <v>471496.6404713542</v>
      </c>
      <c r="AA16" s="84">
        <f t="shared" si="11"/>
        <v>78582.77341189237</v>
      </c>
      <c r="AB16" s="83">
        <f t="shared" si="12"/>
        <v>78582.77341189237</v>
      </c>
      <c r="AC16" s="84">
        <f t="shared" si="13"/>
        <v>157165.54682378474</v>
      </c>
      <c r="AD16" s="83">
        <f t="shared" si="20"/>
        <v>1568709.7590937498</v>
      </c>
      <c r="AE16" s="84">
        <f t="shared" si="21"/>
        <v>1153993.386</v>
      </c>
      <c r="AF16" s="83">
        <f t="shared" si="14"/>
        <v>75298.0684365</v>
      </c>
      <c r="AG16" s="84">
        <f t="shared" si="15"/>
        <v>22899230.592516515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</row>
    <row r="17" spans="2:74" s="86" customFormat="1" ht="12.75" hidden="1">
      <c r="B17" s="79">
        <v>0</v>
      </c>
      <c r="C17" s="80" t="s">
        <v>144</v>
      </c>
      <c r="D17" s="79">
        <v>11</v>
      </c>
      <c r="E17" s="81">
        <v>720160</v>
      </c>
      <c r="F17" s="82">
        <v>0.05</v>
      </c>
      <c r="G17" s="83">
        <f>+E17*(1+F17)</f>
        <v>756168</v>
      </c>
      <c r="H17" s="84">
        <f t="shared" si="0"/>
        <v>0</v>
      </c>
      <c r="I17" s="85"/>
      <c r="J17" s="84"/>
      <c r="K17" s="83">
        <f t="shared" si="2"/>
        <v>637032</v>
      </c>
      <c r="L17" s="84">
        <f>(IF(+G17&lt;=+$L$4,(G17*0.5),(G17*0.35)))*B17</f>
        <v>0</v>
      </c>
      <c r="M17" s="83">
        <f t="shared" si="17"/>
        <v>26543</v>
      </c>
      <c r="N17" s="260">
        <f>(SUM(H17:M17)-I17)/24</f>
        <v>27648.958333333332</v>
      </c>
      <c r="O17" s="84">
        <f>(SUM(H17:N17)-I17)/12</f>
        <v>57601.99652777778</v>
      </c>
      <c r="P17" s="83"/>
      <c r="Q17" s="83"/>
      <c r="R17" s="83"/>
      <c r="S17" s="80" t="s">
        <v>143</v>
      </c>
      <c r="T17" s="84">
        <f>H17/180</f>
        <v>0</v>
      </c>
      <c r="U17" s="83">
        <f>((J17+K17+L17+M17)/12)*23/30</f>
        <v>42395.069444444445</v>
      </c>
      <c r="V17" s="84">
        <f>SUM(H17:U17)</f>
        <v>791221.0243055556</v>
      </c>
      <c r="W17" s="83">
        <f>(+V17-T17-I17)*8.33/100</f>
        <v>65908.71132465279</v>
      </c>
      <c r="X17" s="84">
        <f t="shared" si="18"/>
        <v>7909.045358958334</v>
      </c>
      <c r="Y17" s="84">
        <f>(+V17-O17-T17-K17-I17)*4/100</f>
        <v>3863.481111111115</v>
      </c>
      <c r="Z17" s="83">
        <f>(+V17-O17-T17-K17-I17)*3/100</f>
        <v>2897.610833333336</v>
      </c>
      <c r="AA17" s="84">
        <f>(+V17-O17-T17-K17-I17)*0.5/100</f>
        <v>482.93513888888936</v>
      </c>
      <c r="AB17" s="83">
        <f t="shared" si="12"/>
        <v>482.93513888888936</v>
      </c>
      <c r="AC17" s="84">
        <f t="shared" si="13"/>
        <v>965.8702777777787</v>
      </c>
      <c r="AD17" s="83">
        <f>(+H17+L17)*10.875/100</f>
        <v>0</v>
      </c>
      <c r="AE17" s="84">
        <f>(+H17+L17)*8/100</f>
        <v>0</v>
      </c>
      <c r="AF17" s="83">
        <f>(+H17+L17)*0.522/100</f>
        <v>0</v>
      </c>
      <c r="AG17" s="84">
        <f>SUM(V17:AF17)</f>
        <v>873731.6134891667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</row>
    <row r="18" spans="2:74" s="86" customFormat="1" ht="12.75" hidden="1">
      <c r="B18" s="79"/>
      <c r="C18" s="80"/>
      <c r="D18" s="79">
        <v>12</v>
      </c>
      <c r="E18" s="81"/>
      <c r="F18" s="82">
        <v>0.05</v>
      </c>
      <c r="G18" s="83">
        <f>+E18*(1+F18)</f>
        <v>0</v>
      </c>
      <c r="H18" s="84">
        <f t="shared" si="0"/>
        <v>0</v>
      </c>
      <c r="I18" s="85"/>
      <c r="J18" s="84"/>
      <c r="K18" s="83">
        <f t="shared" si="2"/>
        <v>637032</v>
      </c>
      <c r="L18" s="84">
        <f>(IF(+G18&lt;=+$L$4,(G18*0.5),(G18*0.35)))*B18</f>
        <v>0</v>
      </c>
      <c r="M18" s="83">
        <f t="shared" si="17"/>
        <v>26543</v>
      </c>
      <c r="N18" s="260">
        <f>(SUM(H18:M18)-I18)/24</f>
        <v>27648.958333333332</v>
      </c>
      <c r="O18" s="84">
        <f>(SUM(H18:N18)-I18)/12</f>
        <v>57601.99652777778</v>
      </c>
      <c r="P18" s="83"/>
      <c r="Q18" s="83"/>
      <c r="R18" s="83"/>
      <c r="S18" s="80" t="s">
        <v>143</v>
      </c>
      <c r="T18" s="84">
        <f>H18/180</f>
        <v>0</v>
      </c>
      <c r="U18" s="83">
        <f>((J18+K18+L18+M18)/12)*23/30</f>
        <v>42395.069444444445</v>
      </c>
      <c r="V18" s="84">
        <f>SUM(H18:U18)</f>
        <v>791221.0243055556</v>
      </c>
      <c r="W18" s="83">
        <f>(+V18-T18-I18)*8.33/100</f>
        <v>65908.71132465279</v>
      </c>
      <c r="X18" s="84">
        <f t="shared" si="18"/>
        <v>7909.045358958334</v>
      </c>
      <c r="Y18" s="84">
        <f>(+V18-O18-T18-K18-I18)*4/100</f>
        <v>3863.481111111115</v>
      </c>
      <c r="Z18" s="83">
        <f>(+V18-O18-T18-K18-I18)*3/100</f>
        <v>2897.610833333336</v>
      </c>
      <c r="AA18" s="84">
        <f>(+V18-O18-T18-K18-I18)*0.5/100</f>
        <v>482.93513888888936</v>
      </c>
      <c r="AB18" s="83">
        <f t="shared" si="12"/>
        <v>482.93513888888936</v>
      </c>
      <c r="AC18" s="84">
        <f t="shared" si="13"/>
        <v>965.8702777777787</v>
      </c>
      <c r="AD18" s="83">
        <f>(+H18+L18)*10.875/100</f>
        <v>0</v>
      </c>
      <c r="AE18" s="84">
        <f>(+H18+L18)*8/100</f>
        <v>0</v>
      </c>
      <c r="AF18" s="83">
        <f>(+H18+L18)*0.522/100</f>
        <v>0</v>
      </c>
      <c r="AG18" s="84">
        <f>SUM(V18:AF18)</f>
        <v>873731.6134891667</v>
      </c>
      <c r="AH18" s="87"/>
      <c r="AI18" s="87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</row>
    <row r="19" spans="2:74" s="86" customFormat="1" ht="12.75" hidden="1">
      <c r="B19" s="79"/>
      <c r="C19" s="80"/>
      <c r="D19" s="79">
        <v>13</v>
      </c>
      <c r="E19" s="81"/>
      <c r="F19" s="82">
        <v>0.05</v>
      </c>
      <c r="G19" s="83">
        <f>+E19*(1+F19)</f>
        <v>0</v>
      </c>
      <c r="H19" s="84">
        <f t="shared" si="0"/>
        <v>0</v>
      </c>
      <c r="I19" s="85"/>
      <c r="J19" s="84"/>
      <c r="K19" s="83">
        <f t="shared" si="2"/>
        <v>637032</v>
      </c>
      <c r="L19" s="84">
        <f>(IF(+G19&lt;=+$L$4,(G19*0.5),(G19*0.35)))*B19</f>
        <v>0</v>
      </c>
      <c r="M19" s="83">
        <f t="shared" si="17"/>
        <v>26543</v>
      </c>
      <c r="N19" s="260">
        <f>(SUM(H19:M19)-I19)/24</f>
        <v>27648.958333333332</v>
      </c>
      <c r="O19" s="84">
        <f>(SUM(H19:N19)-I19)/12</f>
        <v>57601.99652777778</v>
      </c>
      <c r="P19" s="83"/>
      <c r="Q19" s="83"/>
      <c r="R19" s="83"/>
      <c r="S19" s="80" t="s">
        <v>143</v>
      </c>
      <c r="T19" s="84">
        <f>H19/180</f>
        <v>0</v>
      </c>
      <c r="U19" s="83">
        <f>((J19+K19+L19+M19)/12)*23/30</f>
        <v>42395.069444444445</v>
      </c>
      <c r="V19" s="84">
        <f>SUM(H19:U19)</f>
        <v>791221.0243055556</v>
      </c>
      <c r="W19" s="83">
        <f>(+V19-T19-I19)*8.33/100</f>
        <v>65908.71132465279</v>
      </c>
      <c r="X19" s="84">
        <f t="shared" si="18"/>
        <v>7909.045358958334</v>
      </c>
      <c r="Y19" s="84">
        <f>(+V19-O19-T19-K19-I19)*4/100</f>
        <v>3863.481111111115</v>
      </c>
      <c r="Z19" s="83">
        <f>(+V19-O19-T19-K19-I19)*3/100</f>
        <v>2897.610833333336</v>
      </c>
      <c r="AA19" s="84">
        <f>(+V19-O19-T19-K19-I19)*0.5/100</f>
        <v>482.93513888888936</v>
      </c>
      <c r="AB19" s="83">
        <f t="shared" si="12"/>
        <v>482.93513888888936</v>
      </c>
      <c r="AC19" s="84">
        <f t="shared" si="13"/>
        <v>965.8702777777787</v>
      </c>
      <c r="AD19" s="83">
        <f>(+H19+L19)*10.875/100</f>
        <v>0</v>
      </c>
      <c r="AE19" s="84">
        <f>(+H19+L19)*8/100</f>
        <v>0</v>
      </c>
      <c r="AF19" s="83">
        <f>(+H19+L19)*0.522/100</f>
        <v>0</v>
      </c>
      <c r="AG19" s="84">
        <f>SUM(V19:AF19)</f>
        <v>873731.6134891667</v>
      </c>
      <c r="AH19" s="87"/>
      <c r="AI19" s="87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</row>
    <row r="20" spans="2:74" s="86" customFormat="1" ht="12.75">
      <c r="B20" s="79">
        <v>1</v>
      </c>
      <c r="C20" s="80" t="s">
        <v>145</v>
      </c>
      <c r="D20" s="88">
        <v>14</v>
      </c>
      <c r="E20" s="81">
        <v>785318</v>
      </c>
      <c r="F20" s="82">
        <v>0.05</v>
      </c>
      <c r="G20" s="83">
        <f t="shared" si="16"/>
        <v>824583.9</v>
      </c>
      <c r="H20" s="84">
        <f t="shared" si="0"/>
        <v>9895006.8</v>
      </c>
      <c r="I20" s="85"/>
      <c r="J20" s="84">
        <f>(IF(+G20&lt;=+$J$4,+$J$6,0))*12*B20</f>
        <v>445320</v>
      </c>
      <c r="K20" s="83">
        <f t="shared" si="2"/>
        <v>637032</v>
      </c>
      <c r="L20" s="84">
        <f>(IF(+G20&lt;=+$L$4,(G20*0.5),(G20*0.35)))*B20</f>
        <v>412291.95</v>
      </c>
      <c r="M20" s="83">
        <f>(SUM(H20:L20)-I20)/24</f>
        <v>474568.78125</v>
      </c>
      <c r="N20" s="260">
        <f t="shared" si="4"/>
        <v>494342.48046875</v>
      </c>
      <c r="O20" s="84">
        <f t="shared" si="5"/>
        <v>1029880.1676432291</v>
      </c>
      <c r="P20" s="83"/>
      <c r="Q20" s="83"/>
      <c r="R20" s="83"/>
      <c r="S20" s="80" t="s">
        <v>145</v>
      </c>
      <c r="T20" s="84">
        <f t="shared" si="6"/>
        <v>54972.26</v>
      </c>
      <c r="U20" s="83">
        <f t="shared" si="7"/>
        <v>125810.81338541668</v>
      </c>
      <c r="V20" s="84">
        <f t="shared" si="8"/>
        <v>13569225.252747394</v>
      </c>
      <c r="W20" s="83">
        <f t="shared" si="9"/>
        <v>1125737.274295858</v>
      </c>
      <c r="X20" s="84">
        <f t="shared" si="18"/>
        <v>135088.47291550296</v>
      </c>
      <c r="Y20" s="84">
        <f t="shared" si="19"/>
        <v>473893.63300416665</v>
      </c>
      <c r="Z20" s="83">
        <f t="shared" si="10"/>
        <v>355420.224753125</v>
      </c>
      <c r="AA20" s="84">
        <f t="shared" si="11"/>
        <v>59236.70412552083</v>
      </c>
      <c r="AB20" s="83">
        <f t="shared" si="12"/>
        <v>59236.70412552083</v>
      </c>
      <c r="AC20" s="84">
        <f t="shared" si="13"/>
        <v>118473.40825104166</v>
      </c>
      <c r="AD20" s="83">
        <f t="shared" si="20"/>
        <v>1120918.7390625</v>
      </c>
      <c r="AE20" s="84">
        <f t="shared" si="21"/>
        <v>824583.9</v>
      </c>
      <c r="AF20" s="83">
        <f t="shared" si="14"/>
        <v>53804.099474999995</v>
      </c>
      <c r="AG20" s="84">
        <f t="shared" si="15"/>
        <v>17895618.41275563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</row>
    <row r="21" spans="2:74" s="86" customFormat="1" ht="12.75" hidden="1">
      <c r="B21" s="79"/>
      <c r="C21" s="80"/>
      <c r="D21" s="79">
        <v>15</v>
      </c>
      <c r="E21" s="81"/>
      <c r="F21" s="82">
        <v>0.05</v>
      </c>
      <c r="G21" s="83">
        <f t="shared" si="16"/>
        <v>0</v>
      </c>
      <c r="H21" s="84">
        <f t="shared" si="0"/>
        <v>0</v>
      </c>
      <c r="I21" s="85"/>
      <c r="J21" s="84"/>
      <c r="K21" s="83">
        <f aca="true" t="shared" si="22" ref="K21:K26">(IF(+G21&lt;=+$K$4,+$K$6,0))*12*B21</f>
        <v>0</v>
      </c>
      <c r="L21" s="84">
        <f>B21*G21*0.5</f>
        <v>0</v>
      </c>
      <c r="M21" s="83">
        <f>(SUM(H21:L21)-I21)/24</f>
        <v>0</v>
      </c>
      <c r="N21" s="260">
        <f t="shared" si="4"/>
        <v>0</v>
      </c>
      <c r="O21" s="84">
        <f t="shared" si="5"/>
        <v>0</v>
      </c>
      <c r="P21" s="83"/>
      <c r="Q21" s="83"/>
      <c r="R21" s="83"/>
      <c r="S21" s="80"/>
      <c r="T21" s="84">
        <f t="shared" si="6"/>
        <v>0</v>
      </c>
      <c r="U21" s="83">
        <f t="shared" si="7"/>
        <v>0</v>
      </c>
      <c r="V21" s="84">
        <f t="shared" si="8"/>
        <v>0</v>
      </c>
      <c r="W21" s="83">
        <f t="shared" si="9"/>
        <v>0</v>
      </c>
      <c r="X21" s="84">
        <f t="shared" si="18"/>
        <v>0</v>
      </c>
      <c r="Y21" s="84">
        <f t="shared" si="19"/>
        <v>0</v>
      </c>
      <c r="Z21" s="83">
        <f t="shared" si="10"/>
        <v>0</v>
      </c>
      <c r="AA21" s="84">
        <f t="shared" si="11"/>
        <v>0</v>
      </c>
      <c r="AB21" s="83">
        <f t="shared" si="12"/>
        <v>0</v>
      </c>
      <c r="AC21" s="84">
        <f t="shared" si="13"/>
        <v>0</v>
      </c>
      <c r="AD21" s="83">
        <f t="shared" si="20"/>
        <v>0</v>
      </c>
      <c r="AE21" s="84">
        <f t="shared" si="21"/>
        <v>0</v>
      </c>
      <c r="AF21" s="83">
        <f t="shared" si="14"/>
        <v>0</v>
      </c>
      <c r="AG21" s="84">
        <f t="shared" si="15"/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</row>
    <row r="22" spans="2:74" s="86" customFormat="1" ht="12.75" hidden="1">
      <c r="B22" s="79">
        <v>0</v>
      </c>
      <c r="C22" s="80" t="s">
        <v>146</v>
      </c>
      <c r="D22" s="79">
        <v>16</v>
      </c>
      <c r="E22" s="81">
        <v>430000</v>
      </c>
      <c r="F22" s="82">
        <v>0.05</v>
      </c>
      <c r="G22" s="83">
        <f t="shared" si="16"/>
        <v>451500</v>
      </c>
      <c r="H22" s="84">
        <f t="shared" si="0"/>
        <v>0</v>
      </c>
      <c r="I22" s="85"/>
      <c r="J22" s="84"/>
      <c r="K22" s="83">
        <f t="shared" si="22"/>
        <v>0</v>
      </c>
      <c r="L22" s="84">
        <f>B22*G22*0.5</f>
        <v>0</v>
      </c>
      <c r="M22" s="83">
        <f>(SUM(H22:L22)-I22)/24</f>
        <v>0</v>
      </c>
      <c r="N22" s="260">
        <f t="shared" si="4"/>
        <v>0</v>
      </c>
      <c r="O22" s="84">
        <f t="shared" si="5"/>
        <v>0</v>
      </c>
      <c r="P22" s="83"/>
      <c r="Q22" s="83"/>
      <c r="R22" s="83"/>
      <c r="S22" s="80" t="s">
        <v>146</v>
      </c>
      <c r="T22" s="84">
        <f t="shared" si="6"/>
        <v>0</v>
      </c>
      <c r="U22" s="83">
        <f t="shared" si="7"/>
        <v>0</v>
      </c>
      <c r="V22" s="84">
        <f t="shared" si="8"/>
        <v>0</v>
      </c>
      <c r="W22" s="83">
        <f t="shared" si="9"/>
        <v>0</v>
      </c>
      <c r="X22" s="84">
        <f t="shared" si="18"/>
        <v>0</v>
      </c>
      <c r="Y22" s="84">
        <f t="shared" si="19"/>
        <v>0</v>
      </c>
      <c r="Z22" s="83">
        <f t="shared" si="10"/>
        <v>0</v>
      </c>
      <c r="AA22" s="84">
        <f t="shared" si="11"/>
        <v>0</v>
      </c>
      <c r="AB22" s="83">
        <f t="shared" si="12"/>
        <v>0</v>
      </c>
      <c r="AC22" s="84">
        <f t="shared" si="13"/>
        <v>0</v>
      </c>
      <c r="AD22" s="83">
        <f t="shared" si="20"/>
        <v>0</v>
      </c>
      <c r="AE22" s="84">
        <f t="shared" si="21"/>
        <v>0</v>
      </c>
      <c r="AF22" s="83">
        <f t="shared" si="14"/>
        <v>0</v>
      </c>
      <c r="AG22" s="84">
        <f t="shared" si="15"/>
        <v>0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</row>
    <row r="23" spans="2:74" s="86" customFormat="1" ht="12.75" hidden="1">
      <c r="B23" s="79"/>
      <c r="C23" s="80"/>
      <c r="D23" s="79">
        <v>17</v>
      </c>
      <c r="E23" s="81"/>
      <c r="F23" s="82">
        <v>0.05</v>
      </c>
      <c r="G23" s="83">
        <f t="shared" si="16"/>
        <v>0</v>
      </c>
      <c r="H23" s="84">
        <f t="shared" si="0"/>
        <v>0</v>
      </c>
      <c r="I23" s="85"/>
      <c r="J23" s="84"/>
      <c r="K23" s="83">
        <f t="shared" si="22"/>
        <v>0</v>
      </c>
      <c r="L23" s="84">
        <f>B23*G23*0.5</f>
        <v>0</v>
      </c>
      <c r="M23" s="83">
        <f>(SUM(H23:L23)-I23)/24</f>
        <v>0</v>
      </c>
      <c r="N23" s="260">
        <f t="shared" si="4"/>
        <v>0</v>
      </c>
      <c r="O23" s="84">
        <f t="shared" si="5"/>
        <v>0</v>
      </c>
      <c r="P23" s="83"/>
      <c r="Q23" s="83"/>
      <c r="R23" s="83"/>
      <c r="S23" s="80"/>
      <c r="T23" s="84">
        <f t="shared" si="6"/>
        <v>0</v>
      </c>
      <c r="U23" s="83">
        <f t="shared" si="7"/>
        <v>0</v>
      </c>
      <c r="V23" s="84">
        <f t="shared" si="8"/>
        <v>0</v>
      </c>
      <c r="W23" s="83">
        <f t="shared" si="9"/>
        <v>0</v>
      </c>
      <c r="X23" s="84">
        <f t="shared" si="18"/>
        <v>0</v>
      </c>
      <c r="Y23" s="84">
        <f t="shared" si="19"/>
        <v>0</v>
      </c>
      <c r="Z23" s="83">
        <f t="shared" si="10"/>
        <v>0</v>
      </c>
      <c r="AA23" s="84">
        <f t="shared" si="11"/>
        <v>0</v>
      </c>
      <c r="AB23" s="83">
        <f t="shared" si="12"/>
        <v>0</v>
      </c>
      <c r="AC23" s="84">
        <f t="shared" si="13"/>
        <v>0</v>
      </c>
      <c r="AD23" s="83">
        <f t="shared" si="20"/>
        <v>0</v>
      </c>
      <c r="AE23" s="84">
        <f t="shared" si="21"/>
        <v>0</v>
      </c>
      <c r="AF23" s="83">
        <f t="shared" si="14"/>
        <v>0</v>
      </c>
      <c r="AG23" s="84">
        <f t="shared" si="15"/>
        <v>0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</row>
    <row r="24" spans="2:74" s="89" customFormat="1" ht="12.75">
      <c r="B24" s="79">
        <v>6</v>
      </c>
      <c r="C24" s="80" t="s">
        <v>147</v>
      </c>
      <c r="D24" s="79">
        <v>18</v>
      </c>
      <c r="E24" s="81">
        <v>639209</v>
      </c>
      <c r="F24" s="82">
        <v>0.05</v>
      </c>
      <c r="G24" s="83">
        <f t="shared" si="16"/>
        <v>671169.4500000001</v>
      </c>
      <c r="H24" s="84">
        <f t="shared" si="0"/>
        <v>48324200.400000006</v>
      </c>
      <c r="I24" s="85"/>
      <c r="J24" s="84">
        <f>(IF(+G24&lt;=+$J$4,+$J$6,0))*12*B24</f>
        <v>2671920</v>
      </c>
      <c r="K24" s="83">
        <f t="shared" si="22"/>
        <v>3822192</v>
      </c>
      <c r="L24" s="84">
        <f>(IF(+G24&lt;=+$L$4,(G24*0.5),(G24*0.35)))*B24</f>
        <v>2013508.35</v>
      </c>
      <c r="M24" s="83">
        <f>(H24+J24+K24+L24)/24</f>
        <v>2367992.5312500005</v>
      </c>
      <c r="N24" s="260">
        <f t="shared" si="4"/>
        <v>2466658.8867187505</v>
      </c>
      <c r="O24" s="84">
        <f t="shared" si="5"/>
        <v>5138872.680664063</v>
      </c>
      <c r="P24" s="83"/>
      <c r="Q24" s="83"/>
      <c r="R24" s="83"/>
      <c r="S24" s="80" t="s">
        <v>147</v>
      </c>
      <c r="T24" s="84">
        <f t="shared" si="6"/>
        <v>268467.78</v>
      </c>
      <c r="U24" s="83">
        <f t="shared" si="7"/>
        <v>694830.8229687499</v>
      </c>
      <c r="V24" s="84">
        <f t="shared" si="8"/>
        <v>67768643.45160156</v>
      </c>
      <c r="W24" s="83">
        <f t="shared" si="9"/>
        <v>5622764.633444411</v>
      </c>
      <c r="X24" s="84">
        <f t="shared" si="18"/>
        <v>674731.7560133293</v>
      </c>
      <c r="Y24" s="84">
        <f t="shared" si="19"/>
        <v>2341564.4396375</v>
      </c>
      <c r="Z24" s="83">
        <f t="shared" si="10"/>
        <v>1756173.3297281251</v>
      </c>
      <c r="AA24" s="84">
        <f t="shared" si="11"/>
        <v>292695.5549546875</v>
      </c>
      <c r="AB24" s="83">
        <f t="shared" si="12"/>
        <v>292695.5549546875</v>
      </c>
      <c r="AC24" s="84">
        <f t="shared" si="13"/>
        <v>585391.109909375</v>
      </c>
      <c r="AD24" s="83">
        <f t="shared" si="20"/>
        <v>5474225.8265625015</v>
      </c>
      <c r="AE24" s="84">
        <f t="shared" si="21"/>
        <v>4027016.7000000007</v>
      </c>
      <c r="AF24" s="83">
        <f t="shared" si="14"/>
        <v>262762.83967500005</v>
      </c>
      <c r="AG24" s="84">
        <f t="shared" si="15"/>
        <v>89098665.1964812</v>
      </c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</row>
    <row r="25" spans="2:74" s="86" customFormat="1" ht="12.75">
      <c r="B25" s="79">
        <v>4</v>
      </c>
      <c r="C25" s="80" t="s">
        <v>148</v>
      </c>
      <c r="D25" s="79">
        <v>19</v>
      </c>
      <c r="E25" s="81">
        <v>535590</v>
      </c>
      <c r="F25" s="82">
        <v>0.05</v>
      </c>
      <c r="G25" s="83">
        <f t="shared" si="16"/>
        <v>562369.5</v>
      </c>
      <c r="H25" s="84">
        <f t="shared" si="0"/>
        <v>26993736</v>
      </c>
      <c r="I25" s="85"/>
      <c r="J25" s="84">
        <f>(IF(+G25&lt;=+$J$4,+$J$6,0))*12*B25</f>
        <v>1781280</v>
      </c>
      <c r="K25" s="83">
        <f t="shared" si="22"/>
        <v>2548128</v>
      </c>
      <c r="L25" s="84">
        <f>(IF(+G25&lt;=+$L$4,(G25*0.5),(G25*0.35)))*B25</f>
        <v>1124739</v>
      </c>
      <c r="M25" s="83">
        <f>(H25+J25+K25+L25)/24</f>
        <v>1351995.125</v>
      </c>
      <c r="N25" s="260">
        <f t="shared" si="4"/>
        <v>1408328.2552083333</v>
      </c>
      <c r="O25" s="84">
        <f t="shared" si="5"/>
        <v>2934017.1983506945</v>
      </c>
      <c r="P25" s="83"/>
      <c r="Q25" s="83"/>
      <c r="R25" s="83"/>
      <c r="S25" s="80" t="s">
        <v>148</v>
      </c>
      <c r="T25" s="84">
        <f t="shared" si="6"/>
        <v>149965.2</v>
      </c>
      <c r="U25" s="83">
        <f t="shared" si="7"/>
        <v>434836.8579861111</v>
      </c>
      <c r="V25" s="84">
        <f t="shared" si="8"/>
        <v>38727025.636545144</v>
      </c>
      <c r="W25" s="83">
        <f t="shared" si="9"/>
        <v>3213469.1343642105</v>
      </c>
      <c r="X25" s="84">
        <f t="shared" si="18"/>
        <v>385616.2961237052</v>
      </c>
      <c r="Y25" s="84">
        <f t="shared" si="19"/>
        <v>1323796.6095277776</v>
      </c>
      <c r="Z25" s="83">
        <f t="shared" si="10"/>
        <v>992847.4571458334</v>
      </c>
      <c r="AA25" s="84">
        <f t="shared" si="11"/>
        <v>165474.5761909722</v>
      </c>
      <c r="AB25" s="83">
        <f t="shared" si="12"/>
        <v>165474.5761909722</v>
      </c>
      <c r="AC25" s="84">
        <f t="shared" si="13"/>
        <v>330949.1523819444</v>
      </c>
      <c r="AD25" s="83">
        <f t="shared" si="20"/>
        <v>3057884.15625</v>
      </c>
      <c r="AE25" s="84">
        <f t="shared" si="21"/>
        <v>2249478</v>
      </c>
      <c r="AF25" s="83">
        <f t="shared" si="14"/>
        <v>146778.4395</v>
      </c>
      <c r="AG25" s="84">
        <f t="shared" si="15"/>
        <v>50758794.03422055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</row>
    <row r="26" spans="2:74" s="86" customFormat="1" ht="13.5" thickBot="1">
      <c r="B26" s="79">
        <v>2</v>
      </c>
      <c r="C26" s="80" t="s">
        <v>149</v>
      </c>
      <c r="D26" s="79">
        <v>21</v>
      </c>
      <c r="E26" s="81">
        <v>494542</v>
      </c>
      <c r="F26" s="82">
        <v>0.05</v>
      </c>
      <c r="G26" s="83">
        <f t="shared" si="16"/>
        <v>519269.10000000003</v>
      </c>
      <c r="H26" s="84">
        <f t="shared" si="0"/>
        <v>12462458.4</v>
      </c>
      <c r="I26" s="85"/>
      <c r="J26" s="84">
        <f>(IF(+G26&lt;=+$J$4,+$J$6,0))*12*B26</f>
        <v>890640</v>
      </c>
      <c r="K26" s="83">
        <f t="shared" si="22"/>
        <v>1274064</v>
      </c>
      <c r="L26" s="84">
        <f>(IF(+G26&lt;=+$L$4,(G26*0.5),(G26*0.35)))*B26</f>
        <v>519269.10000000003</v>
      </c>
      <c r="M26" s="83">
        <f>(H26+J26+K26+L26)/24</f>
        <v>631101.3125</v>
      </c>
      <c r="N26" s="260">
        <f t="shared" si="4"/>
        <v>657397.2005208334</v>
      </c>
      <c r="O26" s="84">
        <f t="shared" si="5"/>
        <v>1369577.5010850695</v>
      </c>
      <c r="P26" s="83"/>
      <c r="Q26" s="83"/>
      <c r="R26" s="83"/>
      <c r="S26" s="80" t="s">
        <v>149</v>
      </c>
      <c r="T26" s="90">
        <f t="shared" si="6"/>
        <v>69235.88</v>
      </c>
      <c r="U26" s="83">
        <f t="shared" si="7"/>
        <v>211796.4207986111</v>
      </c>
      <c r="V26" s="84">
        <f t="shared" si="8"/>
        <v>18085539.814904515</v>
      </c>
      <c r="W26" s="83">
        <f t="shared" si="9"/>
        <v>1500758.117777546</v>
      </c>
      <c r="X26" s="84">
        <f t="shared" si="18"/>
        <v>180090.9741333055</v>
      </c>
      <c r="Y26" s="84">
        <f t="shared" si="19"/>
        <v>614906.4973527777</v>
      </c>
      <c r="Z26" s="83">
        <f t="shared" si="10"/>
        <v>461179.87301458337</v>
      </c>
      <c r="AA26" s="84">
        <f t="shared" si="11"/>
        <v>76863.31216909722</v>
      </c>
      <c r="AB26" s="83">
        <f t="shared" si="12"/>
        <v>76863.31216909722</v>
      </c>
      <c r="AC26" s="84">
        <f t="shared" si="13"/>
        <v>153726.62433819444</v>
      </c>
      <c r="AD26" s="83">
        <f t="shared" si="20"/>
        <v>1411762.865625</v>
      </c>
      <c r="AE26" s="84">
        <f t="shared" si="21"/>
        <v>1038538.2</v>
      </c>
      <c r="AF26" s="83">
        <f t="shared" si="14"/>
        <v>67764.61755</v>
      </c>
      <c r="AG26" s="84">
        <f t="shared" si="15"/>
        <v>23667994.20903412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</row>
    <row r="27" spans="2:74" s="86" customFormat="1" ht="13.5" hidden="1" thickBot="1">
      <c r="B27" s="79">
        <v>0</v>
      </c>
      <c r="C27" s="80" t="s">
        <v>150</v>
      </c>
      <c r="D27" s="79">
        <v>22</v>
      </c>
      <c r="E27" s="81">
        <v>260100</v>
      </c>
      <c r="F27" s="82">
        <v>0.04</v>
      </c>
      <c r="G27" s="83">
        <f t="shared" si="16"/>
        <v>270504</v>
      </c>
      <c r="H27" s="84">
        <f t="shared" si="0"/>
        <v>0</v>
      </c>
      <c r="I27" s="85"/>
      <c r="J27" s="84"/>
      <c r="K27" s="83"/>
      <c r="L27" s="84">
        <f>B27*G27*0.5</f>
        <v>0</v>
      </c>
      <c r="M27" s="83">
        <f>(SUM(H27:L27)-I27)/24</f>
        <v>0</v>
      </c>
      <c r="N27" s="260">
        <f t="shared" si="4"/>
        <v>0</v>
      </c>
      <c r="O27" s="84">
        <f t="shared" si="5"/>
        <v>0</v>
      </c>
      <c r="P27" s="83"/>
      <c r="Q27" s="83"/>
      <c r="R27" s="83"/>
      <c r="S27" s="80" t="s">
        <v>150</v>
      </c>
      <c r="T27" s="84">
        <f t="shared" si="6"/>
        <v>0</v>
      </c>
      <c r="U27" s="83">
        <f t="shared" si="7"/>
        <v>0</v>
      </c>
      <c r="V27" s="84">
        <f t="shared" si="8"/>
        <v>0</v>
      </c>
      <c r="W27" s="83">
        <f t="shared" si="9"/>
        <v>0</v>
      </c>
      <c r="X27" s="84"/>
      <c r="Y27" s="84">
        <f>(+V27-O27-T27-K27-I27)*4/100</f>
        <v>0</v>
      </c>
      <c r="Z27" s="83">
        <f t="shared" si="10"/>
        <v>0</v>
      </c>
      <c r="AA27" s="84">
        <f t="shared" si="11"/>
        <v>0</v>
      </c>
      <c r="AB27" s="83">
        <f t="shared" si="12"/>
        <v>0</v>
      </c>
      <c r="AC27" s="84">
        <f t="shared" si="13"/>
        <v>0</v>
      </c>
      <c r="AD27" s="83">
        <f t="shared" si="20"/>
        <v>0</v>
      </c>
      <c r="AE27" s="84">
        <f t="shared" si="21"/>
        <v>0</v>
      </c>
      <c r="AF27" s="83">
        <f t="shared" si="14"/>
        <v>0</v>
      </c>
      <c r="AG27" s="84">
        <f t="shared" si="15"/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</row>
    <row r="28" spans="2:74" s="86" customFormat="1" ht="13.5" hidden="1" thickBot="1">
      <c r="B28" s="79">
        <v>0</v>
      </c>
      <c r="C28" s="80" t="s">
        <v>151</v>
      </c>
      <c r="D28" s="79" t="s">
        <v>152</v>
      </c>
      <c r="E28" s="81">
        <v>436347</v>
      </c>
      <c r="F28" s="82">
        <v>0.04</v>
      </c>
      <c r="G28" s="83">
        <f t="shared" si="16"/>
        <v>453800.88</v>
      </c>
      <c r="H28" s="84">
        <f t="shared" si="0"/>
        <v>0</v>
      </c>
      <c r="I28" s="85"/>
      <c r="J28" s="84"/>
      <c r="K28" s="83"/>
      <c r="L28" s="84">
        <f>B28*G28*0.5</f>
        <v>0</v>
      </c>
      <c r="M28" s="83">
        <f>(H28+J28+K28+L28)/24</f>
        <v>0</v>
      </c>
      <c r="N28" s="260">
        <f t="shared" si="4"/>
        <v>0</v>
      </c>
      <c r="O28" s="84">
        <f t="shared" si="5"/>
        <v>0</v>
      </c>
      <c r="P28" s="83"/>
      <c r="Q28" s="83"/>
      <c r="R28" s="83"/>
      <c r="S28" s="80" t="s">
        <v>151</v>
      </c>
      <c r="T28" s="84">
        <f t="shared" si="6"/>
        <v>0</v>
      </c>
      <c r="U28" s="83">
        <f t="shared" si="7"/>
        <v>0</v>
      </c>
      <c r="V28" s="84">
        <f t="shared" si="8"/>
        <v>0</v>
      </c>
      <c r="W28" s="83">
        <f t="shared" si="9"/>
        <v>0</v>
      </c>
      <c r="X28" s="84"/>
      <c r="Y28" s="84">
        <f>(+V28-O28-T28-K28)*4/100</f>
        <v>0</v>
      </c>
      <c r="Z28" s="83">
        <f t="shared" si="10"/>
        <v>0</v>
      </c>
      <c r="AA28" s="84">
        <f t="shared" si="11"/>
        <v>0</v>
      </c>
      <c r="AB28" s="83">
        <f t="shared" si="12"/>
        <v>0</v>
      </c>
      <c r="AC28" s="84">
        <f t="shared" si="13"/>
        <v>0</v>
      </c>
      <c r="AD28" s="83">
        <f t="shared" si="20"/>
        <v>0</v>
      </c>
      <c r="AE28" s="84">
        <f t="shared" si="21"/>
        <v>0</v>
      </c>
      <c r="AF28" s="83">
        <f t="shared" si="14"/>
        <v>0</v>
      </c>
      <c r="AG28" s="84">
        <f t="shared" si="15"/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2:74" s="100" customFormat="1" ht="13.5" thickBot="1">
      <c r="B29" s="91">
        <f>SUM(B7:B28)</f>
        <v>21</v>
      </c>
      <c r="C29" s="92" t="s">
        <v>153</v>
      </c>
      <c r="D29" s="93"/>
      <c r="E29" s="96">
        <f>SUM(E7:E28)</f>
        <v>12497411</v>
      </c>
      <c r="F29" s="96"/>
      <c r="G29" s="96">
        <f aca="true" t="shared" si="23" ref="G29:O29">SUM(G7:G28)</f>
        <v>13131119.63</v>
      </c>
      <c r="H29" s="97">
        <f t="shared" si="23"/>
        <v>268718814.6</v>
      </c>
      <c r="I29" s="97">
        <f t="shared" si="23"/>
        <v>14521368</v>
      </c>
      <c r="J29" s="97">
        <f t="shared" si="23"/>
        <v>5789160</v>
      </c>
      <c r="K29" s="96">
        <f t="shared" si="23"/>
        <v>13377672</v>
      </c>
      <c r="L29" s="97">
        <f t="shared" si="23"/>
        <v>9058574.6125</v>
      </c>
      <c r="M29" s="96">
        <f t="shared" si="23"/>
        <v>12372675.883854166</v>
      </c>
      <c r="N29" s="261">
        <f t="shared" si="23"/>
        <v>12888204.045681423</v>
      </c>
      <c r="O29" s="266">
        <f t="shared" si="23"/>
        <v>26850425.09516963</v>
      </c>
      <c r="P29" s="106"/>
      <c r="Q29" s="106"/>
      <c r="R29" s="106"/>
      <c r="S29" s="92" t="s">
        <v>153</v>
      </c>
      <c r="T29" s="97">
        <f aca="true" t="shared" si="24" ref="T29:AG29">SUM(T7:T28)</f>
        <v>1492882.3033333337</v>
      </c>
      <c r="U29" s="96">
        <f t="shared" si="24"/>
        <v>2593766.3817115165</v>
      </c>
      <c r="V29" s="97">
        <f t="shared" si="24"/>
        <v>367663542.92225003</v>
      </c>
      <c r="W29" s="96">
        <f t="shared" si="24"/>
        <v>29292386.07515577</v>
      </c>
      <c r="X29" s="96">
        <f t="shared" si="24"/>
        <v>3515086.3290186916</v>
      </c>
      <c r="Y29" s="97">
        <f t="shared" si="24"/>
        <v>12456847.820949884</v>
      </c>
      <c r="Z29" s="96">
        <f t="shared" si="24"/>
        <v>9342635.865712412</v>
      </c>
      <c r="AA29" s="97">
        <f t="shared" si="24"/>
        <v>1557105.9776187355</v>
      </c>
      <c r="AB29" s="96">
        <f t="shared" si="24"/>
        <v>1557105.9776187355</v>
      </c>
      <c r="AC29" s="97">
        <f t="shared" si="24"/>
        <v>3114211.955237471</v>
      </c>
      <c r="AD29" s="96">
        <f t="shared" si="24"/>
        <v>30208291.076859377</v>
      </c>
      <c r="AE29" s="97">
        <f t="shared" si="24"/>
        <v>22222191.137</v>
      </c>
      <c r="AF29" s="96">
        <f t="shared" si="24"/>
        <v>1449997.97168925</v>
      </c>
      <c r="AG29" s="97">
        <f t="shared" si="24"/>
        <v>482379403.10911053</v>
      </c>
      <c r="AH29" s="98"/>
      <c r="AI29" s="98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</row>
    <row r="30" spans="2:74" s="100" customFormat="1" ht="12.75">
      <c r="B30" s="101"/>
      <c r="C30" s="102"/>
      <c r="D30" s="103"/>
      <c r="E30" s="104"/>
      <c r="F30" s="105"/>
      <c r="G30" s="106"/>
      <c r="H30" s="107"/>
      <c r="I30" s="106"/>
      <c r="J30" s="107"/>
      <c r="K30" s="106"/>
      <c r="L30" s="107"/>
      <c r="M30" s="106"/>
      <c r="N30" s="262"/>
      <c r="O30" s="107"/>
      <c r="P30" s="106"/>
      <c r="Q30" s="106"/>
      <c r="R30" s="106"/>
      <c r="S30" s="102"/>
      <c r="T30" s="107"/>
      <c r="U30" s="106"/>
      <c r="V30" s="107"/>
      <c r="W30" s="106"/>
      <c r="X30" s="106"/>
      <c r="Y30" s="107"/>
      <c r="Z30" s="106"/>
      <c r="AA30" s="107"/>
      <c r="AB30" s="106"/>
      <c r="AC30" s="107"/>
      <c r="AD30" s="106"/>
      <c r="AE30" s="107"/>
      <c r="AF30" s="106"/>
      <c r="AG30" s="107"/>
      <c r="AH30" s="98"/>
      <c r="AI30" s="98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</row>
    <row r="31" spans="2:74" s="100" customFormat="1" ht="12.75">
      <c r="B31" s="101"/>
      <c r="C31" s="102"/>
      <c r="D31" s="103"/>
      <c r="E31" s="104"/>
      <c r="F31" s="105"/>
      <c r="G31" s="106"/>
      <c r="H31" s="107"/>
      <c r="I31" s="106"/>
      <c r="J31" s="107"/>
      <c r="K31" s="106"/>
      <c r="L31" s="107"/>
      <c r="M31" s="106"/>
      <c r="N31" s="262"/>
      <c r="O31" s="262"/>
      <c r="P31" s="106"/>
      <c r="Q31" s="106"/>
      <c r="R31" s="106"/>
      <c r="S31" s="102"/>
      <c r="T31" s="107"/>
      <c r="U31" s="106"/>
      <c r="V31" s="107"/>
      <c r="W31" s="106"/>
      <c r="X31" s="106"/>
      <c r="Y31" s="107"/>
      <c r="Z31" s="106"/>
      <c r="AA31" s="107"/>
      <c r="AB31" s="106"/>
      <c r="AC31" s="107"/>
      <c r="AD31" s="106"/>
      <c r="AE31" s="107"/>
      <c r="AF31" s="106"/>
      <c r="AG31" s="107"/>
      <c r="AH31" s="98"/>
      <c r="AI31" s="98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</row>
    <row r="32" spans="2:74" s="71" customFormat="1" ht="12.75">
      <c r="B32" s="66" t="s">
        <v>94</v>
      </c>
      <c r="C32" s="67" t="s">
        <v>95</v>
      </c>
      <c r="D32" s="66" t="s">
        <v>96</v>
      </c>
      <c r="E32" s="68" t="s">
        <v>97</v>
      </c>
      <c r="F32" s="69" t="s">
        <v>98</v>
      </c>
      <c r="G32" s="68" t="s">
        <v>99</v>
      </c>
      <c r="H32" s="66" t="s">
        <v>100</v>
      </c>
      <c r="I32" s="67" t="s">
        <v>154</v>
      </c>
      <c r="J32" s="66" t="s">
        <v>102</v>
      </c>
      <c r="K32" s="67" t="s">
        <v>103</v>
      </c>
      <c r="L32" s="66" t="s">
        <v>104</v>
      </c>
      <c r="M32" s="67" t="s">
        <v>105</v>
      </c>
      <c r="N32" s="258" t="s">
        <v>106</v>
      </c>
      <c r="O32" s="258" t="s">
        <v>107</v>
      </c>
      <c r="P32" s="360"/>
      <c r="Q32" s="336"/>
      <c r="R32" s="336"/>
      <c r="S32" s="67" t="s">
        <v>95</v>
      </c>
      <c r="T32" s="66" t="s">
        <v>108</v>
      </c>
      <c r="U32" s="67" t="s">
        <v>109</v>
      </c>
      <c r="V32" s="66" t="s">
        <v>110</v>
      </c>
      <c r="W32" s="67" t="s">
        <v>111</v>
      </c>
      <c r="X32" s="67"/>
      <c r="Y32" s="66" t="s">
        <v>112</v>
      </c>
      <c r="Z32" s="67" t="s">
        <v>113</v>
      </c>
      <c r="AA32" s="66" t="s">
        <v>114</v>
      </c>
      <c r="AB32" s="67" t="s">
        <v>115</v>
      </c>
      <c r="AC32" s="66" t="s">
        <v>116</v>
      </c>
      <c r="AD32" s="67" t="s">
        <v>117</v>
      </c>
      <c r="AE32" s="66" t="s">
        <v>118</v>
      </c>
      <c r="AF32" s="67" t="s">
        <v>119</v>
      </c>
      <c r="AG32" s="66" t="s">
        <v>110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</row>
    <row r="33" spans="2:74" s="71" customFormat="1" ht="13.5" thickBot="1">
      <c r="B33" s="72" t="s">
        <v>120</v>
      </c>
      <c r="C33" s="73"/>
      <c r="D33" s="72" t="s">
        <v>155</v>
      </c>
      <c r="E33" s="74" t="s">
        <v>325</v>
      </c>
      <c r="F33" s="75"/>
      <c r="G33" s="74">
        <v>2008</v>
      </c>
      <c r="H33" s="72" t="s">
        <v>123</v>
      </c>
      <c r="I33" s="73" t="s">
        <v>123</v>
      </c>
      <c r="J33" s="76"/>
      <c r="K33" s="77"/>
      <c r="L33" s="72" t="s">
        <v>125</v>
      </c>
      <c r="M33" s="78" t="s">
        <v>126</v>
      </c>
      <c r="N33" s="259" t="s">
        <v>127</v>
      </c>
      <c r="O33" s="361" t="s">
        <v>128</v>
      </c>
      <c r="P33" s="360"/>
      <c r="Q33" s="336"/>
      <c r="R33" s="336"/>
      <c r="S33" s="73"/>
      <c r="T33" s="72" t="s">
        <v>129</v>
      </c>
      <c r="U33" s="78" t="s">
        <v>127</v>
      </c>
      <c r="V33" s="72" t="s">
        <v>130</v>
      </c>
      <c r="W33" s="78" t="s">
        <v>131</v>
      </c>
      <c r="X33" s="78"/>
      <c r="Y33" s="72" t="s">
        <v>132</v>
      </c>
      <c r="Z33" s="78" t="s">
        <v>133</v>
      </c>
      <c r="AA33" s="72" t="s">
        <v>134</v>
      </c>
      <c r="AB33" s="78" t="s">
        <v>135</v>
      </c>
      <c r="AC33" s="72" t="s">
        <v>136</v>
      </c>
      <c r="AD33" s="78"/>
      <c r="AE33" s="72"/>
      <c r="AF33" s="78" t="s">
        <v>137</v>
      </c>
      <c r="AG33" s="72" t="s">
        <v>138</v>
      </c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</row>
    <row r="34" spans="2:74" s="112" customFormat="1" ht="12.75" hidden="1">
      <c r="B34" s="108"/>
      <c r="C34" s="64"/>
      <c r="D34" s="109"/>
      <c r="E34" s="110"/>
      <c r="F34" s="111"/>
      <c r="G34" s="64"/>
      <c r="H34" s="109"/>
      <c r="I34" s="64"/>
      <c r="J34" s="109"/>
      <c r="K34" s="64"/>
      <c r="L34" s="109"/>
      <c r="M34" s="64"/>
      <c r="N34" s="263"/>
      <c r="O34" s="263"/>
      <c r="P34" s="263"/>
      <c r="Q34" s="85"/>
      <c r="R34" s="85"/>
      <c r="S34" s="64"/>
      <c r="T34" s="109"/>
      <c r="U34" s="64"/>
      <c r="V34" s="109"/>
      <c r="W34" s="64"/>
      <c r="X34" s="64"/>
      <c r="Y34" s="109"/>
      <c r="Z34" s="64"/>
      <c r="AA34" s="109"/>
      <c r="AB34" s="64"/>
      <c r="AC34" s="109"/>
      <c r="AD34" s="64"/>
      <c r="AE34" s="109"/>
      <c r="AF34" s="64"/>
      <c r="AG34" s="109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</row>
    <row r="35" spans="2:74" s="118" customFormat="1" ht="12.75" hidden="1">
      <c r="B35" s="113" t="s">
        <v>94</v>
      </c>
      <c r="C35" s="114" t="s">
        <v>95</v>
      </c>
      <c r="D35" s="113" t="s">
        <v>96</v>
      </c>
      <c r="E35" s="115" t="s">
        <v>97</v>
      </c>
      <c r="F35" s="116" t="s">
        <v>98</v>
      </c>
      <c r="G35" s="114" t="s">
        <v>97</v>
      </c>
      <c r="H35" s="113" t="s">
        <v>100</v>
      </c>
      <c r="I35" s="114" t="s">
        <v>101</v>
      </c>
      <c r="J35" s="113" t="s">
        <v>102</v>
      </c>
      <c r="K35" s="114" t="s">
        <v>103</v>
      </c>
      <c r="L35" s="113" t="s">
        <v>104</v>
      </c>
      <c r="M35" s="114" t="s">
        <v>105</v>
      </c>
      <c r="N35" s="264" t="s">
        <v>106</v>
      </c>
      <c r="O35" s="362" t="s">
        <v>107</v>
      </c>
      <c r="P35" s="362"/>
      <c r="Q35" s="337"/>
      <c r="R35" s="337"/>
      <c r="S35" s="114" t="s">
        <v>95</v>
      </c>
      <c r="T35" s="113" t="s">
        <v>108</v>
      </c>
      <c r="U35" s="114" t="s">
        <v>109</v>
      </c>
      <c r="V35" s="113" t="s">
        <v>110</v>
      </c>
      <c r="W35" s="114" t="s">
        <v>111</v>
      </c>
      <c r="X35" s="114"/>
      <c r="Y35" s="113" t="s">
        <v>112</v>
      </c>
      <c r="Z35" s="114" t="s">
        <v>113</v>
      </c>
      <c r="AA35" s="113" t="s">
        <v>114</v>
      </c>
      <c r="AB35" s="114" t="s">
        <v>115</v>
      </c>
      <c r="AC35" s="113" t="s">
        <v>116</v>
      </c>
      <c r="AD35" s="114" t="s">
        <v>117</v>
      </c>
      <c r="AE35" s="113" t="s">
        <v>118</v>
      </c>
      <c r="AF35" s="114" t="s">
        <v>119</v>
      </c>
      <c r="AG35" s="113" t="s">
        <v>110</v>
      </c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</row>
    <row r="36" spans="2:74" s="118" customFormat="1" ht="13.5" hidden="1" thickBot="1">
      <c r="B36" s="119" t="s">
        <v>120</v>
      </c>
      <c r="C36" s="120"/>
      <c r="D36" s="119" t="s">
        <v>155</v>
      </c>
      <c r="E36" s="121" t="s">
        <v>122</v>
      </c>
      <c r="F36" s="122"/>
      <c r="G36" s="123" t="s">
        <v>156</v>
      </c>
      <c r="H36" s="119" t="s">
        <v>123</v>
      </c>
      <c r="I36" s="120" t="s">
        <v>157</v>
      </c>
      <c r="J36" s="124">
        <f>21451*1.062</f>
        <v>22780.962</v>
      </c>
      <c r="K36" s="125">
        <f>26413*1.09</f>
        <v>28790.170000000002</v>
      </c>
      <c r="L36" s="119" t="s">
        <v>125</v>
      </c>
      <c r="M36" s="123" t="s">
        <v>126</v>
      </c>
      <c r="N36" s="265" t="s">
        <v>127</v>
      </c>
      <c r="O36" s="362" t="s">
        <v>128</v>
      </c>
      <c r="P36" s="362"/>
      <c r="Q36" s="337"/>
      <c r="R36" s="337"/>
      <c r="S36" s="120"/>
      <c r="T36" s="119" t="s">
        <v>129</v>
      </c>
      <c r="U36" s="123" t="s">
        <v>127</v>
      </c>
      <c r="V36" s="119" t="s">
        <v>130</v>
      </c>
      <c r="W36" s="123" t="s">
        <v>131</v>
      </c>
      <c r="X36" s="123"/>
      <c r="Y36" s="119" t="s">
        <v>132</v>
      </c>
      <c r="Z36" s="123" t="s">
        <v>133</v>
      </c>
      <c r="AA36" s="119" t="s">
        <v>134</v>
      </c>
      <c r="AB36" s="123" t="s">
        <v>135</v>
      </c>
      <c r="AC36" s="119" t="s">
        <v>136</v>
      </c>
      <c r="AD36" s="123"/>
      <c r="AE36" s="119"/>
      <c r="AF36" s="123" t="s">
        <v>137</v>
      </c>
      <c r="AG36" s="119" t="s">
        <v>138</v>
      </c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</row>
    <row r="37" spans="2:74" s="86" customFormat="1" ht="12.75">
      <c r="B37" s="79">
        <v>1</v>
      </c>
      <c r="C37" s="80" t="s">
        <v>158</v>
      </c>
      <c r="D37" s="79">
        <v>1</v>
      </c>
      <c r="E37" s="81">
        <v>2163329</v>
      </c>
      <c r="F37" s="82">
        <v>0</v>
      </c>
      <c r="G37" s="83">
        <v>2420228</v>
      </c>
      <c r="H37" s="84">
        <f>B37*G37*12</f>
        <v>29042736</v>
      </c>
      <c r="I37" s="85"/>
      <c r="J37" s="84">
        <f>(IF(+G37&lt;=+$J$4,+$J$6,0))*12*B37</f>
        <v>0</v>
      </c>
      <c r="K37" s="83">
        <f>(IF(+G37&lt;=+$K$4,+$K$6,0))*12</f>
        <v>0</v>
      </c>
      <c r="L37" s="84">
        <f>(IF(+G37&lt;=+$L$4,(G37*0.5),(G37*0.35)))*B37</f>
        <v>847079.7999999999</v>
      </c>
      <c r="M37" s="83">
        <f>(SUM(H37:L37)-I37)/24</f>
        <v>1245408.9916666667</v>
      </c>
      <c r="N37" s="260">
        <f>(SUM(H37:M37)-I37)/24</f>
        <v>1297301.0329861112</v>
      </c>
      <c r="O37" s="260">
        <f>(SUM(H37:N37)-I37)/12</f>
        <v>2702710.485387732</v>
      </c>
      <c r="P37" s="260"/>
      <c r="Q37" s="83"/>
      <c r="R37" s="83"/>
      <c r="S37" s="80" t="s">
        <v>158</v>
      </c>
      <c r="T37" s="84">
        <f>H37/180</f>
        <v>161348.53333333333</v>
      </c>
      <c r="U37" s="83">
        <f>((J37+K37+L37+M37)/12)*23/30</f>
        <v>133686.78391203703</v>
      </c>
      <c r="V37" s="84">
        <f>SUM(H37:U37)</f>
        <v>35430271.62728588</v>
      </c>
      <c r="W37" s="83">
        <f>(+V37-T37-I37)*8.33/100</f>
        <v>2937901.2937262477</v>
      </c>
      <c r="X37" s="83">
        <f>W37*12%</f>
        <v>352548.1552471497</v>
      </c>
      <c r="Y37" s="84">
        <f>(+V37-O37-T37-K37-I37)*4/100</f>
        <v>1302648.5043425926</v>
      </c>
      <c r="Z37" s="83">
        <f>(+V37-O37-T37-K37-I37)*3/100</f>
        <v>976986.3782569445</v>
      </c>
      <c r="AA37" s="84">
        <f>(+V37-O37-T37-K37-I37)*0.5/100</f>
        <v>162831.06304282407</v>
      </c>
      <c r="AB37" s="83">
        <f>+AA37</f>
        <v>162831.06304282407</v>
      </c>
      <c r="AC37" s="84">
        <f>+AB37*2</f>
        <v>325662.12608564814</v>
      </c>
      <c r="AD37" s="83">
        <f>(+H37+L37)*10.875/100</f>
        <v>3250517.46825</v>
      </c>
      <c r="AE37" s="84">
        <f>(+H37+L37)*8/100</f>
        <v>2391185.264</v>
      </c>
      <c r="AF37" s="83">
        <f>(+H37+L37)*0.522/100</f>
        <v>156024.838476</v>
      </c>
      <c r="AG37" s="84">
        <f>SUM(V37:AF37)</f>
        <v>47449407.781756125</v>
      </c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</row>
    <row r="38" spans="2:74" s="89" customFormat="1" ht="12.75">
      <c r="B38" s="79">
        <v>1</v>
      </c>
      <c r="C38" s="80" t="s">
        <v>147</v>
      </c>
      <c r="D38" s="79">
        <v>2</v>
      </c>
      <c r="E38" s="81">
        <v>772727</v>
      </c>
      <c r="F38" s="82">
        <v>0.05</v>
      </c>
      <c r="G38" s="83">
        <f>+E38*(1+F38)</f>
        <v>811363.35</v>
      </c>
      <c r="H38" s="84">
        <f>B38*G38*12</f>
        <v>9736360.2</v>
      </c>
      <c r="I38" s="85"/>
      <c r="J38" s="84">
        <f>(IF(+G38&lt;=+$J$4,+$J$6,0))*12*B38</f>
        <v>445320</v>
      </c>
      <c r="K38" s="83">
        <f>(IF(+G38&lt;=+$K$4,+$K$6,0))*12*B38</f>
        <v>637032</v>
      </c>
      <c r="L38" s="84">
        <f>(IF(+G38&lt;=+$L$4,(G38*0.5),(G38*0.35)))*B38</f>
        <v>405681.675</v>
      </c>
      <c r="M38" s="83">
        <f>(SUM(H38:L38)-I38)/24</f>
        <v>467683.078125</v>
      </c>
      <c r="N38" s="260">
        <f>(SUM(H38:M38)-I38)/24</f>
        <v>487169.873046875</v>
      </c>
      <c r="O38" s="260">
        <f>(SUM(H38:N38)-I38)/12</f>
        <v>1014937.2355143229</v>
      </c>
      <c r="P38" s="260"/>
      <c r="Q38" s="83"/>
      <c r="R38" s="83"/>
      <c r="S38" s="80" t="s">
        <v>147</v>
      </c>
      <c r="T38" s="84">
        <f>H38/180</f>
        <v>54090.89</v>
      </c>
      <c r="U38" s="83">
        <f>((J38+K38+L38+M38)/12)*23/30</f>
        <v>124948.57033854166</v>
      </c>
      <c r="V38" s="84">
        <f>SUM(H38:U38)</f>
        <v>13373223.52202474</v>
      </c>
      <c r="W38" s="83">
        <f>(+V38-T38-I38)*8.33/100</f>
        <v>1109483.7482476607</v>
      </c>
      <c r="X38" s="83">
        <f>W38*12%</f>
        <v>133138.04978971928</v>
      </c>
      <c r="Y38" s="84">
        <f>(+V38-O38-T38-K38-I38)*4/100</f>
        <v>466686.53586041665</v>
      </c>
      <c r="Z38" s="83">
        <f>(+V38-O38-T38-K38-I38)*3/100</f>
        <v>350014.90189531253</v>
      </c>
      <c r="AA38" s="84">
        <f>(+V38-O38-T38-K38-I38)*0.5/100</f>
        <v>58335.81698255208</v>
      </c>
      <c r="AB38" s="83">
        <f>+AA38</f>
        <v>58335.81698255208</v>
      </c>
      <c r="AC38" s="84">
        <f>+AB38*2</f>
        <v>116671.63396510416</v>
      </c>
      <c r="AD38" s="83">
        <f>(+H38+L38)*10.875/100</f>
        <v>1102947.05390625</v>
      </c>
      <c r="AE38" s="84">
        <f>(+H38+L38)*8/100</f>
        <v>811363.35</v>
      </c>
      <c r="AF38" s="83">
        <f>(+H38+L38)*0.522/100</f>
        <v>52941.458587500005</v>
      </c>
      <c r="AG38" s="84">
        <f>SUM(V38:AF38)</f>
        <v>17633141.888241813</v>
      </c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</row>
    <row r="39" spans="2:74" s="100" customFormat="1" ht="12.75">
      <c r="B39" s="91">
        <f>SUM(B37:B38)</f>
        <v>2</v>
      </c>
      <c r="C39" s="92" t="s">
        <v>159</v>
      </c>
      <c r="D39" s="93"/>
      <c r="E39" s="94"/>
      <c r="F39" s="95"/>
      <c r="G39" s="96">
        <f>SUM(G37:G38)</f>
        <v>3231591.35</v>
      </c>
      <c r="H39" s="97">
        <f aca="true" t="shared" si="25" ref="H39:AG39">SUM(H37:H38)</f>
        <v>38779096.2</v>
      </c>
      <c r="I39" s="96">
        <f t="shared" si="25"/>
        <v>0</v>
      </c>
      <c r="J39" s="97">
        <f>SUM(J37:J38)</f>
        <v>445320</v>
      </c>
      <c r="K39" s="96">
        <f t="shared" si="25"/>
        <v>637032</v>
      </c>
      <c r="L39" s="97">
        <f t="shared" si="25"/>
        <v>1252761.4749999999</v>
      </c>
      <c r="M39" s="96">
        <f t="shared" si="25"/>
        <v>1713092.0697916667</v>
      </c>
      <c r="N39" s="261">
        <f t="shared" si="25"/>
        <v>1784470.9060329862</v>
      </c>
      <c r="O39" s="261">
        <f t="shared" si="25"/>
        <v>3717647.7209020546</v>
      </c>
      <c r="P39" s="262"/>
      <c r="Q39" s="106"/>
      <c r="R39" s="106"/>
      <c r="S39" s="92" t="s">
        <v>159</v>
      </c>
      <c r="T39" s="97">
        <f t="shared" si="25"/>
        <v>215439.42333333334</v>
      </c>
      <c r="U39" s="96">
        <f t="shared" si="25"/>
        <v>258635.35425057868</v>
      </c>
      <c r="V39" s="97">
        <f t="shared" si="25"/>
        <v>48803495.14931062</v>
      </c>
      <c r="W39" s="96">
        <f t="shared" si="25"/>
        <v>4047385.0419739084</v>
      </c>
      <c r="X39" s="96">
        <f t="shared" si="25"/>
        <v>485686.205036869</v>
      </c>
      <c r="Y39" s="97">
        <f t="shared" si="25"/>
        <v>1769335.0402030093</v>
      </c>
      <c r="Z39" s="96">
        <f t="shared" si="25"/>
        <v>1327001.280152257</v>
      </c>
      <c r="AA39" s="97">
        <f t="shared" si="25"/>
        <v>221166.88002537616</v>
      </c>
      <c r="AB39" s="96">
        <f t="shared" si="25"/>
        <v>221166.88002537616</v>
      </c>
      <c r="AC39" s="97">
        <f t="shared" si="25"/>
        <v>442333.7600507523</v>
      </c>
      <c r="AD39" s="96">
        <f t="shared" si="25"/>
        <v>4353464.52215625</v>
      </c>
      <c r="AE39" s="97">
        <f t="shared" si="25"/>
        <v>3202548.614</v>
      </c>
      <c r="AF39" s="96">
        <f t="shared" si="25"/>
        <v>208966.2970635</v>
      </c>
      <c r="AG39" s="97">
        <f t="shared" si="25"/>
        <v>65082549.66999794</v>
      </c>
      <c r="AH39" s="98"/>
      <c r="AI39" s="98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</row>
    <row r="40" spans="2:74" s="112" customFormat="1" ht="14.25" customHeight="1">
      <c r="B40" s="108"/>
      <c r="C40" s="64"/>
      <c r="D40" s="109"/>
      <c r="E40" s="110"/>
      <c r="F40" s="111"/>
      <c r="G40" s="64"/>
      <c r="H40" s="109"/>
      <c r="I40" s="64"/>
      <c r="J40" s="109"/>
      <c r="K40" s="64"/>
      <c r="L40" s="109"/>
      <c r="M40" s="64"/>
      <c r="N40" s="263"/>
      <c r="O40" s="263"/>
      <c r="P40" s="263"/>
      <c r="Q40" s="85"/>
      <c r="R40" s="85"/>
      <c r="S40" s="64"/>
      <c r="T40" s="109"/>
      <c r="U40" s="64"/>
      <c r="V40" s="109"/>
      <c r="W40" s="64"/>
      <c r="X40" s="64"/>
      <c r="Y40" s="109"/>
      <c r="Z40" s="64"/>
      <c r="AA40" s="109"/>
      <c r="AB40" s="64"/>
      <c r="AC40" s="109"/>
      <c r="AD40" s="64"/>
      <c r="AE40" s="109"/>
      <c r="AF40" s="64"/>
      <c r="AG40" s="109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</row>
    <row r="41" spans="2:74" s="112" customFormat="1" ht="12.75">
      <c r="B41" s="108"/>
      <c r="C41" s="64"/>
      <c r="D41" s="109"/>
      <c r="E41" s="110"/>
      <c r="F41" s="111"/>
      <c r="G41" s="64"/>
      <c r="H41" s="109"/>
      <c r="I41" s="64"/>
      <c r="J41" s="109"/>
      <c r="K41" s="64"/>
      <c r="L41" s="109"/>
      <c r="M41" s="64"/>
      <c r="N41" s="263"/>
      <c r="O41" s="263"/>
      <c r="P41" s="263"/>
      <c r="Q41" s="85"/>
      <c r="R41" s="85"/>
      <c r="S41" s="64"/>
      <c r="T41" s="109"/>
      <c r="U41" s="64"/>
      <c r="V41" s="109"/>
      <c r="W41" s="64"/>
      <c r="X41" s="64"/>
      <c r="Y41" s="109"/>
      <c r="Z41" s="64"/>
      <c r="AA41" s="109"/>
      <c r="AB41" s="64"/>
      <c r="AC41" s="109"/>
      <c r="AD41" s="64"/>
      <c r="AE41" s="109"/>
      <c r="AF41" s="64"/>
      <c r="AG41" s="109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</row>
    <row r="42" spans="2:74" s="71" customFormat="1" ht="12.75">
      <c r="B42" s="66" t="s">
        <v>94</v>
      </c>
      <c r="C42" s="67" t="s">
        <v>95</v>
      </c>
      <c r="D42" s="66" t="s">
        <v>96</v>
      </c>
      <c r="E42" s="68" t="s">
        <v>97</v>
      </c>
      <c r="F42" s="69" t="s">
        <v>98</v>
      </c>
      <c r="G42" s="68" t="s">
        <v>99</v>
      </c>
      <c r="H42" s="66" t="s">
        <v>100</v>
      </c>
      <c r="I42" s="67" t="s">
        <v>154</v>
      </c>
      <c r="J42" s="66" t="s">
        <v>102</v>
      </c>
      <c r="K42" s="67" t="s">
        <v>103</v>
      </c>
      <c r="L42" s="66" t="s">
        <v>104</v>
      </c>
      <c r="M42" s="67" t="s">
        <v>105</v>
      </c>
      <c r="N42" s="258" t="s">
        <v>106</v>
      </c>
      <c r="O42" s="258" t="s">
        <v>107</v>
      </c>
      <c r="P42" s="360"/>
      <c r="Q42" s="336"/>
      <c r="R42" s="336"/>
      <c r="S42" s="67" t="s">
        <v>95</v>
      </c>
      <c r="T42" s="66" t="s">
        <v>108</v>
      </c>
      <c r="U42" s="67" t="s">
        <v>109</v>
      </c>
      <c r="V42" s="66" t="s">
        <v>110</v>
      </c>
      <c r="W42" s="67" t="s">
        <v>111</v>
      </c>
      <c r="X42" s="67"/>
      <c r="Y42" s="66" t="s">
        <v>112</v>
      </c>
      <c r="Z42" s="67" t="s">
        <v>113</v>
      </c>
      <c r="AA42" s="66" t="s">
        <v>114</v>
      </c>
      <c r="AB42" s="67" t="s">
        <v>115</v>
      </c>
      <c r="AC42" s="66" t="s">
        <v>116</v>
      </c>
      <c r="AD42" s="67" t="s">
        <v>117</v>
      </c>
      <c r="AE42" s="66" t="s">
        <v>118</v>
      </c>
      <c r="AF42" s="67" t="s">
        <v>119</v>
      </c>
      <c r="AG42" s="66" t="s">
        <v>110</v>
      </c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</row>
    <row r="43" spans="2:74" s="71" customFormat="1" ht="13.5" thickBot="1">
      <c r="B43" s="72" t="s">
        <v>120</v>
      </c>
      <c r="C43" s="73"/>
      <c r="D43" s="72" t="s">
        <v>155</v>
      </c>
      <c r="E43" s="74" t="s">
        <v>325</v>
      </c>
      <c r="F43" s="75"/>
      <c r="G43" s="74" t="s">
        <v>326</v>
      </c>
      <c r="H43" s="72" t="s">
        <v>123</v>
      </c>
      <c r="I43" s="73" t="s">
        <v>123</v>
      </c>
      <c r="J43" s="76"/>
      <c r="K43" s="77"/>
      <c r="L43" s="72" t="s">
        <v>125</v>
      </c>
      <c r="M43" s="78" t="s">
        <v>126</v>
      </c>
      <c r="N43" s="259" t="s">
        <v>127</v>
      </c>
      <c r="O43" s="361" t="s">
        <v>128</v>
      </c>
      <c r="P43" s="360"/>
      <c r="Q43" s="336"/>
      <c r="R43" s="336"/>
      <c r="S43" s="73"/>
      <c r="T43" s="72" t="s">
        <v>129</v>
      </c>
      <c r="U43" s="78" t="s">
        <v>127</v>
      </c>
      <c r="V43" s="72" t="s">
        <v>130</v>
      </c>
      <c r="W43" s="78" t="s">
        <v>131</v>
      </c>
      <c r="X43" s="78"/>
      <c r="Y43" s="72" t="s">
        <v>132</v>
      </c>
      <c r="Z43" s="78" t="s">
        <v>133</v>
      </c>
      <c r="AA43" s="72" t="s">
        <v>134</v>
      </c>
      <c r="AB43" s="78" t="s">
        <v>135</v>
      </c>
      <c r="AC43" s="72" t="s">
        <v>136</v>
      </c>
      <c r="AD43" s="78"/>
      <c r="AE43" s="72"/>
      <c r="AF43" s="78" t="s">
        <v>137</v>
      </c>
      <c r="AG43" s="72" t="s">
        <v>138</v>
      </c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</row>
    <row r="44" spans="2:74" s="86" customFormat="1" ht="12.75">
      <c r="B44" s="79">
        <v>11</v>
      </c>
      <c r="C44" s="80" t="s">
        <v>160</v>
      </c>
      <c r="D44" s="79">
        <v>1</v>
      </c>
      <c r="E44" s="81">
        <v>80674</v>
      </c>
      <c r="F44" s="82">
        <v>0</v>
      </c>
      <c r="G44" s="83">
        <f>+E44*(1+F44)</f>
        <v>80674</v>
      </c>
      <c r="H44" s="84"/>
      <c r="I44" s="126">
        <f>+B44*G44*82</f>
        <v>72767948</v>
      </c>
      <c r="J44" s="84"/>
      <c r="K44" s="83"/>
      <c r="L44" s="84"/>
      <c r="M44" s="83"/>
      <c r="N44" s="260"/>
      <c r="O44" s="260"/>
      <c r="P44" s="260"/>
      <c r="Q44" s="83"/>
      <c r="R44" s="83"/>
      <c r="S44" s="80" t="s">
        <v>160</v>
      </c>
      <c r="T44" s="84"/>
      <c r="U44" s="83"/>
      <c r="V44" s="84">
        <f>SUM(H44:U44)</f>
        <v>72767948</v>
      </c>
      <c r="W44" s="83"/>
      <c r="X44" s="83"/>
      <c r="Y44" s="84"/>
      <c r="Z44" s="83"/>
      <c r="AA44" s="84"/>
      <c r="AB44" s="83"/>
      <c r="AC44" s="84"/>
      <c r="AD44" s="83">
        <v>0</v>
      </c>
      <c r="AE44" s="84">
        <f>(+I44)*12/100</f>
        <v>8732153.76</v>
      </c>
      <c r="AF44" s="83">
        <v>0</v>
      </c>
      <c r="AG44" s="84">
        <f>SUM(V44:AF44)</f>
        <v>81500101.76</v>
      </c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</row>
    <row r="45" spans="2:74" s="89" customFormat="1" ht="12.75">
      <c r="B45" s="79">
        <v>1</v>
      </c>
      <c r="C45" s="80" t="s">
        <v>147</v>
      </c>
      <c r="D45" s="79">
        <v>2</v>
      </c>
      <c r="E45" s="81">
        <v>433700</v>
      </c>
      <c r="F45" s="82">
        <v>0.05</v>
      </c>
      <c r="G45" s="83">
        <f>+E45*(1+F45)</f>
        <v>455385</v>
      </c>
      <c r="H45" s="84">
        <f>B45*G45*12</f>
        <v>5464620</v>
      </c>
      <c r="I45" s="126"/>
      <c r="J45" s="84">
        <f>(IF(+G45&lt;=+$J$4,+$J$6,0))*12*B45</f>
        <v>445320</v>
      </c>
      <c r="K45" s="83">
        <f>(IF(+G45&lt;=+$K$4,+$K$6,0))*12*B45</f>
        <v>637032</v>
      </c>
      <c r="L45" s="84">
        <f>(IF(+G45&lt;=+$L$4,(G45*0.5),(G45*0.35)))*B45</f>
        <v>227692.5</v>
      </c>
      <c r="M45" s="83">
        <f>(H45+J45+K45+L45)/24</f>
        <v>282277.6875</v>
      </c>
      <c r="N45" s="260">
        <f>(SUM(H45:M45)-I45)/24</f>
        <v>294039.2578125</v>
      </c>
      <c r="O45" s="260">
        <f>(SUM(H45:N45)-I45)/12</f>
        <v>612581.787109375</v>
      </c>
      <c r="P45" s="260"/>
      <c r="Q45" s="83"/>
      <c r="R45" s="83"/>
      <c r="S45" s="80" t="s">
        <v>147</v>
      </c>
      <c r="T45" s="84">
        <f>H45/180</f>
        <v>30359</v>
      </c>
      <c r="U45" s="83">
        <f>((J45+K45+L45+M45)/12)*23/30</f>
        <v>101731.6953125</v>
      </c>
      <c r="V45" s="84">
        <f>SUM(H45:U45)</f>
        <v>8095653.927734375</v>
      </c>
      <c r="W45" s="83">
        <f>(+V45-T45-I45)*8.33/100</f>
        <v>671839.0674802734</v>
      </c>
      <c r="X45" s="83">
        <f>W45*12%</f>
        <v>80620.68809763281</v>
      </c>
      <c r="Y45" s="84">
        <f>(+V45-O45-T45-K45-I45)*4/100</f>
        <v>272627.245625</v>
      </c>
      <c r="Z45" s="83">
        <f>(+V45-O45-T45-K45-I45)*3/100</f>
        <v>204470.43421875</v>
      </c>
      <c r="AA45" s="84">
        <f>(+V45-O45-T45-K45-I45)*0.5/100</f>
        <v>34078.405703125</v>
      </c>
      <c r="AB45" s="83">
        <f>+AA45</f>
        <v>34078.405703125</v>
      </c>
      <c r="AC45" s="84">
        <f>+AB45*2</f>
        <v>68156.81140625</v>
      </c>
      <c r="AD45" s="83">
        <f>(+H45+L45)*10.875/100</f>
        <v>619038.984375</v>
      </c>
      <c r="AE45" s="84">
        <f>(+H45+L45)*8/100</f>
        <v>455385</v>
      </c>
      <c r="AF45" s="83">
        <f>(+H45+L45)*0.522/100</f>
        <v>29713.87125</v>
      </c>
      <c r="AG45" s="84">
        <f>SUM(V45:AF45)</f>
        <v>10565662.841593532</v>
      </c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</row>
    <row r="46" spans="2:74" s="100" customFormat="1" ht="12.75">
      <c r="B46" s="91">
        <f>SUM(B44:B45)</f>
        <v>12</v>
      </c>
      <c r="C46" s="92" t="s">
        <v>161</v>
      </c>
      <c r="D46" s="93"/>
      <c r="E46" s="94"/>
      <c r="F46" s="95"/>
      <c r="G46" s="96">
        <f aca="true" t="shared" si="26" ref="G46:AG46">SUM(G44:G45)</f>
        <v>536059</v>
      </c>
      <c r="H46" s="97">
        <f t="shared" si="26"/>
        <v>5464620</v>
      </c>
      <c r="I46" s="96">
        <f t="shared" si="26"/>
        <v>72767948</v>
      </c>
      <c r="J46" s="97">
        <f>SUM(J44:J45)</f>
        <v>445320</v>
      </c>
      <c r="K46" s="96">
        <f>SUM(K44:K45)</f>
        <v>637032</v>
      </c>
      <c r="L46" s="97">
        <f t="shared" si="26"/>
        <v>227692.5</v>
      </c>
      <c r="M46" s="96">
        <f t="shared" si="26"/>
        <v>282277.6875</v>
      </c>
      <c r="N46" s="261">
        <f t="shared" si="26"/>
        <v>294039.2578125</v>
      </c>
      <c r="O46" s="261">
        <f t="shared" si="26"/>
        <v>612581.787109375</v>
      </c>
      <c r="P46" s="262"/>
      <c r="Q46" s="106"/>
      <c r="R46" s="106"/>
      <c r="S46" s="92" t="s">
        <v>161</v>
      </c>
      <c r="T46" s="97">
        <f t="shared" si="26"/>
        <v>30359</v>
      </c>
      <c r="U46" s="96">
        <f t="shared" si="26"/>
        <v>101731.6953125</v>
      </c>
      <c r="V46" s="97">
        <f t="shared" si="26"/>
        <v>80863601.92773438</v>
      </c>
      <c r="W46" s="96">
        <f t="shared" si="26"/>
        <v>671839.0674802734</v>
      </c>
      <c r="X46" s="96">
        <f t="shared" si="26"/>
        <v>80620.68809763281</v>
      </c>
      <c r="Y46" s="97">
        <f t="shared" si="26"/>
        <v>272627.245625</v>
      </c>
      <c r="Z46" s="96">
        <f t="shared" si="26"/>
        <v>204470.43421875</v>
      </c>
      <c r="AA46" s="97">
        <f t="shared" si="26"/>
        <v>34078.405703125</v>
      </c>
      <c r="AB46" s="96">
        <f t="shared" si="26"/>
        <v>34078.405703125</v>
      </c>
      <c r="AC46" s="97">
        <f t="shared" si="26"/>
        <v>68156.81140625</v>
      </c>
      <c r="AD46" s="96">
        <f t="shared" si="26"/>
        <v>619038.984375</v>
      </c>
      <c r="AE46" s="97">
        <f t="shared" si="26"/>
        <v>9187538.76</v>
      </c>
      <c r="AF46" s="96">
        <f t="shared" si="26"/>
        <v>29713.87125</v>
      </c>
      <c r="AG46" s="97">
        <f t="shared" si="26"/>
        <v>92065764.60159354</v>
      </c>
      <c r="AH46" s="98"/>
      <c r="AI46" s="98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</row>
    <row r="47" spans="2:74" s="100" customFormat="1" ht="12.75">
      <c r="B47" s="127"/>
      <c r="C47" s="102"/>
      <c r="D47" s="128"/>
      <c r="E47" s="104"/>
      <c r="F47" s="129"/>
      <c r="G47" s="106"/>
      <c r="H47" s="106"/>
      <c r="I47" s="106"/>
      <c r="J47" s="106"/>
      <c r="K47" s="106"/>
      <c r="L47" s="106"/>
      <c r="M47" s="106"/>
      <c r="N47" s="106"/>
      <c r="O47" s="262"/>
      <c r="P47" s="262"/>
      <c r="Q47" s="106"/>
      <c r="R47" s="106"/>
      <c r="S47" s="102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98"/>
      <c r="AI47" s="98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</row>
    <row r="48" spans="2:74" s="100" customFormat="1" ht="12.75">
      <c r="B48" s="127"/>
      <c r="C48" s="102"/>
      <c r="D48" s="128"/>
      <c r="E48" s="104"/>
      <c r="F48" s="129"/>
      <c r="G48" s="106"/>
      <c r="H48" s="106"/>
      <c r="I48" s="106"/>
      <c r="J48" s="106"/>
      <c r="K48" s="106"/>
      <c r="L48" s="106"/>
      <c r="M48" s="106"/>
      <c r="N48" s="106"/>
      <c r="O48" s="262"/>
      <c r="P48" s="262"/>
      <c r="Q48" s="106"/>
      <c r="R48" s="106"/>
      <c r="S48" s="102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98"/>
      <c r="AI48" s="98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</row>
    <row r="49" spans="2:74" s="100" customFormat="1" ht="12.75">
      <c r="B49" s="127"/>
      <c r="C49" s="102"/>
      <c r="D49" s="128"/>
      <c r="E49" s="104"/>
      <c r="F49" s="129"/>
      <c r="G49" s="106"/>
      <c r="H49" s="106"/>
      <c r="I49" s="106"/>
      <c r="J49" s="106"/>
      <c r="K49" s="106"/>
      <c r="L49" s="106"/>
      <c r="M49" s="106"/>
      <c r="N49" s="106"/>
      <c r="O49" s="262"/>
      <c r="P49" s="262"/>
      <c r="Q49" s="106"/>
      <c r="R49" s="106"/>
      <c r="S49" s="102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98"/>
      <c r="AI49" s="98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</row>
    <row r="50" spans="2:74" s="71" customFormat="1" ht="12.75">
      <c r="B50" s="66" t="s">
        <v>94</v>
      </c>
      <c r="C50" s="67" t="s">
        <v>95</v>
      </c>
      <c r="D50" s="66" t="s">
        <v>96</v>
      </c>
      <c r="E50" s="68" t="s">
        <v>97</v>
      </c>
      <c r="F50" s="69" t="s">
        <v>98</v>
      </c>
      <c r="G50" s="68" t="s">
        <v>99</v>
      </c>
      <c r="H50" s="66" t="s">
        <v>100</v>
      </c>
      <c r="I50" s="67" t="s">
        <v>154</v>
      </c>
      <c r="J50" s="66" t="s">
        <v>102</v>
      </c>
      <c r="K50" s="67" t="s">
        <v>103</v>
      </c>
      <c r="L50" s="66" t="s">
        <v>104</v>
      </c>
      <c r="M50" s="67" t="s">
        <v>105</v>
      </c>
      <c r="N50" s="258" t="s">
        <v>106</v>
      </c>
      <c r="O50" s="258" t="s">
        <v>107</v>
      </c>
      <c r="P50" s="360"/>
      <c r="Q50" s="336"/>
      <c r="R50" s="336"/>
      <c r="S50" s="67" t="s">
        <v>95</v>
      </c>
      <c r="T50" s="66" t="s">
        <v>108</v>
      </c>
      <c r="U50" s="67" t="s">
        <v>109</v>
      </c>
      <c r="V50" s="66" t="s">
        <v>110</v>
      </c>
      <c r="W50" s="67" t="s">
        <v>111</v>
      </c>
      <c r="X50" s="67"/>
      <c r="Y50" s="66" t="s">
        <v>112</v>
      </c>
      <c r="Z50" s="67" t="s">
        <v>113</v>
      </c>
      <c r="AA50" s="66" t="s">
        <v>114</v>
      </c>
      <c r="AB50" s="67" t="s">
        <v>115</v>
      </c>
      <c r="AC50" s="66" t="s">
        <v>116</v>
      </c>
      <c r="AD50" s="67" t="s">
        <v>117</v>
      </c>
      <c r="AE50" s="66" t="s">
        <v>118</v>
      </c>
      <c r="AF50" s="67" t="s">
        <v>119</v>
      </c>
      <c r="AG50" s="66" t="s">
        <v>110</v>
      </c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</row>
    <row r="51" spans="2:74" s="71" customFormat="1" ht="13.5" thickBot="1">
      <c r="B51" s="72" t="s">
        <v>120</v>
      </c>
      <c r="C51" s="73"/>
      <c r="D51" s="72" t="s">
        <v>155</v>
      </c>
      <c r="E51" s="74" t="s">
        <v>258</v>
      </c>
      <c r="F51" s="75"/>
      <c r="G51" s="74">
        <v>2004</v>
      </c>
      <c r="H51" s="72" t="s">
        <v>123</v>
      </c>
      <c r="I51" s="73" t="s">
        <v>123</v>
      </c>
      <c r="J51" s="76"/>
      <c r="K51" s="77"/>
      <c r="L51" s="72" t="s">
        <v>125</v>
      </c>
      <c r="M51" s="78" t="s">
        <v>126</v>
      </c>
      <c r="N51" s="259" t="s">
        <v>127</v>
      </c>
      <c r="O51" s="361" t="s">
        <v>128</v>
      </c>
      <c r="P51" s="360"/>
      <c r="Q51" s="336"/>
      <c r="R51" s="336"/>
      <c r="S51" s="73"/>
      <c r="T51" s="72" t="s">
        <v>129</v>
      </c>
      <c r="U51" s="78" t="s">
        <v>127</v>
      </c>
      <c r="V51" s="72" t="s">
        <v>130</v>
      </c>
      <c r="W51" s="78" t="s">
        <v>131</v>
      </c>
      <c r="X51" s="78"/>
      <c r="Y51" s="72" t="s">
        <v>132</v>
      </c>
      <c r="Z51" s="78" t="s">
        <v>133</v>
      </c>
      <c r="AA51" s="72" t="s">
        <v>134</v>
      </c>
      <c r="AB51" s="78" t="s">
        <v>135</v>
      </c>
      <c r="AC51" s="72" t="s">
        <v>136</v>
      </c>
      <c r="AD51" s="78"/>
      <c r="AE51" s="72"/>
      <c r="AF51" s="78" t="s">
        <v>137</v>
      </c>
      <c r="AG51" s="72" t="s">
        <v>138</v>
      </c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</row>
    <row r="52" spans="2:74" s="86" customFormat="1" ht="12.75">
      <c r="B52" s="79">
        <v>1</v>
      </c>
      <c r="C52" s="80" t="s">
        <v>162</v>
      </c>
      <c r="D52" s="79">
        <v>1</v>
      </c>
      <c r="E52" s="81">
        <v>1710902</v>
      </c>
      <c r="F52" s="82">
        <v>0.05</v>
      </c>
      <c r="G52" s="83">
        <f>+E52*(1+F52)</f>
        <v>1796447.1</v>
      </c>
      <c r="H52" s="84">
        <f>B52*G52*12</f>
        <v>21557365.200000003</v>
      </c>
      <c r="I52" s="85"/>
      <c r="J52" s="84">
        <f>(IF(+G52&lt;=+$J$4,+$J$6,0))*12*B52</f>
        <v>0</v>
      </c>
      <c r="K52" s="83">
        <f>(IF(+G52&lt;=+$K$4,+$K$6,0))*12</f>
        <v>0</v>
      </c>
      <c r="L52" s="84">
        <f>(IF(+G52&lt;=+$L$4,(G52*0.5),(G52*0.35)))*B52</f>
        <v>628756.485</v>
      </c>
      <c r="M52" s="83">
        <f>(SUM(H52:L52)-I52)/24</f>
        <v>924421.7368750001</v>
      </c>
      <c r="N52" s="260">
        <f>(SUM(H52:M52)-I52)/24</f>
        <v>962939.3092447919</v>
      </c>
      <c r="O52" s="260">
        <f>(SUM(H52:N52)-I52)/12</f>
        <v>2006123.5609266497</v>
      </c>
      <c r="P52" s="260"/>
      <c r="Q52" s="83"/>
      <c r="R52" s="83"/>
      <c r="S52" s="80" t="s">
        <v>162</v>
      </c>
      <c r="T52" s="84">
        <f>H52/180</f>
        <v>119763.14000000001</v>
      </c>
      <c r="U52" s="83">
        <f>((J52+K52+L52+M52)/12)*23/30</f>
        <v>99230.8308420139</v>
      </c>
      <c r="V52" s="84">
        <f>SUM(H52:U52)</f>
        <v>26298600.26288846</v>
      </c>
      <c r="W52" s="83">
        <f>(+V52-T52-I52)*8.33/100</f>
        <v>2180697.1323366086</v>
      </c>
      <c r="X52" s="83">
        <f>W52*12%</f>
        <v>261683.65588039302</v>
      </c>
      <c r="Y52" s="84">
        <f>(+V52-O52-T52-K52)*4/100</f>
        <v>966908.5424784725</v>
      </c>
      <c r="Z52" s="83">
        <f>(+V52-O52-T52-K52-I52)*3/100</f>
        <v>725181.4068588543</v>
      </c>
      <c r="AA52" s="84">
        <f>(+V52-O52-T52-K52-I52)*0.5/100</f>
        <v>120863.56780980906</v>
      </c>
      <c r="AB52" s="83">
        <f>+AA52</f>
        <v>120863.56780980906</v>
      </c>
      <c r="AC52" s="84">
        <f>+AB52*2</f>
        <v>241727.13561961812</v>
      </c>
      <c r="AD52" s="83">
        <f>(+H52+L52)*10.875/100</f>
        <v>2412740.7332437504</v>
      </c>
      <c r="AE52" s="84">
        <f>(+H52+L52)*8/100</f>
        <v>1774889.7348000002</v>
      </c>
      <c r="AF52" s="83">
        <f>(+H52+L52)*0.522/100</f>
        <v>115811.55519570003</v>
      </c>
      <c r="AG52" s="84">
        <f>SUM(V52:AF52)</f>
        <v>35219967.29492147</v>
      </c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</row>
    <row r="53" spans="2:74" s="89" customFormat="1" ht="12.75">
      <c r="B53" s="79">
        <v>1</v>
      </c>
      <c r="C53" s="80" t="s">
        <v>141</v>
      </c>
      <c r="D53" s="79">
        <v>2</v>
      </c>
      <c r="E53" s="81">
        <v>1457697</v>
      </c>
      <c r="F53" s="82">
        <v>0.05</v>
      </c>
      <c r="G53" s="83">
        <f>+E53*(1+F53)</f>
        <v>1530581.85</v>
      </c>
      <c r="H53" s="84">
        <f>B53*G53*12</f>
        <v>18366982.200000003</v>
      </c>
      <c r="I53" s="85"/>
      <c r="J53" s="84">
        <f>(IF(+G53&lt;=+$J$4,+$J$6,0))*12*B53</f>
        <v>0</v>
      </c>
      <c r="K53" s="83">
        <f>(IF(+G53&lt;=+$K$4,+$K$6,0))*12*B53</f>
        <v>0</v>
      </c>
      <c r="L53" s="84">
        <f>(IF(+G53&lt;=+$L$4,(G53*0.5),(G53*0.35)))*B53</f>
        <v>535703.6475</v>
      </c>
      <c r="M53" s="83">
        <f>(H53+J53+K53+L53)/24</f>
        <v>787611.9103125002</v>
      </c>
      <c r="N53" s="260">
        <f>(SUM(H53:M53)-I53)/24</f>
        <v>820429.0732421876</v>
      </c>
      <c r="O53" s="260">
        <f>(SUM(H53:N53)-I53)/12</f>
        <v>1709227.2359212243</v>
      </c>
      <c r="P53" s="260"/>
      <c r="Q53" s="83"/>
      <c r="R53" s="83"/>
      <c r="S53" s="80" t="s">
        <v>141</v>
      </c>
      <c r="T53" s="84">
        <f>H53/180</f>
        <v>102038.79000000002</v>
      </c>
      <c r="U53" s="83">
        <f>((J53+K53+L53+M53)/12)*23/30</f>
        <v>84545.16063802085</v>
      </c>
      <c r="V53" s="84">
        <f>SUM(H53:U53)</f>
        <v>22406538.017613932</v>
      </c>
      <c r="W53" s="83">
        <f>(+V53-T53-I53)*8.33/100</f>
        <v>1857964.7856602406</v>
      </c>
      <c r="X53" s="83">
        <f>W53*12%</f>
        <v>222955.77427922885</v>
      </c>
      <c r="Y53" s="84">
        <f>(+V53-O53-T53-K53)*4/100</f>
        <v>823810.8796677084</v>
      </c>
      <c r="Z53" s="83">
        <f>(+V53-O53-T53-K53-I53)*3/100</f>
        <v>617858.1597507814</v>
      </c>
      <c r="AA53" s="84">
        <f>(+V53-O53-T53-K53-I53)*0.5/100</f>
        <v>102976.35995846355</v>
      </c>
      <c r="AB53" s="83">
        <f>+AA53</f>
        <v>102976.35995846355</v>
      </c>
      <c r="AC53" s="84">
        <f>+AB53*2</f>
        <v>205952.7199169271</v>
      </c>
      <c r="AD53" s="83">
        <f>(+H53+L53)*10.875/100</f>
        <v>2055667.0859156253</v>
      </c>
      <c r="AE53" s="84">
        <f>(+H53+L53)*8/100</f>
        <v>1512214.8678000004</v>
      </c>
      <c r="AF53" s="83">
        <f>(+H53+L53)*0.522/100</f>
        <v>98672.02012395002</v>
      </c>
      <c r="AG53" s="84">
        <f>SUM(V53:AF53)</f>
        <v>30007587.030645322</v>
      </c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</row>
    <row r="54" spans="2:74" s="100" customFormat="1" ht="12.75">
      <c r="B54" s="91">
        <f>SUM(B52:B53)</f>
        <v>2</v>
      </c>
      <c r="C54" s="92" t="s">
        <v>163</v>
      </c>
      <c r="D54" s="93"/>
      <c r="E54" s="94"/>
      <c r="F54" s="95"/>
      <c r="G54" s="96">
        <f aca="true" t="shared" si="27" ref="G54:AG54">SUM(G52:G53)</f>
        <v>3327028.95</v>
      </c>
      <c r="H54" s="97">
        <f t="shared" si="27"/>
        <v>39924347.400000006</v>
      </c>
      <c r="I54" s="96">
        <f t="shared" si="27"/>
        <v>0</v>
      </c>
      <c r="J54" s="97">
        <f t="shared" si="27"/>
        <v>0</v>
      </c>
      <c r="K54" s="96">
        <f t="shared" si="27"/>
        <v>0</v>
      </c>
      <c r="L54" s="97">
        <f t="shared" si="27"/>
        <v>1164460.1324999998</v>
      </c>
      <c r="M54" s="96">
        <f t="shared" si="27"/>
        <v>1712033.6471875003</v>
      </c>
      <c r="N54" s="261">
        <f t="shared" si="27"/>
        <v>1783368.3824869795</v>
      </c>
      <c r="O54" s="261">
        <f t="shared" si="27"/>
        <v>3715350.7968478743</v>
      </c>
      <c r="P54" s="262"/>
      <c r="Q54" s="106"/>
      <c r="R54" s="106"/>
      <c r="S54" s="92" t="s">
        <v>163</v>
      </c>
      <c r="T54" s="97">
        <f t="shared" si="27"/>
        <v>221801.93000000005</v>
      </c>
      <c r="U54" s="96">
        <f t="shared" si="27"/>
        <v>183775.99148003475</v>
      </c>
      <c r="V54" s="97">
        <f t="shared" si="27"/>
        <v>48705138.280502394</v>
      </c>
      <c r="W54" s="96">
        <f t="shared" si="27"/>
        <v>4038661.917996849</v>
      </c>
      <c r="X54" s="96">
        <f t="shared" si="27"/>
        <v>484639.4301596219</v>
      </c>
      <c r="Y54" s="97">
        <f t="shared" si="27"/>
        <v>1790719.4221461809</v>
      </c>
      <c r="Z54" s="96">
        <f t="shared" si="27"/>
        <v>1343039.5666096357</v>
      </c>
      <c r="AA54" s="97">
        <f t="shared" si="27"/>
        <v>223839.9277682726</v>
      </c>
      <c r="AB54" s="96">
        <f t="shared" si="27"/>
        <v>223839.9277682726</v>
      </c>
      <c r="AC54" s="97">
        <f t="shared" si="27"/>
        <v>447679.8555365452</v>
      </c>
      <c r="AD54" s="96">
        <f t="shared" si="27"/>
        <v>4468407.8191593755</v>
      </c>
      <c r="AE54" s="97">
        <f t="shared" si="27"/>
        <v>3287104.602600001</v>
      </c>
      <c r="AF54" s="96">
        <f t="shared" si="27"/>
        <v>214483.57531965006</v>
      </c>
      <c r="AG54" s="97">
        <f t="shared" si="27"/>
        <v>65227554.3255668</v>
      </c>
      <c r="AH54" s="98"/>
      <c r="AI54" s="98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</row>
    <row r="55" spans="2:74" s="112" customFormat="1" ht="12.75">
      <c r="B55" s="130"/>
      <c r="C55" s="64"/>
      <c r="D55" s="64"/>
      <c r="E55" s="110"/>
      <c r="F55" s="131"/>
      <c r="G55" s="64"/>
      <c r="H55" s="64"/>
      <c r="I55" s="64"/>
      <c r="J55" s="64"/>
      <c r="K55" s="64"/>
      <c r="L55" s="64"/>
      <c r="M55" s="64"/>
      <c r="N55" s="64"/>
      <c r="O55" s="64"/>
      <c r="P55" s="263"/>
      <c r="Q55" s="85"/>
      <c r="R55" s="85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</row>
    <row r="56" spans="16:18" ht="12.75">
      <c r="P56" s="363"/>
      <c r="Q56" s="210"/>
      <c r="R56" s="210"/>
    </row>
    <row r="57" spans="3:4" ht="12.75">
      <c r="C57" s="280"/>
      <c r="D57" s="280"/>
    </row>
    <row r="58" spans="3:4" ht="12.75">
      <c r="C58" s="280" t="s">
        <v>286</v>
      </c>
      <c r="D58" s="280"/>
    </row>
    <row r="60" ht="12.75">
      <c r="C60" s="37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A13"/>
  <sheetViews>
    <sheetView workbookViewId="0" topLeftCell="A1">
      <selection activeCell="T22" sqref="T22"/>
    </sheetView>
  </sheetViews>
  <sheetFormatPr defaultColWidth="11.421875" defaultRowHeight="12.75"/>
  <cols>
    <col min="1" max="2" width="11.421875" style="364" customWidth="1"/>
    <col min="3" max="3" width="5.421875" style="364" customWidth="1"/>
    <col min="4" max="5" width="6.7109375" style="364" customWidth="1"/>
    <col min="6" max="6" width="10.28125" style="364" customWidth="1"/>
    <col min="7" max="7" width="11.8515625" style="364" customWidth="1"/>
    <col min="8" max="8" width="8.00390625" style="364" customWidth="1"/>
    <col min="9" max="9" width="9.140625" style="364" customWidth="1"/>
    <col min="10" max="10" width="9.421875" style="364" customWidth="1"/>
    <col min="11" max="12" width="9.8515625" style="364" customWidth="1"/>
    <col min="13" max="13" width="10.28125" style="364" customWidth="1"/>
    <col min="14" max="14" width="9.7109375" style="364" customWidth="1"/>
    <col min="15" max="16384" width="11.421875" style="364" customWidth="1"/>
  </cols>
  <sheetData>
    <row r="3" spans="1:27" ht="11.25">
      <c r="A3" s="66" t="s">
        <v>94</v>
      </c>
      <c r="B3" s="67" t="s">
        <v>95</v>
      </c>
      <c r="C3" s="66" t="s">
        <v>96</v>
      </c>
      <c r="D3" s="68" t="s">
        <v>97</v>
      </c>
      <c r="E3" s="69" t="s">
        <v>98</v>
      </c>
      <c r="F3" s="68" t="s">
        <v>99</v>
      </c>
      <c r="G3" s="66" t="s">
        <v>100</v>
      </c>
      <c r="H3" s="66" t="s">
        <v>102</v>
      </c>
      <c r="I3" s="67" t="s">
        <v>103</v>
      </c>
      <c r="J3" s="66" t="s">
        <v>104</v>
      </c>
      <c r="K3" s="67" t="s">
        <v>105</v>
      </c>
      <c r="L3" s="258" t="s">
        <v>106</v>
      </c>
      <c r="M3" s="258" t="s">
        <v>107</v>
      </c>
      <c r="N3" s="66" t="s">
        <v>108</v>
      </c>
      <c r="O3" s="67" t="s">
        <v>109</v>
      </c>
      <c r="P3" s="66" t="s">
        <v>110</v>
      </c>
      <c r="Q3" s="67" t="s">
        <v>111</v>
      </c>
      <c r="R3" s="67" t="s">
        <v>327</v>
      </c>
      <c r="S3" s="66" t="s">
        <v>112</v>
      </c>
      <c r="T3" s="67" t="s">
        <v>113</v>
      </c>
      <c r="U3" s="66" t="s">
        <v>114</v>
      </c>
      <c r="V3" s="67" t="s">
        <v>115</v>
      </c>
      <c r="W3" s="66" t="s">
        <v>116</v>
      </c>
      <c r="X3" s="67" t="s">
        <v>117</v>
      </c>
      <c r="Y3" s="66" t="s">
        <v>118</v>
      </c>
      <c r="Z3" s="67" t="s">
        <v>119</v>
      </c>
      <c r="AA3" s="66" t="s">
        <v>110</v>
      </c>
    </row>
    <row r="4" spans="1:27" ht="12" thickBot="1">
      <c r="A4" s="72" t="s">
        <v>120</v>
      </c>
      <c r="B4" s="73"/>
      <c r="C4" s="72" t="s">
        <v>155</v>
      </c>
      <c r="D4" s="74" t="s">
        <v>325</v>
      </c>
      <c r="E4" s="75"/>
      <c r="F4" s="74" t="s">
        <v>326</v>
      </c>
      <c r="G4" s="72" t="s">
        <v>123</v>
      </c>
      <c r="H4" s="76"/>
      <c r="I4" s="77"/>
      <c r="J4" s="72" t="s">
        <v>125</v>
      </c>
      <c r="K4" s="78" t="s">
        <v>126</v>
      </c>
      <c r="L4" s="259" t="s">
        <v>127</v>
      </c>
      <c r="M4" s="361" t="s">
        <v>128</v>
      </c>
      <c r="N4" s="72" t="s">
        <v>129</v>
      </c>
      <c r="O4" s="78" t="s">
        <v>127</v>
      </c>
      <c r="P4" s="72" t="s">
        <v>130</v>
      </c>
      <c r="Q4" s="78" t="s">
        <v>131</v>
      </c>
      <c r="R4" s="78" t="s">
        <v>328</v>
      </c>
      <c r="S4" s="72" t="s">
        <v>132</v>
      </c>
      <c r="T4" s="78" t="s">
        <v>133</v>
      </c>
      <c r="U4" s="72" t="s">
        <v>134</v>
      </c>
      <c r="V4" s="78" t="s">
        <v>135</v>
      </c>
      <c r="W4" s="72" t="s">
        <v>136</v>
      </c>
      <c r="X4" s="78"/>
      <c r="Y4" s="72"/>
      <c r="Z4" s="78" t="s">
        <v>137</v>
      </c>
      <c r="AA4" s="72" t="s">
        <v>138</v>
      </c>
    </row>
    <row r="5" spans="1:27" ht="11.25">
      <c r="A5" s="365">
        <v>11</v>
      </c>
      <c r="B5" s="366" t="s">
        <v>147</v>
      </c>
      <c r="C5" s="365">
        <v>2</v>
      </c>
      <c r="D5" s="367">
        <v>433700</v>
      </c>
      <c r="E5" s="368">
        <v>0.05</v>
      </c>
      <c r="F5" s="369">
        <f>+D5*(1+E5)</f>
        <v>455385</v>
      </c>
      <c r="G5" s="370">
        <v>5464620</v>
      </c>
      <c r="H5" s="370">
        <v>445320</v>
      </c>
      <c r="I5" s="369">
        <v>637032</v>
      </c>
      <c r="J5" s="370">
        <v>227693</v>
      </c>
      <c r="K5" s="369">
        <v>282278</v>
      </c>
      <c r="L5" s="371">
        <v>294039</v>
      </c>
      <c r="M5" s="371">
        <v>612582</v>
      </c>
      <c r="N5" s="370">
        <v>30359</v>
      </c>
      <c r="O5" s="369">
        <v>101732</v>
      </c>
      <c r="P5" s="370">
        <f>SUM(D5:O5)</f>
        <v>8984740.05</v>
      </c>
      <c r="Q5" s="369">
        <v>671839</v>
      </c>
      <c r="R5" s="369">
        <v>80621</v>
      </c>
      <c r="S5" s="370">
        <v>272627</v>
      </c>
      <c r="T5" s="369">
        <v>204470</v>
      </c>
      <c r="U5" s="370">
        <v>34078</v>
      </c>
      <c r="V5" s="369">
        <v>34078</v>
      </c>
      <c r="W5" s="370">
        <v>68157</v>
      </c>
      <c r="X5" s="369">
        <v>619039</v>
      </c>
      <c r="Y5" s="370">
        <v>455385</v>
      </c>
      <c r="Z5" s="369">
        <v>29714</v>
      </c>
      <c r="AA5" s="370">
        <f>SUM(P5:Z5)</f>
        <v>11454748.05</v>
      </c>
    </row>
    <row r="6" spans="1:27" ht="11.25">
      <c r="A6" s="365">
        <v>1</v>
      </c>
      <c r="B6" s="366" t="s">
        <v>147</v>
      </c>
      <c r="C6" s="365">
        <v>2</v>
      </c>
      <c r="D6" s="367">
        <v>550000</v>
      </c>
      <c r="E6" s="368">
        <v>0</v>
      </c>
      <c r="F6" s="369">
        <f>+D6*(1+E6)</f>
        <v>550000</v>
      </c>
      <c r="G6" s="370">
        <f>A6*F6*12</f>
        <v>6600000</v>
      </c>
      <c r="H6" s="370">
        <v>445320</v>
      </c>
      <c r="I6" s="369">
        <f>55000*12</f>
        <v>660000</v>
      </c>
      <c r="J6" s="370">
        <f>(IF(+F6&lt;=+$K$4,(F6*0.5),(F6*0.35)))*A6</f>
        <v>275000</v>
      </c>
      <c r="K6" s="369">
        <f>(G6+H6+I6+J6)/24</f>
        <v>332513.3333333333</v>
      </c>
      <c r="L6" s="371">
        <v>345371</v>
      </c>
      <c r="M6" s="371">
        <v>719523</v>
      </c>
      <c r="N6" s="370">
        <v>36667</v>
      </c>
      <c r="O6" s="369">
        <v>107902</v>
      </c>
      <c r="P6" s="370">
        <f>SUM(D6:O6)</f>
        <v>10622296.333333334</v>
      </c>
      <c r="Q6" s="369">
        <v>788160</v>
      </c>
      <c r="R6" s="369">
        <v>94579</v>
      </c>
      <c r="S6" s="370">
        <v>324206</v>
      </c>
      <c r="T6" s="369">
        <v>243154</v>
      </c>
      <c r="U6" s="370">
        <v>40526</v>
      </c>
      <c r="V6" s="369">
        <f>+U6</f>
        <v>40526</v>
      </c>
      <c r="W6" s="370">
        <v>81051</v>
      </c>
      <c r="X6" s="369">
        <v>747656</v>
      </c>
      <c r="Y6" s="370">
        <v>550000</v>
      </c>
      <c r="Z6" s="369">
        <v>35888</v>
      </c>
      <c r="AA6" s="370">
        <f>SUM(P6:Z6)</f>
        <v>13568042.333333334</v>
      </c>
    </row>
    <row r="7" spans="1:27" ht="11.25">
      <c r="A7" s="372">
        <f>SUM(A5:A6)</f>
        <v>12</v>
      </c>
      <c r="B7" s="373" t="s">
        <v>161</v>
      </c>
      <c r="C7" s="374"/>
      <c r="D7" s="375"/>
      <c r="E7" s="376"/>
      <c r="F7" s="377">
        <f>+F5-F6</f>
        <v>-94615</v>
      </c>
      <c r="G7" s="377">
        <f aca="true" t="shared" si="0" ref="G7:Z7">+G5-G6</f>
        <v>-1135380</v>
      </c>
      <c r="H7" s="377">
        <f t="shared" si="0"/>
        <v>0</v>
      </c>
      <c r="I7" s="377">
        <f t="shared" si="0"/>
        <v>-22968</v>
      </c>
      <c r="J7" s="377">
        <f t="shared" si="0"/>
        <v>-47307</v>
      </c>
      <c r="K7" s="377">
        <f t="shared" si="0"/>
        <v>-50235.333333333314</v>
      </c>
      <c r="L7" s="377">
        <f t="shared" si="0"/>
        <v>-51332</v>
      </c>
      <c r="M7" s="377">
        <f t="shared" si="0"/>
        <v>-106941</v>
      </c>
      <c r="N7" s="377">
        <f t="shared" si="0"/>
        <v>-6308</v>
      </c>
      <c r="O7" s="377">
        <f t="shared" si="0"/>
        <v>-6170</v>
      </c>
      <c r="P7" s="377">
        <f t="shared" si="0"/>
        <v>-1637556.2833333332</v>
      </c>
      <c r="Q7" s="377">
        <f t="shared" si="0"/>
        <v>-116321</v>
      </c>
      <c r="R7" s="377">
        <f t="shared" si="0"/>
        <v>-13958</v>
      </c>
      <c r="S7" s="377">
        <f t="shared" si="0"/>
        <v>-51579</v>
      </c>
      <c r="T7" s="377">
        <f t="shared" si="0"/>
        <v>-38684</v>
      </c>
      <c r="U7" s="377">
        <f t="shared" si="0"/>
        <v>-6448</v>
      </c>
      <c r="V7" s="377">
        <f t="shared" si="0"/>
        <v>-6448</v>
      </c>
      <c r="W7" s="377">
        <f t="shared" si="0"/>
        <v>-12894</v>
      </c>
      <c r="X7" s="377">
        <f t="shared" si="0"/>
        <v>-128617</v>
      </c>
      <c r="Y7" s="377">
        <f t="shared" si="0"/>
        <v>-94615</v>
      </c>
      <c r="Z7" s="377">
        <f t="shared" si="0"/>
        <v>-6174</v>
      </c>
      <c r="AA7" s="377">
        <f>+AA5-AA6</f>
        <v>-2113294.283333333</v>
      </c>
    </row>
    <row r="8" spans="8:27" ht="11.25"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</row>
    <row r="9" spans="1:27" ht="11.25">
      <c r="A9" s="66" t="s">
        <v>94</v>
      </c>
      <c r="B9" s="67" t="s">
        <v>95</v>
      </c>
      <c r="C9" s="66" t="s">
        <v>96</v>
      </c>
      <c r="D9" s="68" t="s">
        <v>97</v>
      </c>
      <c r="E9" s="69" t="s">
        <v>98</v>
      </c>
      <c r="F9" s="68" t="s">
        <v>99</v>
      </c>
      <c r="G9" s="66" t="s">
        <v>100</v>
      </c>
      <c r="H9" s="66" t="s">
        <v>102</v>
      </c>
      <c r="I9" s="67" t="s">
        <v>103</v>
      </c>
      <c r="J9" s="66" t="s">
        <v>104</v>
      </c>
      <c r="K9" s="67" t="s">
        <v>105</v>
      </c>
      <c r="L9" s="258" t="s">
        <v>106</v>
      </c>
      <c r="M9" s="258" t="s">
        <v>107</v>
      </c>
      <c r="N9" s="66" t="s">
        <v>108</v>
      </c>
      <c r="O9" s="67" t="s">
        <v>109</v>
      </c>
      <c r="P9" s="66" t="s">
        <v>110</v>
      </c>
      <c r="Q9" s="67" t="s">
        <v>111</v>
      </c>
      <c r="R9" s="67" t="s">
        <v>327</v>
      </c>
      <c r="S9" s="66" t="s">
        <v>112</v>
      </c>
      <c r="T9" s="67" t="s">
        <v>113</v>
      </c>
      <c r="U9" s="66" t="s">
        <v>114</v>
      </c>
      <c r="V9" s="67" t="s">
        <v>115</v>
      </c>
      <c r="W9" s="66" t="s">
        <v>116</v>
      </c>
      <c r="X9" s="67" t="s">
        <v>117</v>
      </c>
      <c r="Y9" s="66" t="s">
        <v>118</v>
      </c>
      <c r="Z9" s="67" t="s">
        <v>119</v>
      </c>
      <c r="AA9" s="66" t="s">
        <v>110</v>
      </c>
    </row>
    <row r="10" spans="1:27" ht="12" thickBot="1">
      <c r="A10" s="72" t="s">
        <v>120</v>
      </c>
      <c r="B10" s="73"/>
      <c r="C10" s="72" t="s">
        <v>155</v>
      </c>
      <c r="D10" s="74" t="s">
        <v>325</v>
      </c>
      <c r="E10" s="75"/>
      <c r="F10" s="74" t="s">
        <v>326</v>
      </c>
      <c r="G10" s="72" t="s">
        <v>123</v>
      </c>
      <c r="H10" s="76"/>
      <c r="I10" s="77"/>
      <c r="J10" s="72" t="s">
        <v>125</v>
      </c>
      <c r="K10" s="78" t="s">
        <v>126</v>
      </c>
      <c r="L10" s="259" t="s">
        <v>127</v>
      </c>
      <c r="M10" s="361" t="s">
        <v>128</v>
      </c>
      <c r="N10" s="72" t="s">
        <v>129</v>
      </c>
      <c r="O10" s="78" t="s">
        <v>127</v>
      </c>
      <c r="P10" s="72" t="s">
        <v>130</v>
      </c>
      <c r="Q10" s="78" t="s">
        <v>131</v>
      </c>
      <c r="R10" s="78" t="s">
        <v>328</v>
      </c>
      <c r="S10" s="72" t="s">
        <v>132</v>
      </c>
      <c r="T10" s="78" t="s">
        <v>133</v>
      </c>
      <c r="U10" s="72" t="s">
        <v>134</v>
      </c>
      <c r="V10" s="78" t="s">
        <v>135</v>
      </c>
      <c r="W10" s="72" t="s">
        <v>136</v>
      </c>
      <c r="X10" s="78"/>
      <c r="Y10" s="72"/>
      <c r="Z10" s="78" t="s">
        <v>137</v>
      </c>
      <c r="AA10" s="72" t="s">
        <v>138</v>
      </c>
    </row>
    <row r="11" spans="1:27" ht="11.25">
      <c r="A11" s="365">
        <v>1</v>
      </c>
      <c r="B11" s="366" t="s">
        <v>329</v>
      </c>
      <c r="C11" s="365">
        <v>2</v>
      </c>
      <c r="D11" s="367">
        <v>433700</v>
      </c>
      <c r="E11" s="368">
        <v>0</v>
      </c>
      <c r="F11" s="369">
        <v>2404425</v>
      </c>
      <c r="G11" s="370">
        <f>A11*F11*12</f>
        <v>28853100</v>
      </c>
      <c r="H11" s="370">
        <v>0</v>
      </c>
      <c r="I11" s="369">
        <v>0</v>
      </c>
      <c r="J11" s="370">
        <f>(IF(+F11&lt;=+$K$4,(F11*0.5),(F11*0.35)))*A11</f>
        <v>1202212.5</v>
      </c>
      <c r="K11" s="369">
        <f>(G11+H11+I11+J11)/24</f>
        <v>1252304.6875</v>
      </c>
      <c r="L11" s="371">
        <v>294039</v>
      </c>
      <c r="M11" s="371">
        <v>612582</v>
      </c>
      <c r="N11" s="370">
        <v>30359</v>
      </c>
      <c r="O11" s="369">
        <v>101732</v>
      </c>
      <c r="P11" s="370">
        <f>SUM(D11:O11)</f>
        <v>35184454.1875</v>
      </c>
      <c r="Q11" s="369">
        <v>671839</v>
      </c>
      <c r="R11" s="369">
        <v>80621</v>
      </c>
      <c r="S11" s="370">
        <v>272627</v>
      </c>
      <c r="T11" s="369">
        <v>204470</v>
      </c>
      <c r="U11" s="370">
        <v>34078</v>
      </c>
      <c r="V11" s="369">
        <v>34078</v>
      </c>
      <c r="W11" s="370">
        <v>68157</v>
      </c>
      <c r="X11" s="369">
        <v>619039</v>
      </c>
      <c r="Y11" s="370">
        <v>455385</v>
      </c>
      <c r="Z11" s="369">
        <v>29714</v>
      </c>
      <c r="AA11" s="370">
        <f>SUM(P11:Z11)</f>
        <v>37654462.1875</v>
      </c>
    </row>
    <row r="12" spans="1:27" ht="11.25">
      <c r="A12" s="365">
        <v>1</v>
      </c>
      <c r="B12" s="366" t="s">
        <v>329</v>
      </c>
      <c r="C12" s="365">
        <v>2</v>
      </c>
      <c r="D12" s="367">
        <v>550000</v>
      </c>
      <c r="E12" s="368">
        <v>0</v>
      </c>
      <c r="F12" s="369">
        <v>2420228</v>
      </c>
      <c r="G12" s="370">
        <f>A12*F12*12</f>
        <v>29042736</v>
      </c>
      <c r="H12" s="370">
        <v>0</v>
      </c>
      <c r="I12" s="369">
        <v>0</v>
      </c>
      <c r="J12" s="370">
        <f>(IF(+F12&lt;=+$K$4,(F12*0.5),(F12*0.35)))*A12</f>
        <v>1210114</v>
      </c>
      <c r="K12" s="369">
        <f>(G12+H12+I12+J12)/24</f>
        <v>1260535.4166666667</v>
      </c>
      <c r="L12" s="371">
        <v>345371</v>
      </c>
      <c r="M12" s="371">
        <v>719523</v>
      </c>
      <c r="N12" s="370">
        <v>36667</v>
      </c>
      <c r="O12" s="369">
        <v>107902</v>
      </c>
      <c r="P12" s="370">
        <f>SUM(D12:O12)</f>
        <v>35693076.416666664</v>
      </c>
      <c r="Q12" s="369">
        <v>788160</v>
      </c>
      <c r="R12" s="369">
        <v>94579</v>
      </c>
      <c r="S12" s="370">
        <v>324206</v>
      </c>
      <c r="T12" s="369">
        <v>243154</v>
      </c>
      <c r="U12" s="370">
        <v>40526</v>
      </c>
      <c r="V12" s="369">
        <f>+U12</f>
        <v>40526</v>
      </c>
      <c r="W12" s="370">
        <v>81051</v>
      </c>
      <c r="X12" s="369">
        <v>747656</v>
      </c>
      <c r="Y12" s="370">
        <v>550000</v>
      </c>
      <c r="Z12" s="369">
        <v>35888</v>
      </c>
      <c r="AA12" s="370">
        <f>SUM(P12:Z12)</f>
        <v>38638822.416666664</v>
      </c>
    </row>
    <row r="13" spans="1:27" ht="11.25">
      <c r="A13" s="372">
        <f>SUM(A11:A12)</f>
        <v>2</v>
      </c>
      <c r="B13" s="373" t="s">
        <v>161</v>
      </c>
      <c r="C13" s="374"/>
      <c r="D13" s="375"/>
      <c r="E13" s="376"/>
      <c r="F13" s="377">
        <f aca="true" t="shared" si="1" ref="F13:AA13">+F11-F12</f>
        <v>-15803</v>
      </c>
      <c r="G13" s="377">
        <f t="shared" si="1"/>
        <v>-189636</v>
      </c>
      <c r="H13" s="377">
        <f t="shared" si="1"/>
        <v>0</v>
      </c>
      <c r="I13" s="377">
        <f t="shared" si="1"/>
        <v>0</v>
      </c>
      <c r="J13" s="377">
        <f t="shared" si="1"/>
        <v>-7901.5</v>
      </c>
      <c r="K13" s="377">
        <f t="shared" si="1"/>
        <v>-8230.729166666744</v>
      </c>
      <c r="L13" s="377">
        <f t="shared" si="1"/>
        <v>-51332</v>
      </c>
      <c r="M13" s="377">
        <f t="shared" si="1"/>
        <v>-106941</v>
      </c>
      <c r="N13" s="377">
        <f t="shared" si="1"/>
        <v>-6308</v>
      </c>
      <c r="O13" s="377">
        <f t="shared" si="1"/>
        <v>-6170</v>
      </c>
      <c r="P13" s="377">
        <f t="shared" si="1"/>
        <v>-508622.2291666642</v>
      </c>
      <c r="Q13" s="377">
        <f t="shared" si="1"/>
        <v>-116321</v>
      </c>
      <c r="R13" s="377">
        <f t="shared" si="1"/>
        <v>-13958</v>
      </c>
      <c r="S13" s="377">
        <f t="shared" si="1"/>
        <v>-51579</v>
      </c>
      <c r="T13" s="377">
        <f t="shared" si="1"/>
        <v>-38684</v>
      </c>
      <c r="U13" s="377">
        <f t="shared" si="1"/>
        <v>-6448</v>
      </c>
      <c r="V13" s="377">
        <f t="shared" si="1"/>
        <v>-6448</v>
      </c>
      <c r="W13" s="377">
        <f t="shared" si="1"/>
        <v>-12894</v>
      </c>
      <c r="X13" s="377">
        <f t="shared" si="1"/>
        <v>-128617</v>
      </c>
      <c r="Y13" s="377">
        <f t="shared" si="1"/>
        <v>-94615</v>
      </c>
      <c r="Z13" s="377">
        <f t="shared" si="1"/>
        <v>-6174</v>
      </c>
      <c r="AA13" s="377">
        <f t="shared" si="1"/>
        <v>-984360.2291666642</v>
      </c>
    </row>
  </sheetData>
  <printOptions/>
  <pageMargins left="0.93" right="0.2" top="1" bottom="1" header="0" footer="0"/>
  <pageSetup horizontalDpi="600" verticalDpi="600" orientation="landscape" paperSize="5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67"/>
  <sheetViews>
    <sheetView workbookViewId="0" topLeftCell="A1">
      <selection activeCell="C22" sqref="C22"/>
    </sheetView>
  </sheetViews>
  <sheetFormatPr defaultColWidth="11.421875" defaultRowHeight="12.75"/>
  <cols>
    <col min="1" max="1" width="1.8515625" style="0" customWidth="1"/>
    <col min="2" max="2" width="4.8515625" style="0" customWidth="1"/>
    <col min="3" max="3" width="56.57421875" style="0" customWidth="1"/>
    <col min="4" max="4" width="14.140625" style="0" customWidth="1"/>
    <col min="5" max="5" width="14.7109375" style="0" customWidth="1"/>
    <col min="6" max="6" width="12.57421875" style="0" customWidth="1"/>
  </cols>
  <sheetData>
    <row r="1" spans="2:14" ht="12.75">
      <c r="B1" s="163"/>
      <c r="C1" s="298"/>
      <c r="D1" s="299" t="s">
        <v>234</v>
      </c>
      <c r="E1" s="300"/>
      <c r="F1" s="301"/>
      <c r="G1" s="166"/>
      <c r="H1" s="167"/>
      <c r="I1" s="167"/>
      <c r="J1" s="167"/>
      <c r="K1" s="167"/>
      <c r="L1" s="167"/>
      <c r="M1" s="167"/>
      <c r="N1" s="167"/>
    </row>
    <row r="2" spans="2:14" ht="12.75">
      <c r="B2" s="163"/>
      <c r="C2" s="302"/>
      <c r="D2" s="299" t="s">
        <v>235</v>
      </c>
      <c r="E2" s="300"/>
      <c r="F2" s="301"/>
      <c r="G2" s="166"/>
      <c r="H2" s="167"/>
      <c r="I2" s="167"/>
      <c r="J2" s="167"/>
      <c r="K2" s="167"/>
      <c r="L2" s="167"/>
      <c r="M2" s="167"/>
      <c r="N2" s="167"/>
    </row>
    <row r="3" spans="2:7" s="174" customFormat="1" ht="18" customHeight="1">
      <c r="B3" s="169"/>
      <c r="C3" s="170"/>
      <c r="D3" s="171"/>
      <c r="E3" s="172"/>
      <c r="F3" s="173"/>
      <c r="G3" s="173"/>
    </row>
    <row r="4" spans="2:7" s="181" customFormat="1" ht="12">
      <c r="B4" s="175" t="s">
        <v>236</v>
      </c>
      <c r="C4" s="176" t="s">
        <v>1</v>
      </c>
      <c r="D4" s="177" t="s">
        <v>237</v>
      </c>
      <c r="E4" s="178"/>
      <c r="F4" s="179" t="s">
        <v>238</v>
      </c>
      <c r="G4" s="180"/>
    </row>
    <row r="5" spans="2:7" s="186" customFormat="1" ht="12">
      <c r="B5" s="182"/>
      <c r="C5" s="183"/>
      <c r="D5" s="184" t="s">
        <v>239</v>
      </c>
      <c r="E5" s="185" t="s">
        <v>259</v>
      </c>
      <c r="F5" s="185" t="s">
        <v>240</v>
      </c>
      <c r="G5" s="185" t="s">
        <v>241</v>
      </c>
    </row>
    <row r="6" spans="2:7" s="186" customFormat="1" ht="12.75">
      <c r="B6" s="197">
        <v>57</v>
      </c>
      <c r="C6" s="198" t="s">
        <v>118</v>
      </c>
      <c r="D6" s="314">
        <f>SUM(D7:D8)</f>
        <v>1334037397</v>
      </c>
      <c r="E6" s="165"/>
      <c r="F6" s="236"/>
      <c r="G6" s="236"/>
    </row>
    <row r="7" spans="2:7" s="186" customFormat="1" ht="15">
      <c r="B7" s="192"/>
      <c r="C7" s="193" t="s">
        <v>260</v>
      </c>
      <c r="D7" s="313">
        <f>+E7</f>
        <v>370083307</v>
      </c>
      <c r="E7" s="338">
        <v>370083307</v>
      </c>
      <c r="F7" s="325"/>
      <c r="G7" s="325"/>
    </row>
    <row r="8" spans="2:7" s="186" customFormat="1" ht="15">
      <c r="B8" s="194"/>
      <c r="C8" s="193" t="s">
        <v>244</v>
      </c>
      <c r="D8" s="313">
        <f>+E8</f>
        <v>963954090</v>
      </c>
      <c r="E8" s="339">
        <v>963954090</v>
      </c>
      <c r="F8" s="325"/>
      <c r="G8" s="325"/>
    </row>
    <row r="9" spans="2:7" s="186" customFormat="1" ht="12.75">
      <c r="B9" s="194"/>
      <c r="C9" s="193"/>
      <c r="D9" s="313"/>
      <c r="E9" s="165"/>
      <c r="F9" s="325"/>
      <c r="G9" s="325"/>
    </row>
    <row r="10" spans="2:14" s="191" customFormat="1" ht="12.75">
      <c r="B10" s="187">
        <v>58</v>
      </c>
      <c r="C10" s="188" t="s">
        <v>242</v>
      </c>
      <c r="D10" s="315">
        <f>SUM(D11:D14)</f>
        <v>274945369</v>
      </c>
      <c r="E10" s="189"/>
      <c r="F10" s="316"/>
      <c r="G10" s="317"/>
      <c r="H10" s="190"/>
      <c r="I10" s="190"/>
      <c r="J10" s="190"/>
      <c r="K10" s="190"/>
      <c r="L10" s="190"/>
      <c r="M10" s="190"/>
      <c r="N10" s="190"/>
    </row>
    <row r="11" spans="2:7" s="37" customFormat="1" ht="15">
      <c r="B11" s="192"/>
      <c r="C11" s="193" t="s">
        <v>243</v>
      </c>
      <c r="D11" s="313">
        <f>+E11</f>
        <v>138483534</v>
      </c>
      <c r="E11" s="342">
        <v>138483534</v>
      </c>
      <c r="F11" s="195"/>
      <c r="G11" s="195"/>
    </row>
    <row r="12" spans="2:14" ht="15">
      <c r="B12" s="194"/>
      <c r="C12" s="193" t="s">
        <v>270</v>
      </c>
      <c r="D12" s="313">
        <f>E12</f>
        <v>46461835</v>
      </c>
      <c r="E12" s="343">
        <v>46461835</v>
      </c>
      <c r="F12" s="195"/>
      <c r="G12" s="195"/>
      <c r="H12" s="167"/>
      <c r="I12" s="167"/>
      <c r="J12" s="167"/>
      <c r="K12" s="167"/>
      <c r="L12" s="167"/>
      <c r="M12" s="167"/>
      <c r="N12" s="167"/>
    </row>
    <row r="13" spans="2:14" ht="15">
      <c r="B13" s="194"/>
      <c r="C13" s="193" t="s">
        <v>290</v>
      </c>
      <c r="D13" s="313">
        <f>E13</f>
        <v>40000000</v>
      </c>
      <c r="E13" s="343">
        <v>40000000</v>
      </c>
      <c r="F13" s="195"/>
      <c r="G13" s="195"/>
      <c r="H13" s="167"/>
      <c r="I13" s="167"/>
      <c r="J13" s="167"/>
      <c r="K13" s="167"/>
      <c r="L13" s="167"/>
      <c r="M13" s="167"/>
      <c r="N13" s="167"/>
    </row>
    <row r="14" spans="2:14" ht="15">
      <c r="B14" s="194"/>
      <c r="C14" s="193" t="s">
        <v>291</v>
      </c>
      <c r="D14" s="313">
        <f>E14</f>
        <v>50000000</v>
      </c>
      <c r="E14" s="341">
        <v>50000000</v>
      </c>
      <c r="F14" s="195"/>
      <c r="G14" s="195"/>
      <c r="H14" s="167"/>
      <c r="I14" s="167"/>
      <c r="J14" s="167"/>
      <c r="K14" s="167"/>
      <c r="L14" s="167"/>
      <c r="M14" s="167"/>
      <c r="N14" s="167"/>
    </row>
    <row r="15" spans="2:14" ht="12.75">
      <c r="B15" s="194"/>
      <c r="C15" s="198" t="s">
        <v>267</v>
      </c>
      <c r="D15" s="314" t="str">
        <f>+E15</f>
        <v> </v>
      </c>
      <c r="E15" s="165" t="s">
        <v>267</v>
      </c>
      <c r="F15" s="195"/>
      <c r="G15" s="195"/>
      <c r="H15" s="167"/>
      <c r="I15" s="167"/>
      <c r="J15" s="167"/>
      <c r="K15" s="167"/>
      <c r="L15" s="167"/>
      <c r="M15" s="167"/>
      <c r="N15" s="167"/>
    </row>
    <row r="16" spans="2:7" s="37" customFormat="1" ht="12.75">
      <c r="B16" s="197">
        <v>59</v>
      </c>
      <c r="C16" s="198" t="s">
        <v>245</v>
      </c>
      <c r="D16" s="314">
        <f>SUM(D17:D21)</f>
        <v>440675018</v>
      </c>
      <c r="E16" s="165"/>
      <c r="F16" s="195"/>
      <c r="G16" s="195"/>
    </row>
    <row r="17" spans="2:14" ht="12.75">
      <c r="B17" s="194"/>
      <c r="C17" s="193" t="s">
        <v>261</v>
      </c>
      <c r="D17" s="313">
        <f aca="true" t="shared" si="0" ref="D17:D24">+E17</f>
        <v>271587131</v>
      </c>
      <c r="E17" s="165">
        <v>271587131</v>
      </c>
      <c r="F17" s="195"/>
      <c r="G17" s="195"/>
      <c r="H17" s="167"/>
      <c r="I17" s="167"/>
      <c r="J17" s="167"/>
      <c r="K17" s="167"/>
      <c r="L17" s="167"/>
      <c r="M17" s="167"/>
      <c r="N17" s="167"/>
    </row>
    <row r="18" spans="2:14" ht="15">
      <c r="B18" s="194"/>
      <c r="C18" s="193" t="s">
        <v>292</v>
      </c>
      <c r="D18" s="313">
        <f t="shared" si="0"/>
        <v>30704136</v>
      </c>
      <c r="E18" s="344">
        <v>30704136</v>
      </c>
      <c r="F18" s="195"/>
      <c r="G18" s="195"/>
      <c r="H18" s="167"/>
      <c r="I18" s="167"/>
      <c r="J18" s="167"/>
      <c r="K18" s="167"/>
      <c r="L18" s="167"/>
      <c r="M18" s="167"/>
      <c r="N18" s="167"/>
    </row>
    <row r="19" spans="2:14" ht="15">
      <c r="B19" s="194"/>
      <c r="C19" s="193" t="s">
        <v>268</v>
      </c>
      <c r="D19" s="313">
        <f t="shared" si="0"/>
        <v>107616249</v>
      </c>
      <c r="E19" s="344">
        <v>107616249</v>
      </c>
      <c r="F19" s="195"/>
      <c r="G19" s="195"/>
      <c r="H19" s="167"/>
      <c r="I19" s="167"/>
      <c r="J19" s="167"/>
      <c r="K19" s="167"/>
      <c r="L19" s="167"/>
      <c r="M19" s="167"/>
      <c r="N19" s="167"/>
    </row>
    <row r="20" spans="2:14" ht="15">
      <c r="B20" s="194"/>
      <c r="C20" s="193" t="s">
        <v>293</v>
      </c>
      <c r="D20" s="313">
        <f t="shared" si="0"/>
        <v>30767502</v>
      </c>
      <c r="E20" s="344">
        <v>30767502</v>
      </c>
      <c r="F20" s="195"/>
      <c r="G20" s="195"/>
      <c r="H20" s="167"/>
      <c r="I20" s="167"/>
      <c r="J20" s="167"/>
      <c r="K20" s="167"/>
      <c r="L20" s="167"/>
      <c r="M20" s="167"/>
      <c r="N20" s="167"/>
    </row>
    <row r="21" spans="2:14" ht="12.75">
      <c r="B21" s="194"/>
      <c r="C21" s="193"/>
      <c r="D21" s="313"/>
      <c r="E21" s="165"/>
      <c r="F21" s="195"/>
      <c r="G21" s="195"/>
      <c r="H21" s="167"/>
      <c r="I21" s="167"/>
      <c r="J21" s="167"/>
      <c r="K21" s="167"/>
      <c r="L21" s="167"/>
      <c r="M21" s="167"/>
      <c r="N21" s="167"/>
    </row>
    <row r="22" spans="2:7" s="37" customFormat="1" ht="12.75">
      <c r="B22" s="197">
        <v>61</v>
      </c>
      <c r="C22" s="198" t="s">
        <v>246</v>
      </c>
      <c r="D22" s="314">
        <f>SUM(D23:D24)</f>
        <v>43675611</v>
      </c>
      <c r="E22" s="165"/>
      <c r="F22" s="195"/>
      <c r="G22" s="195"/>
    </row>
    <row r="23" spans="2:7" s="37" customFormat="1" ht="15">
      <c r="B23" s="192"/>
      <c r="C23" s="200" t="s">
        <v>262</v>
      </c>
      <c r="D23" s="313">
        <f t="shared" si="0"/>
        <v>16675611</v>
      </c>
      <c r="E23" s="345">
        <v>16675611</v>
      </c>
      <c r="F23" s="195"/>
      <c r="G23" s="195"/>
    </row>
    <row r="24" spans="2:14" ht="15">
      <c r="B24" s="194"/>
      <c r="C24" s="200" t="s">
        <v>247</v>
      </c>
      <c r="D24" s="313">
        <f t="shared" si="0"/>
        <v>27000000</v>
      </c>
      <c r="E24" s="340">
        <v>27000000</v>
      </c>
      <c r="F24" s="195"/>
      <c r="G24" s="195"/>
      <c r="H24" s="167"/>
      <c r="I24" s="167"/>
      <c r="J24" s="167"/>
      <c r="K24" s="167"/>
      <c r="L24" s="167"/>
      <c r="M24" s="167"/>
      <c r="N24" s="167"/>
    </row>
    <row r="25" spans="2:14" ht="12.75">
      <c r="B25" s="199"/>
      <c r="C25" s="20"/>
      <c r="D25" s="196"/>
      <c r="E25" s="165"/>
      <c r="F25" s="195"/>
      <c r="G25" s="195"/>
      <c r="H25" s="167"/>
      <c r="I25" s="167"/>
      <c r="J25" s="167"/>
      <c r="K25" s="167"/>
      <c r="L25" s="167"/>
      <c r="M25" s="167"/>
      <c r="N25" s="167"/>
    </row>
    <row r="26" spans="2:7" s="6" customFormat="1" ht="12.75">
      <c r="B26" s="197">
        <v>62</v>
      </c>
      <c r="C26" s="198" t="s">
        <v>248</v>
      </c>
      <c r="D26" s="318">
        <f>SUM(D27)</f>
        <v>32756709</v>
      </c>
      <c r="E26" s="165"/>
      <c r="F26" s="195"/>
      <c r="G26" s="195"/>
    </row>
    <row r="27" spans="2:7" s="37" customFormat="1" ht="12.75">
      <c r="B27" s="192"/>
      <c r="C27" s="200" t="s">
        <v>249</v>
      </c>
      <c r="D27" s="313">
        <f>+E27</f>
        <v>32756709</v>
      </c>
      <c r="E27" s="165">
        <v>32756709</v>
      </c>
      <c r="F27" s="195"/>
      <c r="G27" s="195"/>
    </row>
    <row r="28" spans="2:14" ht="12.75">
      <c r="B28" s="199"/>
      <c r="C28" s="20"/>
      <c r="D28" s="196"/>
      <c r="E28" s="165"/>
      <c r="F28" s="195"/>
      <c r="G28" s="195"/>
      <c r="H28" s="167"/>
      <c r="I28" s="167"/>
      <c r="J28" s="167"/>
      <c r="K28" s="167"/>
      <c r="L28" s="167"/>
      <c r="M28" s="167"/>
      <c r="N28" s="167"/>
    </row>
    <row r="29" spans="2:7" s="37" customFormat="1" ht="12.75">
      <c r="B29" s="197">
        <v>73</v>
      </c>
      <c r="C29" s="198" t="s">
        <v>269</v>
      </c>
      <c r="D29" s="314">
        <f>SUM(D30:D39)</f>
        <v>458593920</v>
      </c>
      <c r="E29" s="165"/>
      <c r="F29" s="195"/>
      <c r="G29" s="195"/>
    </row>
    <row r="30" spans="2:7" s="37" customFormat="1" ht="15">
      <c r="B30" s="192"/>
      <c r="C30" s="346" t="s">
        <v>320</v>
      </c>
      <c r="D30" s="313">
        <f aca="true" t="shared" si="1" ref="D30:D39">+E30</f>
        <v>20000000</v>
      </c>
      <c r="E30" s="344">
        <v>20000000</v>
      </c>
      <c r="F30" s="195"/>
      <c r="G30" s="195"/>
    </row>
    <row r="31" spans="2:14" ht="15">
      <c r="B31" s="194"/>
      <c r="C31" s="193" t="s">
        <v>271</v>
      </c>
      <c r="D31" s="313">
        <f t="shared" si="1"/>
        <v>40000000</v>
      </c>
      <c r="E31" s="344">
        <v>40000000</v>
      </c>
      <c r="F31" s="195"/>
      <c r="G31" s="195"/>
      <c r="H31" s="167"/>
      <c r="I31" s="167"/>
      <c r="J31" s="167"/>
      <c r="K31" s="167"/>
      <c r="L31" s="167"/>
      <c r="M31" s="167"/>
      <c r="N31" s="167"/>
    </row>
    <row r="32" spans="2:14" ht="15">
      <c r="B32" s="194"/>
      <c r="C32" s="193" t="s">
        <v>276</v>
      </c>
      <c r="D32" s="313">
        <f t="shared" si="1"/>
        <v>78000000</v>
      </c>
      <c r="E32" s="348">
        <v>78000000</v>
      </c>
      <c r="F32" s="195"/>
      <c r="G32" s="195"/>
      <c r="H32" s="167"/>
      <c r="I32" s="167"/>
      <c r="J32" s="167"/>
      <c r="K32" s="167"/>
      <c r="L32" s="167"/>
      <c r="M32" s="167"/>
      <c r="N32" s="167"/>
    </row>
    <row r="33" spans="2:14" ht="12.75">
      <c r="B33" s="194"/>
      <c r="C33" s="347" t="s">
        <v>321</v>
      </c>
      <c r="D33" s="313">
        <f t="shared" si="1"/>
        <v>10000000</v>
      </c>
      <c r="E33" s="165">
        <v>10000000</v>
      </c>
      <c r="F33" s="195"/>
      <c r="G33" s="195"/>
      <c r="H33" s="167"/>
      <c r="I33" s="167"/>
      <c r="J33" s="167"/>
      <c r="K33" s="167"/>
      <c r="L33" s="167"/>
      <c r="M33" s="167"/>
      <c r="N33" s="167"/>
    </row>
    <row r="34" spans="2:14" ht="12.75">
      <c r="B34" s="194"/>
      <c r="C34" s="20" t="s">
        <v>294</v>
      </c>
      <c r="D34" s="313">
        <f t="shared" si="1"/>
        <v>160000000</v>
      </c>
      <c r="E34" s="165">
        <v>160000000</v>
      </c>
      <c r="F34" s="195"/>
      <c r="G34" s="195"/>
      <c r="H34" s="167"/>
      <c r="I34" s="167"/>
      <c r="J34" s="167"/>
      <c r="K34" s="167"/>
      <c r="L34" s="167"/>
      <c r="M34" s="167"/>
      <c r="N34" s="167"/>
    </row>
    <row r="35" spans="2:14" ht="12.75">
      <c r="B35" s="194"/>
      <c r="C35" s="20" t="s">
        <v>277</v>
      </c>
      <c r="D35" s="313">
        <f t="shared" si="1"/>
        <v>10000000</v>
      </c>
      <c r="E35" s="165">
        <v>10000000</v>
      </c>
      <c r="F35" s="195"/>
      <c r="G35" s="195"/>
      <c r="H35" s="167"/>
      <c r="I35" s="167"/>
      <c r="J35" s="167"/>
      <c r="K35" s="167"/>
      <c r="L35" s="167"/>
      <c r="M35" s="167"/>
      <c r="N35" s="167"/>
    </row>
    <row r="36" spans="2:14" ht="12.75">
      <c r="B36" s="194"/>
      <c r="C36" s="20" t="s">
        <v>263</v>
      </c>
      <c r="D36" s="313">
        <f t="shared" si="1"/>
        <v>53500000</v>
      </c>
      <c r="E36" s="165">
        <v>53500000</v>
      </c>
      <c r="F36" s="195"/>
      <c r="G36" s="195"/>
      <c r="H36" s="167"/>
      <c r="I36" s="167"/>
      <c r="J36" s="167"/>
      <c r="K36" s="167"/>
      <c r="L36" s="167"/>
      <c r="M36" s="167"/>
      <c r="N36" s="167"/>
    </row>
    <row r="37" spans="2:14" ht="15">
      <c r="B37" s="194"/>
      <c r="C37" s="20" t="s">
        <v>272</v>
      </c>
      <c r="D37" s="313">
        <f t="shared" si="1"/>
        <v>33234528</v>
      </c>
      <c r="E37" s="344">
        <v>33234528</v>
      </c>
      <c r="F37" s="195"/>
      <c r="G37" s="195"/>
      <c r="H37" s="167"/>
      <c r="I37" s="167"/>
      <c r="J37" s="167"/>
      <c r="K37" s="167"/>
      <c r="L37" s="167"/>
      <c r="M37" s="167"/>
      <c r="N37" s="167"/>
    </row>
    <row r="38" spans="2:14" ht="15">
      <c r="B38" s="194"/>
      <c r="C38" s="20" t="s">
        <v>275</v>
      </c>
      <c r="D38" s="313">
        <f t="shared" si="1"/>
        <v>48859392</v>
      </c>
      <c r="E38" s="344">
        <v>48859392</v>
      </c>
      <c r="F38" s="195"/>
      <c r="G38" s="195"/>
      <c r="H38" s="167"/>
      <c r="I38" s="167"/>
      <c r="J38" s="167"/>
      <c r="K38" s="167"/>
      <c r="L38" s="167"/>
      <c r="M38" s="167"/>
      <c r="N38" s="167"/>
    </row>
    <row r="39" spans="2:14" ht="15">
      <c r="B39" s="194"/>
      <c r="C39" s="20" t="s">
        <v>305</v>
      </c>
      <c r="D39" s="313">
        <f t="shared" si="1"/>
        <v>5000000</v>
      </c>
      <c r="E39" s="349">
        <v>5000000</v>
      </c>
      <c r="F39" s="195"/>
      <c r="G39" s="195"/>
      <c r="H39" s="167"/>
      <c r="I39" s="167"/>
      <c r="J39" s="167"/>
      <c r="K39" s="167"/>
      <c r="L39" s="167"/>
      <c r="M39" s="167"/>
      <c r="N39" s="167"/>
    </row>
    <row r="40" spans="2:14" ht="13.5" thickBot="1">
      <c r="B40" s="252"/>
      <c r="C40" s="253"/>
      <c r="D40" s="319"/>
      <c r="E40" s="320"/>
      <c r="F40" s="254"/>
      <c r="G40" s="254"/>
      <c r="H40" s="167"/>
      <c r="I40" s="167"/>
      <c r="J40" s="167"/>
      <c r="K40" s="167"/>
      <c r="L40" s="167"/>
      <c r="M40" s="167"/>
      <c r="N40" s="167"/>
    </row>
    <row r="41" spans="2:14" ht="12.75">
      <c r="B41" s="249"/>
      <c r="C41" s="51"/>
      <c r="D41" s="321"/>
      <c r="E41" s="321"/>
      <c r="F41" s="165"/>
      <c r="G41" s="165"/>
      <c r="H41" s="250"/>
      <c r="I41" s="250"/>
      <c r="J41" s="250"/>
      <c r="K41" s="250"/>
      <c r="L41" s="250"/>
      <c r="M41" s="167"/>
      <c r="N41" s="167"/>
    </row>
    <row r="42" spans="2:14" ht="12.75">
      <c r="B42" s="249"/>
      <c r="C42" s="51"/>
      <c r="D42" s="321"/>
      <c r="E42" s="321"/>
      <c r="F42" s="165"/>
      <c r="G42" s="165"/>
      <c r="H42" s="250"/>
      <c r="I42" s="250"/>
      <c r="J42" s="250"/>
      <c r="K42" s="250"/>
      <c r="L42" s="250"/>
      <c r="M42" s="167"/>
      <c r="N42" s="167"/>
    </row>
    <row r="43" spans="2:14" ht="12.75">
      <c r="B43" s="249" t="s">
        <v>299</v>
      </c>
      <c r="C43" s="51"/>
      <c r="D43" s="321"/>
      <c r="E43" s="321"/>
      <c r="F43" s="165"/>
      <c r="G43" s="165"/>
      <c r="H43" s="250"/>
      <c r="I43" s="250"/>
      <c r="J43" s="250"/>
      <c r="K43" s="250"/>
      <c r="L43" s="250"/>
      <c r="M43" s="167"/>
      <c r="N43" s="167"/>
    </row>
    <row r="44" spans="2:14" ht="12.75">
      <c r="B44" s="163"/>
      <c r="C44" s="164"/>
      <c r="D44" s="161" t="s">
        <v>234</v>
      </c>
      <c r="E44" s="165"/>
      <c r="F44" s="166"/>
      <c r="G44" s="166"/>
      <c r="H44" s="250"/>
      <c r="I44" s="250"/>
      <c r="J44" s="250"/>
      <c r="K44" s="250"/>
      <c r="L44" s="250"/>
      <c r="M44" s="167"/>
      <c r="N44" s="167"/>
    </row>
    <row r="45" spans="2:14" ht="12.75">
      <c r="B45" s="163"/>
      <c r="C45" s="168"/>
      <c r="D45" s="161" t="s">
        <v>235</v>
      </c>
      <c r="E45" s="165"/>
      <c r="F45" s="166"/>
      <c r="G45" s="166"/>
      <c r="H45" s="250"/>
      <c r="I45" s="250"/>
      <c r="J45" s="250"/>
      <c r="K45" s="250"/>
      <c r="L45" s="250"/>
      <c r="M45" s="167"/>
      <c r="N45" s="167"/>
    </row>
    <row r="46" spans="2:14" ht="12.75">
      <c r="B46" s="169"/>
      <c r="C46" s="170"/>
      <c r="D46" s="322"/>
      <c r="E46" s="172"/>
      <c r="F46" s="173"/>
      <c r="G46" s="173"/>
      <c r="H46" s="250"/>
      <c r="I46" s="250"/>
      <c r="J46" s="250"/>
      <c r="K46" s="250"/>
      <c r="L46" s="250"/>
      <c r="M46" s="167"/>
      <c r="N46" s="167"/>
    </row>
    <row r="47" spans="2:14" ht="12.75">
      <c r="B47" s="175" t="s">
        <v>236</v>
      </c>
      <c r="C47" s="176" t="s">
        <v>1</v>
      </c>
      <c r="D47" s="326" t="s">
        <v>237</v>
      </c>
      <c r="E47" s="327"/>
      <c r="F47" s="328" t="s">
        <v>238</v>
      </c>
      <c r="G47" s="329"/>
      <c r="H47" s="250"/>
      <c r="I47" s="250"/>
      <c r="J47" s="250"/>
      <c r="K47" s="250"/>
      <c r="L47" s="250"/>
      <c r="M47" s="167"/>
      <c r="N47" s="167"/>
    </row>
    <row r="48" spans="2:14" ht="12.75">
      <c r="B48" s="182"/>
      <c r="C48" s="183"/>
      <c r="D48" s="330" t="s">
        <v>239</v>
      </c>
      <c r="E48" s="331" t="s">
        <v>259</v>
      </c>
      <c r="F48" s="331" t="s">
        <v>240</v>
      </c>
      <c r="G48" s="331" t="s">
        <v>241</v>
      </c>
      <c r="H48" s="250"/>
      <c r="I48" s="250"/>
      <c r="J48" s="250"/>
      <c r="K48" s="250"/>
      <c r="L48" s="250"/>
      <c r="M48" s="167"/>
      <c r="N48" s="167"/>
    </row>
    <row r="49" spans="2:14" ht="12.75">
      <c r="B49" s="249"/>
      <c r="C49" s="51"/>
      <c r="D49" s="321"/>
      <c r="E49" s="321"/>
      <c r="F49" s="165"/>
      <c r="G49" s="165"/>
      <c r="H49" s="250"/>
      <c r="I49" s="250"/>
      <c r="J49" s="250"/>
      <c r="K49" s="250"/>
      <c r="L49" s="250"/>
      <c r="M49" s="167"/>
      <c r="N49" s="167"/>
    </row>
    <row r="50" spans="2:10" s="37" customFormat="1" ht="12.75">
      <c r="B50" s="246">
        <v>78</v>
      </c>
      <c r="C50" s="247" t="s">
        <v>250</v>
      </c>
      <c r="D50" s="323">
        <f>SUM(D51:D60)</f>
        <v>217400709</v>
      </c>
      <c r="E50" s="248"/>
      <c r="F50" s="231"/>
      <c r="G50" s="231"/>
      <c r="H50" s="251"/>
      <c r="I50" s="251"/>
      <c r="J50" s="251"/>
    </row>
    <row r="51" spans="2:7" s="37" customFormat="1" ht="12.75">
      <c r="B51" s="197"/>
      <c r="C51" s="354" t="s">
        <v>298</v>
      </c>
      <c r="D51" s="313">
        <f aca="true" t="shared" si="2" ref="D51:D56">+E51+F51+G51</f>
        <v>29038291</v>
      </c>
      <c r="E51" s="165"/>
      <c r="F51" s="195">
        <v>29038291</v>
      </c>
      <c r="G51" s="195"/>
    </row>
    <row r="52" spans="2:7" s="37" customFormat="1" ht="12.75">
      <c r="B52" s="199"/>
      <c r="C52" s="20" t="s">
        <v>305</v>
      </c>
      <c r="D52" s="313">
        <f>+E52+F52+G52</f>
        <v>17613941</v>
      </c>
      <c r="E52" s="165"/>
      <c r="F52" s="195">
        <v>17613941</v>
      </c>
      <c r="G52" s="195"/>
    </row>
    <row r="53" spans="2:7" s="37" customFormat="1" ht="12.75">
      <c r="B53" s="199"/>
      <c r="C53" s="193" t="s">
        <v>321</v>
      </c>
      <c r="D53" s="313">
        <f t="shared" si="2"/>
        <v>10000000</v>
      </c>
      <c r="E53" s="165"/>
      <c r="F53" s="195">
        <v>10000000</v>
      </c>
      <c r="G53" s="324"/>
    </row>
    <row r="54" spans="2:7" s="37" customFormat="1" ht="12.75">
      <c r="B54" s="199"/>
      <c r="C54" s="20" t="s">
        <v>295</v>
      </c>
      <c r="D54" s="313">
        <f t="shared" si="2"/>
        <v>15000000</v>
      </c>
      <c r="E54" s="165"/>
      <c r="F54" s="195">
        <v>15000000</v>
      </c>
      <c r="G54" s="195">
        <v>0</v>
      </c>
    </row>
    <row r="55" spans="2:7" s="37" customFormat="1" ht="12.75">
      <c r="B55" s="199"/>
      <c r="C55" s="20" t="s">
        <v>296</v>
      </c>
      <c r="D55" s="313">
        <f t="shared" si="2"/>
        <v>18082939</v>
      </c>
      <c r="E55" s="165"/>
      <c r="F55" s="195"/>
      <c r="G55" s="195">
        <v>18082939</v>
      </c>
    </row>
    <row r="56" spans="2:7" s="37" customFormat="1" ht="12.75">
      <c r="B56" s="199"/>
      <c r="C56" s="20" t="s">
        <v>297</v>
      </c>
      <c r="D56" s="313">
        <f t="shared" si="2"/>
        <v>15000000</v>
      </c>
      <c r="E56" s="165"/>
      <c r="F56" s="195">
        <v>15000000</v>
      </c>
      <c r="G56" s="195"/>
    </row>
    <row r="57" spans="2:14" ht="12.75">
      <c r="B57" s="199"/>
      <c r="C57" s="20" t="s">
        <v>273</v>
      </c>
      <c r="D57" s="238">
        <f>+E57+F57+G57</f>
        <v>10000000</v>
      </c>
      <c r="E57" s="165"/>
      <c r="F57" s="195">
        <v>10000000</v>
      </c>
      <c r="G57" s="195"/>
      <c r="H57" s="167"/>
      <c r="I57" s="167"/>
      <c r="J57" s="167"/>
      <c r="K57" s="167"/>
      <c r="L57" s="167"/>
      <c r="M57" s="167"/>
      <c r="N57" s="167"/>
    </row>
    <row r="58" spans="2:14" ht="12.75">
      <c r="B58" s="199"/>
      <c r="C58" s="20" t="s">
        <v>322</v>
      </c>
      <c r="D58" s="238">
        <f>+E58+F58+G58</f>
        <v>51000000</v>
      </c>
      <c r="E58" s="165"/>
      <c r="F58" s="195">
        <v>51000000</v>
      </c>
      <c r="G58" s="195"/>
      <c r="H58" s="167"/>
      <c r="I58" s="167"/>
      <c r="J58" s="167"/>
      <c r="K58" s="167"/>
      <c r="L58" s="167"/>
      <c r="M58" s="167"/>
      <c r="N58" s="167"/>
    </row>
    <row r="59" spans="2:14" ht="12.75">
      <c r="B59" s="199"/>
      <c r="C59" s="20" t="s">
        <v>324</v>
      </c>
      <c r="D59" s="238">
        <f>+E59+F59+G59</f>
        <v>10333108</v>
      </c>
      <c r="E59" s="165"/>
      <c r="F59" s="195">
        <v>10333108</v>
      </c>
      <c r="G59" s="352"/>
      <c r="H59" s="167"/>
      <c r="I59" s="167"/>
      <c r="J59" s="167"/>
      <c r="K59" s="167"/>
      <c r="L59" s="167"/>
      <c r="M59" s="167"/>
      <c r="N59" s="167"/>
    </row>
    <row r="60" spans="2:14" ht="13.5" thickBot="1">
      <c r="B60" s="199"/>
      <c r="C60" s="201" t="s">
        <v>306</v>
      </c>
      <c r="D60" s="238">
        <f>+E60+F60+G60</f>
        <v>41332430</v>
      </c>
      <c r="E60" s="165"/>
      <c r="F60" s="195"/>
      <c r="G60" s="350">
        <v>41332430</v>
      </c>
      <c r="H60" s="167"/>
      <c r="I60" s="167"/>
      <c r="J60" s="167"/>
      <c r="K60" s="167"/>
      <c r="L60" s="167"/>
      <c r="M60" s="167"/>
      <c r="N60" s="167"/>
    </row>
    <row r="61" spans="2:14" s="204" customFormat="1" ht="15.75">
      <c r="B61" s="202"/>
      <c r="C61" s="233" t="s">
        <v>251</v>
      </c>
      <c r="D61" s="353">
        <f>SUM(D6+D10+D16+D22+D26+D29+D50)</f>
        <v>2802084733</v>
      </c>
      <c r="E61" s="203">
        <f>SUM(E7:E57)</f>
        <v>2584684024</v>
      </c>
      <c r="F61" s="203">
        <f>SUM(F7:F60)</f>
        <v>157985340</v>
      </c>
      <c r="G61" s="203">
        <f>SUM(G7:G60)</f>
        <v>59415369</v>
      </c>
      <c r="H61" s="6"/>
      <c r="I61" s="6"/>
      <c r="J61" s="6"/>
      <c r="K61" s="6"/>
      <c r="L61" s="6"/>
      <c r="M61" s="6"/>
      <c r="N61" s="6"/>
    </row>
    <row r="62" spans="2:14" s="208" customFormat="1" ht="12.75">
      <c r="B62" s="205" t="s">
        <v>252</v>
      </c>
      <c r="C62" s="206" t="s">
        <v>253</v>
      </c>
      <c r="D62" s="206"/>
      <c r="E62" s="165"/>
      <c r="F62" s="165"/>
      <c r="G62" s="165"/>
      <c r="H62" s="207"/>
      <c r="I62" s="207"/>
      <c r="J62" s="207"/>
      <c r="K62" s="207"/>
      <c r="L62" s="207"/>
      <c r="M62" s="207"/>
      <c r="N62" s="207"/>
    </row>
    <row r="63" spans="2:14" s="208" customFormat="1" ht="12.75">
      <c r="B63" s="205" t="s">
        <v>254</v>
      </c>
      <c r="C63" s="206" t="s">
        <v>255</v>
      </c>
      <c r="D63" s="206"/>
      <c r="E63" s="165"/>
      <c r="F63" s="165"/>
      <c r="G63" s="165"/>
      <c r="H63" s="207"/>
      <c r="I63" s="207"/>
      <c r="J63" s="207"/>
      <c r="K63" s="207"/>
      <c r="L63" s="207"/>
      <c r="M63" s="207"/>
      <c r="N63" s="207"/>
    </row>
    <row r="64" spans="2:14" s="208" customFormat="1" ht="12.75">
      <c r="B64" s="205" t="s">
        <v>256</v>
      </c>
      <c r="C64" s="206" t="s">
        <v>257</v>
      </c>
      <c r="D64" s="206"/>
      <c r="E64" s="165"/>
      <c r="F64" s="165"/>
      <c r="G64" s="165"/>
      <c r="H64" s="207"/>
      <c r="I64" s="207"/>
      <c r="J64" s="207"/>
      <c r="K64" s="207"/>
      <c r="L64" s="207"/>
      <c r="M64" s="207"/>
      <c r="N64" s="207"/>
    </row>
    <row r="67" ht="12.75">
      <c r="C67" s="297" t="s">
        <v>286</v>
      </c>
    </row>
  </sheetData>
  <printOptions/>
  <pageMargins left="0.7874015748031497" right="0.7874015748031497" top="0.5118110236220472" bottom="0.3937007874015748" header="0" footer="0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0"/>
  <sheetViews>
    <sheetView workbookViewId="0" topLeftCell="A66">
      <selection activeCell="G82" sqref="G82"/>
    </sheetView>
  </sheetViews>
  <sheetFormatPr defaultColWidth="11.421875" defaultRowHeight="12.75"/>
  <cols>
    <col min="1" max="1" width="2.57421875" style="0" customWidth="1"/>
    <col min="2" max="2" width="6.00390625" style="0" customWidth="1"/>
    <col min="3" max="3" width="35.7109375" style="0" customWidth="1"/>
    <col min="4" max="4" width="13.421875" style="0" customWidth="1"/>
    <col min="5" max="5" width="12.8515625" style="0" customWidth="1"/>
    <col min="6" max="7" width="14.8515625" style="0" customWidth="1"/>
    <col min="8" max="8" width="12.140625" style="0" bestFit="1" customWidth="1"/>
  </cols>
  <sheetData>
    <row r="1" spans="2:7" s="6" customFormat="1" ht="12.75">
      <c r="B1" s="45" t="s">
        <v>0</v>
      </c>
      <c r="C1" s="46" t="s">
        <v>1</v>
      </c>
      <c r="D1" s="47" t="s">
        <v>5</v>
      </c>
      <c r="E1" s="47" t="s">
        <v>10</v>
      </c>
      <c r="F1" s="47" t="s">
        <v>11</v>
      </c>
      <c r="G1" s="47" t="s">
        <v>12</v>
      </c>
    </row>
    <row r="2" spans="2:7" s="6" customFormat="1" ht="12.75">
      <c r="B2" s="7"/>
      <c r="C2" s="48"/>
      <c r="D2" s="49" t="s">
        <v>308</v>
      </c>
      <c r="E2" s="49" t="s">
        <v>17</v>
      </c>
      <c r="F2" s="49" t="s">
        <v>18</v>
      </c>
      <c r="G2" s="49" t="s">
        <v>19</v>
      </c>
    </row>
    <row r="3" spans="2:7" s="18" customFormat="1" ht="12.75">
      <c r="B3" s="13">
        <v>1</v>
      </c>
      <c r="C3" s="14" t="s">
        <v>20</v>
      </c>
      <c r="D3" s="16">
        <f>SUM(D5+D34)</f>
        <v>4065502591</v>
      </c>
      <c r="E3" s="16">
        <f>SUM(E5+E34)</f>
        <v>3079587594</v>
      </c>
      <c r="F3" s="16">
        <f>SUM(F5+F34)</f>
        <v>0</v>
      </c>
      <c r="G3" s="16">
        <f>SUM(G5+G34)</f>
        <v>870108453</v>
      </c>
    </row>
    <row r="4" spans="2:7" ht="12.75">
      <c r="B4" s="19"/>
      <c r="C4" s="20"/>
      <c r="D4" s="22"/>
      <c r="E4" s="22"/>
      <c r="F4" s="22"/>
      <c r="G4" s="22"/>
    </row>
    <row r="5" spans="2:7" s="28" customFormat="1" ht="12.75">
      <c r="B5" s="24">
        <v>1.1</v>
      </c>
      <c r="C5" s="25" t="s">
        <v>21</v>
      </c>
      <c r="D5" s="26">
        <f>SUM(D6+D12)</f>
        <v>648564160</v>
      </c>
      <c r="E5" s="26">
        <f>SUM(E6+E12)</f>
        <v>169441858</v>
      </c>
      <c r="F5" s="26">
        <f>SUM(F6+F12)</f>
        <v>0</v>
      </c>
      <c r="G5" s="26">
        <f>SUM(G6+G12)</f>
        <v>479122302</v>
      </c>
    </row>
    <row r="6" spans="2:7" ht="12.75">
      <c r="B6" s="13" t="s">
        <v>22</v>
      </c>
      <c r="C6" s="14" t="s">
        <v>23</v>
      </c>
      <c r="D6" s="16">
        <f>SUM(D7:D10)</f>
        <v>184734968</v>
      </c>
      <c r="E6" s="16">
        <f>SUM(E7:E10)</f>
        <v>31237515</v>
      </c>
      <c r="F6" s="16">
        <f>SUM(F7:F10)</f>
        <v>0</v>
      </c>
      <c r="G6" s="16">
        <f>SUM(G7:G10)</f>
        <v>153497453</v>
      </c>
    </row>
    <row r="7" spans="2:7" ht="12.75">
      <c r="B7" s="19">
        <v>11101</v>
      </c>
      <c r="C7" s="20" t="s">
        <v>24</v>
      </c>
      <c r="D7" s="22">
        <v>151624763</v>
      </c>
      <c r="E7" s="22"/>
      <c r="F7" s="22"/>
      <c r="G7" s="22">
        <f>+D7</f>
        <v>151624763</v>
      </c>
    </row>
    <row r="8" spans="2:7" ht="12.75">
      <c r="B8" s="19">
        <v>11102</v>
      </c>
      <c r="C8" s="20" t="s">
        <v>25</v>
      </c>
      <c r="D8" s="22">
        <v>31237515</v>
      </c>
      <c r="E8" s="22">
        <f>+D8</f>
        <v>31237515</v>
      </c>
      <c r="F8" s="22"/>
      <c r="G8" s="22"/>
    </row>
    <row r="9" spans="2:7" ht="12.75">
      <c r="B9" s="19">
        <v>11103</v>
      </c>
      <c r="C9" s="20" t="s">
        <v>26</v>
      </c>
      <c r="D9" s="22">
        <v>1444690</v>
      </c>
      <c r="E9" s="22"/>
      <c r="F9" s="22"/>
      <c r="G9" s="22">
        <f>+D9</f>
        <v>1444690</v>
      </c>
    </row>
    <row r="10" spans="2:7" ht="12.75">
      <c r="B10" s="19">
        <v>11104</v>
      </c>
      <c r="C10" s="20" t="s">
        <v>27</v>
      </c>
      <c r="D10" s="22">
        <v>428000</v>
      </c>
      <c r="E10" s="22"/>
      <c r="F10" s="22"/>
      <c r="G10" s="22">
        <f>+D10</f>
        <v>428000</v>
      </c>
    </row>
    <row r="11" spans="2:7" ht="12.75">
      <c r="B11" s="19"/>
      <c r="C11" s="256"/>
      <c r="D11" s="22"/>
      <c r="E11" s="22"/>
      <c r="F11" s="22"/>
      <c r="G11" s="22"/>
    </row>
    <row r="12" spans="2:7" ht="12.75">
      <c r="B12" s="13" t="s">
        <v>28</v>
      </c>
      <c r="C12" s="14" t="s">
        <v>29</v>
      </c>
      <c r="D12" s="16">
        <f>SUM(D13:D32)</f>
        <v>463829192</v>
      </c>
      <c r="E12" s="16">
        <f>SUM(E13:E32)</f>
        <v>138204343</v>
      </c>
      <c r="F12" s="16">
        <f>SUM(F13:F32)</f>
        <v>0</v>
      </c>
      <c r="G12" s="16">
        <f>SUM(G13:G32)</f>
        <v>325624849</v>
      </c>
    </row>
    <row r="13" spans="2:7" ht="12.75">
      <c r="B13" s="19"/>
      <c r="C13" s="20" t="s">
        <v>30</v>
      </c>
      <c r="D13" s="22">
        <v>208105849</v>
      </c>
      <c r="E13" s="22"/>
      <c r="F13" s="22"/>
      <c r="G13" s="22">
        <f>+D13</f>
        <v>208105849</v>
      </c>
    </row>
    <row r="14" spans="2:7" ht="12.75">
      <c r="B14" s="19"/>
      <c r="C14" s="20" t="s">
        <v>31</v>
      </c>
      <c r="D14" s="22">
        <v>24445164</v>
      </c>
      <c r="E14" s="22"/>
      <c r="F14" s="22"/>
      <c r="G14" s="22">
        <f>+D14</f>
        <v>24445164</v>
      </c>
    </row>
    <row r="15" spans="2:6" ht="12.75">
      <c r="B15" s="19"/>
      <c r="C15" s="20" t="s">
        <v>32</v>
      </c>
      <c r="D15" s="22">
        <v>5403461</v>
      </c>
      <c r="E15" s="22">
        <f>+D15</f>
        <v>5403461</v>
      </c>
      <c r="F15" s="22"/>
    </row>
    <row r="16" spans="2:7" ht="12.75">
      <c r="B16" s="19"/>
      <c r="C16" s="20" t="s">
        <v>33</v>
      </c>
      <c r="D16" s="22">
        <v>68982000</v>
      </c>
      <c r="F16" s="22"/>
      <c r="G16" s="22">
        <f>+D16</f>
        <v>68982000</v>
      </c>
    </row>
    <row r="17" spans="2:7" ht="12.75">
      <c r="B17" s="19"/>
      <c r="C17" s="20" t="s">
        <v>34</v>
      </c>
      <c r="D17" s="22">
        <f>SUM('ANALISIS INGRESOS'!O18)</f>
        <v>3113040</v>
      </c>
      <c r="E17" s="22">
        <f>+D17</f>
        <v>3113040</v>
      </c>
      <c r="F17" s="22"/>
      <c r="G17" s="22"/>
    </row>
    <row r="18" spans="2:7" ht="12.75">
      <c r="B18" s="19"/>
      <c r="C18" s="20" t="s">
        <v>35</v>
      </c>
      <c r="D18" s="22">
        <f>SUM('ANALISIS INGRESOS'!O19)</f>
        <v>0</v>
      </c>
      <c r="E18" s="22">
        <f>+D18</f>
        <v>0</v>
      </c>
      <c r="F18" s="22"/>
      <c r="G18" s="22"/>
    </row>
    <row r="19" spans="2:7" ht="12.75">
      <c r="B19" s="19"/>
      <c r="C19" s="20" t="s">
        <v>36</v>
      </c>
      <c r="D19" s="22">
        <v>105000</v>
      </c>
      <c r="E19" s="22">
        <f>+D19</f>
        <v>105000</v>
      </c>
      <c r="F19" s="22"/>
      <c r="G19" s="22"/>
    </row>
    <row r="20" spans="2:7" ht="12.75">
      <c r="B20" s="19"/>
      <c r="C20" s="20" t="s">
        <v>37</v>
      </c>
      <c r="D20" s="22">
        <f>SUM('ANALISIS INGRESOS'!O21)</f>
        <v>600000</v>
      </c>
      <c r="E20" s="22">
        <f>+D20</f>
        <v>600000</v>
      </c>
      <c r="F20" s="22"/>
      <c r="G20" s="22"/>
    </row>
    <row r="21" spans="2:7" ht="12.75">
      <c r="B21" s="19"/>
      <c r="C21" s="20" t="s">
        <v>38</v>
      </c>
      <c r="D21" s="22">
        <v>830936</v>
      </c>
      <c r="E21" s="22"/>
      <c r="F21" s="22"/>
      <c r="G21" s="22">
        <f aca="true" t="shared" si="0" ref="G21:G29">+D21</f>
        <v>830936</v>
      </c>
    </row>
    <row r="22" spans="2:7" ht="12.75">
      <c r="B22" s="19"/>
      <c r="C22" s="20" t="s">
        <v>39</v>
      </c>
      <c r="D22" s="22">
        <v>1473400</v>
      </c>
      <c r="E22" s="22"/>
      <c r="F22" s="22"/>
      <c r="G22" s="22">
        <f t="shared" si="0"/>
        <v>1473400</v>
      </c>
    </row>
    <row r="23" spans="2:7" ht="12.75">
      <c r="B23" s="19"/>
      <c r="C23" s="20" t="s">
        <v>40</v>
      </c>
      <c r="D23" s="22">
        <f>SUM('ANALISIS INGRESOS'!O24)</f>
        <v>0</v>
      </c>
      <c r="E23" s="22"/>
      <c r="F23" s="22"/>
      <c r="G23" s="22">
        <f t="shared" si="0"/>
        <v>0</v>
      </c>
    </row>
    <row r="24" spans="2:7" ht="12.75">
      <c r="B24" s="19"/>
      <c r="C24" s="20" t="s">
        <v>41</v>
      </c>
      <c r="D24" s="22">
        <v>799000</v>
      </c>
      <c r="E24" s="22"/>
      <c r="F24" s="22"/>
      <c r="G24" s="22">
        <f t="shared" si="0"/>
        <v>799000</v>
      </c>
    </row>
    <row r="25" spans="2:7" ht="12.75">
      <c r="B25" s="19"/>
      <c r="C25" s="20" t="s">
        <v>42</v>
      </c>
      <c r="D25" s="22">
        <v>20988500</v>
      </c>
      <c r="E25" s="22"/>
      <c r="F25" s="22"/>
      <c r="G25" s="22">
        <f t="shared" si="0"/>
        <v>20988500</v>
      </c>
    </row>
    <row r="26" spans="2:7" ht="12.75">
      <c r="B26" s="19"/>
      <c r="C26" s="20" t="s">
        <v>43</v>
      </c>
      <c r="D26" s="22">
        <f>SUM('ANALISIS INGRESOS'!O27)</f>
        <v>0</v>
      </c>
      <c r="E26" s="22"/>
      <c r="F26" s="22"/>
      <c r="G26" s="22">
        <f t="shared" si="0"/>
        <v>0</v>
      </c>
    </row>
    <row r="27" spans="2:7" ht="12.75">
      <c r="B27" s="19"/>
      <c r="C27" s="20" t="s">
        <v>44</v>
      </c>
      <c r="D27" s="22">
        <f>SUM('ANALISIS INGRESOS'!O28)</f>
        <v>0</v>
      </c>
      <c r="E27" s="22"/>
      <c r="F27" s="22"/>
      <c r="G27" s="22">
        <f t="shared" si="0"/>
        <v>0</v>
      </c>
    </row>
    <row r="28" spans="2:7" ht="12.75">
      <c r="B28" s="19"/>
      <c r="C28" s="20" t="s">
        <v>45</v>
      </c>
      <c r="D28" s="22">
        <f>SUM('ANALISIS INGRESOS'!O29)</f>
        <v>0</v>
      </c>
      <c r="E28" s="22"/>
      <c r="F28" s="22"/>
      <c r="G28" s="22">
        <f t="shared" si="0"/>
        <v>0</v>
      </c>
    </row>
    <row r="29" spans="2:7" ht="12.75">
      <c r="B29" s="19"/>
      <c r="C29" s="20" t="s">
        <v>46</v>
      </c>
      <c r="D29" s="22">
        <f>SUM('ANALISIS INGRESOS'!O30)</f>
        <v>0</v>
      </c>
      <c r="E29" s="22"/>
      <c r="F29" s="22"/>
      <c r="G29" s="22">
        <f t="shared" si="0"/>
        <v>0</v>
      </c>
    </row>
    <row r="30" spans="2:7" ht="12.75">
      <c r="B30" s="19"/>
      <c r="C30" s="20" t="s">
        <v>47</v>
      </c>
      <c r="D30" s="22"/>
      <c r="E30" s="22"/>
      <c r="F30" s="22"/>
      <c r="G30" s="22"/>
    </row>
    <row r="31" spans="2:7" ht="12.75">
      <c r="B31" s="19"/>
      <c r="C31" s="20" t="s">
        <v>266</v>
      </c>
      <c r="D31" s="22">
        <v>57483842</v>
      </c>
      <c r="E31" s="22">
        <f>+D31</f>
        <v>57483842</v>
      </c>
      <c r="F31" s="22"/>
      <c r="G31" s="22"/>
    </row>
    <row r="32" spans="2:7" ht="12.75">
      <c r="B32" s="19"/>
      <c r="C32" s="20" t="s">
        <v>279</v>
      </c>
      <c r="D32" s="22">
        <v>71499000</v>
      </c>
      <c r="E32" s="22">
        <f>+D32</f>
        <v>71499000</v>
      </c>
      <c r="F32" s="21"/>
      <c r="G32" s="21"/>
    </row>
    <row r="33" spans="2:7" ht="12.75">
      <c r="B33" s="19"/>
      <c r="C33" s="20"/>
      <c r="D33" s="22"/>
      <c r="E33" s="22"/>
      <c r="F33" s="21"/>
      <c r="G33" s="21"/>
    </row>
    <row r="34" spans="2:7" s="28" customFormat="1" ht="12.75">
      <c r="B34" s="24">
        <v>1.2</v>
      </c>
      <c r="C34" s="25" t="s">
        <v>48</v>
      </c>
      <c r="D34" s="26">
        <f>SUM(D35+D56+D60+D68)</f>
        <v>3416938431</v>
      </c>
      <c r="E34" s="26">
        <f>SUM(E35+E56+E60+E68)</f>
        <v>2910145736</v>
      </c>
      <c r="F34" s="26">
        <f>SUM(F35+F56+F60+F68)</f>
        <v>0</v>
      </c>
      <c r="G34" s="26">
        <f>SUM(G35+G56+G60+G68)</f>
        <v>390986151</v>
      </c>
    </row>
    <row r="35" spans="2:7" ht="12.75">
      <c r="B35" s="13" t="s">
        <v>49</v>
      </c>
      <c r="C35" s="14" t="s">
        <v>50</v>
      </c>
      <c r="D35" s="16">
        <f>SUM(D36:D48)</f>
        <v>33606490</v>
      </c>
      <c r="E35" s="16">
        <f>SUM(E36:E48)</f>
        <v>0</v>
      </c>
      <c r="F35" s="16">
        <f>SUM(F36:F48)</f>
        <v>0</v>
      </c>
      <c r="G35" s="16">
        <f>SUM(G36:G48)</f>
        <v>33606490</v>
      </c>
    </row>
    <row r="36" spans="2:7" ht="12.75">
      <c r="B36" s="19"/>
      <c r="C36" s="20" t="s">
        <v>51</v>
      </c>
      <c r="D36" s="22">
        <f>SUM('ANALISIS INGRESOS'!T38)</f>
        <v>0</v>
      </c>
      <c r="E36" s="22"/>
      <c r="F36" s="22"/>
      <c r="G36" s="22">
        <f aca="true" t="shared" si="1" ref="G36:G43">+D36</f>
        <v>0</v>
      </c>
    </row>
    <row r="37" spans="2:7" ht="12.75">
      <c r="B37" s="19"/>
      <c r="C37" s="20" t="s">
        <v>52</v>
      </c>
      <c r="D37" s="22">
        <v>6379514</v>
      </c>
      <c r="E37" s="22"/>
      <c r="F37" s="22"/>
      <c r="G37" s="22">
        <f t="shared" si="1"/>
        <v>6379514</v>
      </c>
    </row>
    <row r="38" spans="2:7" ht="12.75">
      <c r="B38" s="19"/>
      <c r="C38" s="20" t="s">
        <v>53</v>
      </c>
      <c r="D38" s="22">
        <f>SUM('ANALISIS INGRESOS'!O40)</f>
        <v>0</v>
      </c>
      <c r="E38" s="22"/>
      <c r="F38" s="22"/>
      <c r="G38" s="22">
        <f t="shared" si="1"/>
        <v>0</v>
      </c>
    </row>
    <row r="39" spans="2:7" ht="12.75">
      <c r="B39" s="19"/>
      <c r="C39" s="20" t="s">
        <v>313</v>
      </c>
      <c r="D39" s="22">
        <v>13764457</v>
      </c>
      <c r="E39" s="22"/>
      <c r="F39" s="22"/>
      <c r="G39" s="22">
        <f t="shared" si="1"/>
        <v>13764457</v>
      </c>
    </row>
    <row r="40" spans="2:7" ht="12.75">
      <c r="B40" s="19"/>
      <c r="C40" s="20" t="s">
        <v>55</v>
      </c>
      <c r="D40" s="22">
        <f>SUM('ANALISIS INGRESOS'!O42)</f>
        <v>245400</v>
      </c>
      <c r="E40" s="22"/>
      <c r="F40" s="22"/>
      <c r="G40" s="22">
        <f t="shared" si="1"/>
        <v>245400</v>
      </c>
    </row>
    <row r="41" spans="2:7" ht="12.75">
      <c r="B41" s="19"/>
      <c r="C41" s="20" t="s">
        <v>56</v>
      </c>
      <c r="D41" s="22">
        <f>SUM('ANALISIS INGRESOS'!O43)</f>
        <v>259200</v>
      </c>
      <c r="E41" s="22"/>
      <c r="F41" s="22"/>
      <c r="G41" s="22">
        <f t="shared" si="1"/>
        <v>259200</v>
      </c>
    </row>
    <row r="42" spans="2:7" ht="12.75">
      <c r="B42" s="19"/>
      <c r="C42" s="20" t="s">
        <v>57</v>
      </c>
      <c r="D42" s="22">
        <v>6054627</v>
      </c>
      <c r="E42" s="22"/>
      <c r="F42" s="22"/>
      <c r="G42" s="22">
        <f t="shared" si="1"/>
        <v>6054627</v>
      </c>
    </row>
    <row r="43" spans="2:7" ht="12.75">
      <c r="B43" s="19"/>
      <c r="C43" s="20" t="s">
        <v>58</v>
      </c>
      <c r="D43" s="22">
        <v>388800</v>
      </c>
      <c r="E43" s="22"/>
      <c r="F43" s="22"/>
      <c r="G43" s="22">
        <f t="shared" si="1"/>
        <v>388800</v>
      </c>
    </row>
    <row r="44" spans="2:7" ht="12.75">
      <c r="B44" s="19"/>
      <c r="C44" s="20" t="s">
        <v>59</v>
      </c>
      <c r="D44" s="22">
        <f>SUM('ANALISIS INGRESOS'!O46)</f>
        <v>0</v>
      </c>
      <c r="E44" s="22">
        <f>+D44</f>
        <v>0</v>
      </c>
      <c r="F44" s="22"/>
      <c r="G44" s="22"/>
    </row>
    <row r="45" spans="2:7" ht="12.75">
      <c r="B45" s="19"/>
      <c r="C45" s="20" t="s">
        <v>60</v>
      </c>
      <c r="D45" s="22">
        <v>4597773</v>
      </c>
      <c r="E45" s="22"/>
      <c r="F45" s="22"/>
      <c r="G45" s="22">
        <f>+D45</f>
        <v>4597773</v>
      </c>
    </row>
    <row r="46" spans="2:7" ht="12.75">
      <c r="B46" s="19"/>
      <c r="C46" s="20" t="s">
        <v>61</v>
      </c>
      <c r="D46" s="22">
        <v>1916719</v>
      </c>
      <c r="E46" s="22"/>
      <c r="F46" s="22"/>
      <c r="G46" s="22">
        <f>+D46</f>
        <v>1916719</v>
      </c>
    </row>
    <row r="47" spans="2:7" ht="12.75">
      <c r="B47" s="19"/>
      <c r="C47" s="20" t="s">
        <v>204</v>
      </c>
      <c r="D47" s="22"/>
      <c r="E47" s="22"/>
      <c r="F47" s="22"/>
      <c r="G47" s="22">
        <f>+D47</f>
        <v>0</v>
      </c>
    </row>
    <row r="48" spans="2:7" ht="12.75">
      <c r="B48" s="19"/>
      <c r="C48" s="51" t="s">
        <v>284</v>
      </c>
      <c r="D48" s="22">
        <f>SUM('ANALISIS INGRESOS'!O50)</f>
        <v>0</v>
      </c>
      <c r="E48" s="53"/>
      <c r="F48" s="22"/>
      <c r="G48" s="22">
        <f>+D48</f>
        <v>0</v>
      </c>
    </row>
    <row r="49" spans="2:7" ht="12.75">
      <c r="B49" s="239"/>
      <c r="C49" s="170"/>
      <c r="D49" s="287"/>
      <c r="E49" s="287"/>
      <c r="F49" s="271"/>
      <c r="G49" s="271"/>
    </row>
    <row r="50" spans="2:7" ht="12.75">
      <c r="B50" s="57"/>
      <c r="C50" s="51"/>
      <c r="D50" s="53"/>
      <c r="E50" s="53"/>
      <c r="F50" s="53"/>
      <c r="G50" s="53"/>
    </row>
    <row r="51" spans="2:7" ht="12.75">
      <c r="B51" s="57"/>
      <c r="C51" s="51"/>
      <c r="D51" s="53"/>
      <c r="E51" s="53"/>
      <c r="F51" s="53"/>
      <c r="G51" s="53"/>
    </row>
    <row r="52" spans="2:7" ht="12.75">
      <c r="B52" s="240"/>
      <c r="C52" s="170"/>
      <c r="D52" s="287"/>
      <c r="E52" s="287"/>
      <c r="F52" s="287"/>
      <c r="G52" s="287"/>
    </row>
    <row r="53" spans="2:7" ht="12.75">
      <c r="B53" s="19"/>
      <c r="C53" s="285" t="s">
        <v>1</v>
      </c>
      <c r="D53" s="286" t="s">
        <v>5</v>
      </c>
      <c r="E53" s="286" t="s">
        <v>10</v>
      </c>
      <c r="F53" s="286" t="s">
        <v>11</v>
      </c>
      <c r="G53" s="286" t="s">
        <v>12</v>
      </c>
    </row>
    <row r="54" spans="2:7" ht="12.75">
      <c r="B54" s="19"/>
      <c r="C54" s="48"/>
      <c r="D54" s="49" t="s">
        <v>280</v>
      </c>
      <c r="E54" s="49" t="s">
        <v>17</v>
      </c>
      <c r="F54" s="49" t="s">
        <v>18</v>
      </c>
      <c r="G54" s="49" t="s">
        <v>19</v>
      </c>
    </row>
    <row r="55" spans="2:7" ht="12.75">
      <c r="B55" s="19"/>
      <c r="D55" s="281"/>
      <c r="E55" s="282"/>
      <c r="F55" s="22"/>
      <c r="G55" s="22"/>
    </row>
    <row r="56" spans="2:7" ht="12.75">
      <c r="B56" s="13" t="s">
        <v>63</v>
      </c>
      <c r="C56" s="14" t="s">
        <v>64</v>
      </c>
      <c r="D56" s="15">
        <f>SUM(D57:D58)</f>
        <v>0</v>
      </c>
      <c r="E56" s="15">
        <f>SUM(E57:E58)</f>
        <v>0</v>
      </c>
      <c r="F56" s="15">
        <f>SUM(F57:F58)</f>
        <v>0</v>
      </c>
      <c r="G56" s="15">
        <f>SUM(G57:G58)</f>
        <v>0</v>
      </c>
    </row>
    <row r="57" spans="2:7" ht="12.75">
      <c r="B57" s="19"/>
      <c r="C57" s="20" t="s">
        <v>65</v>
      </c>
      <c r="D57" s="21">
        <f>SUM('ANALISIS INGRESOS'!T53)</f>
        <v>0</v>
      </c>
      <c r="E57" s="21"/>
      <c r="F57" s="21"/>
      <c r="G57" s="22">
        <f>+D57</f>
        <v>0</v>
      </c>
    </row>
    <row r="58" spans="2:7" ht="12.75">
      <c r="B58" s="19"/>
      <c r="C58" s="20" t="s">
        <v>66</v>
      </c>
      <c r="D58" s="21">
        <f>SUM('ANALISIS INGRESOS'!T54)</f>
        <v>0</v>
      </c>
      <c r="E58" s="283">
        <f>+D58</f>
        <v>0</v>
      </c>
      <c r="F58" s="21"/>
      <c r="G58" s="22"/>
    </row>
    <row r="59" spans="2:7" ht="12.75">
      <c r="B59" s="19"/>
      <c r="C59" s="20"/>
      <c r="D59" s="283"/>
      <c r="E59" s="283"/>
      <c r="F59" s="283"/>
      <c r="G59" s="284"/>
    </row>
    <row r="60" spans="2:7" ht="12.75">
      <c r="B60" s="13" t="s">
        <v>67</v>
      </c>
      <c r="C60" s="14" t="s">
        <v>282</v>
      </c>
      <c r="D60" s="16">
        <f>SUM(D61:D66)</f>
        <v>3321954109</v>
      </c>
      <c r="E60" s="16">
        <f>SUM(E61:E66)</f>
        <v>2848767904</v>
      </c>
      <c r="F60" s="16">
        <f>SUM(F61:F66)</f>
        <v>0</v>
      </c>
      <c r="G60" s="16">
        <f>SUM(G61:G66)</f>
        <v>357379661</v>
      </c>
    </row>
    <row r="61" spans="2:7" ht="12.75">
      <c r="B61" s="19"/>
      <c r="C61" s="20" t="s">
        <v>69</v>
      </c>
      <c r="D61" s="22">
        <f>SUM('ANALISIS INGRESOS'!O57)</f>
        <v>248704973</v>
      </c>
      <c r="E61" s="22">
        <f>+D61</f>
        <v>248704973</v>
      </c>
      <c r="F61" s="21"/>
      <c r="G61" s="21"/>
    </row>
    <row r="62" spans="2:7" ht="12.75">
      <c r="B62" s="19"/>
      <c r="C62" s="20" t="s">
        <v>70</v>
      </c>
      <c r="D62" s="22">
        <f>SUM('ANALISIS INGRESOS'!O58)</f>
        <v>473186205</v>
      </c>
      <c r="E62" s="22"/>
      <c r="F62" s="22"/>
      <c r="G62" s="22">
        <v>357379661</v>
      </c>
    </row>
    <row r="63" spans="2:7" ht="12.75">
      <c r="B63" s="19"/>
      <c r="C63" s="20" t="s">
        <v>71</v>
      </c>
      <c r="D63" s="22">
        <f>SUM('ANALISIS INGRESOS'!O59)</f>
        <v>402722945</v>
      </c>
      <c r="E63" s="22">
        <f>+D63</f>
        <v>402722945</v>
      </c>
      <c r="F63" s="22"/>
      <c r="G63" s="22"/>
    </row>
    <row r="64" spans="2:7" ht="12.75">
      <c r="B64" s="19"/>
      <c r="C64" s="51" t="s">
        <v>265</v>
      </c>
      <c r="D64" s="22">
        <f>SUM('ANALISIS INGRESOS'!O60)</f>
        <v>1050476458</v>
      </c>
      <c r="E64" s="22">
        <f>+D64</f>
        <v>1050476458</v>
      </c>
      <c r="F64" s="22"/>
      <c r="G64" s="22"/>
    </row>
    <row r="65" spans="2:7" ht="12.75">
      <c r="B65" s="19"/>
      <c r="C65" s="20" t="s">
        <v>72</v>
      </c>
      <c r="D65" s="22">
        <f>SUM('ANALISIS INGRESOS'!O61)</f>
        <v>1095088076</v>
      </c>
      <c r="E65" s="22">
        <f>+D65</f>
        <v>1095088076</v>
      </c>
      <c r="F65" s="22"/>
      <c r="G65" s="22"/>
    </row>
    <row r="66" spans="2:7" ht="12.75">
      <c r="B66" s="19"/>
      <c r="C66" s="20" t="s">
        <v>73</v>
      </c>
      <c r="D66" s="22">
        <f>SUM('ANALISIS INGRESOS'!O62)</f>
        <v>51775452</v>
      </c>
      <c r="E66" s="22">
        <f>+D66</f>
        <v>51775452</v>
      </c>
      <c r="F66" s="22"/>
      <c r="G66" s="22"/>
    </row>
    <row r="67" spans="2:7" ht="12.75">
      <c r="B67" s="19"/>
      <c r="C67" s="20"/>
      <c r="D67" s="22"/>
      <c r="E67" s="22"/>
      <c r="F67" s="22"/>
      <c r="G67" s="22"/>
    </row>
    <row r="68" spans="2:7" s="18" customFormat="1" ht="12.75">
      <c r="B68" s="13">
        <v>2</v>
      </c>
      <c r="C68" s="14" t="s">
        <v>74</v>
      </c>
      <c r="D68" s="15">
        <f>SUM(D69:D69)</f>
        <v>61377832</v>
      </c>
      <c r="E68" s="15">
        <f>SUM(E69:E69)</f>
        <v>61377832</v>
      </c>
      <c r="F68" s="15">
        <f>SUM(F69:F69)</f>
        <v>0</v>
      </c>
      <c r="G68" s="15">
        <f>SUM(G69:G69)</f>
        <v>0</v>
      </c>
    </row>
    <row r="69" spans="2:7" ht="12.75">
      <c r="B69" s="19"/>
      <c r="C69" s="20" t="s">
        <v>75</v>
      </c>
      <c r="D69" s="22">
        <v>61377832</v>
      </c>
      <c r="E69" s="21">
        <f>+D69</f>
        <v>61377832</v>
      </c>
      <c r="F69" s="21"/>
      <c r="G69" s="22"/>
    </row>
    <row r="70" spans="2:7" ht="12.75">
      <c r="B70" s="19"/>
      <c r="C70" s="20"/>
      <c r="D70" s="21"/>
      <c r="E70" s="21"/>
      <c r="F70" s="21"/>
      <c r="G70" s="21"/>
    </row>
    <row r="71" spans="2:7" ht="12.75">
      <c r="B71" s="19"/>
      <c r="C71" s="20"/>
      <c r="D71" s="22"/>
      <c r="E71" s="22"/>
      <c r="F71" s="22"/>
      <c r="G71" s="22"/>
    </row>
    <row r="72" spans="2:7" s="18" customFormat="1" ht="12.75">
      <c r="B72" s="13">
        <v>3</v>
      </c>
      <c r="C72" s="14" t="s">
        <v>76</v>
      </c>
      <c r="D72" s="15">
        <f>SUM(D73:D76)</f>
        <v>2474980021</v>
      </c>
      <c r="E72" s="15">
        <f>SUM(E73:E76)</f>
        <v>0</v>
      </c>
      <c r="F72" s="15">
        <f>SUM(F73:F76)</f>
        <v>12515743</v>
      </c>
      <c r="G72" s="15">
        <f>SUM(G73:G76)</f>
        <v>0</v>
      </c>
    </row>
    <row r="73" spans="2:7" ht="12.75">
      <c r="B73" s="19"/>
      <c r="C73" s="20" t="s">
        <v>77</v>
      </c>
      <c r="D73" s="21">
        <v>2462464278</v>
      </c>
      <c r="E73" s="21"/>
      <c r="F73" s="21"/>
      <c r="G73" s="21"/>
    </row>
    <row r="74" spans="2:7" ht="12.75">
      <c r="B74" s="19"/>
      <c r="C74" s="20" t="s">
        <v>78</v>
      </c>
      <c r="D74" s="21">
        <f>SUM('ANALISIS INGRESOS'!O80)</f>
        <v>12515743</v>
      </c>
      <c r="E74" s="21"/>
      <c r="F74" s="21">
        <f>D74</f>
        <v>12515743</v>
      </c>
      <c r="G74" s="21"/>
    </row>
    <row r="75" spans="2:7" ht="12.75">
      <c r="B75" s="19"/>
      <c r="C75" s="20" t="s">
        <v>86</v>
      </c>
      <c r="D75" s="21">
        <f>SUM('ANALISIS INGRESOS'!T82)</f>
        <v>0</v>
      </c>
      <c r="E75" s="21"/>
      <c r="F75" s="21">
        <f>D75</f>
        <v>0</v>
      </c>
      <c r="G75" s="21"/>
    </row>
    <row r="76" spans="2:7" ht="12.75">
      <c r="B76" s="19"/>
      <c r="C76" s="20" t="s">
        <v>80</v>
      </c>
      <c r="D76" s="21">
        <f>SUM('ANALISIS INGRESOS'!T85)</f>
        <v>0</v>
      </c>
      <c r="E76" s="21"/>
      <c r="F76" s="21">
        <f>D76</f>
        <v>0</v>
      </c>
      <c r="G76" s="21"/>
    </row>
    <row r="77" spans="2:7" ht="12.75">
      <c r="B77" s="19"/>
      <c r="C77" s="20"/>
      <c r="D77" s="22"/>
      <c r="E77" s="21">
        <f>F77</f>
        <v>0</v>
      </c>
      <c r="F77" s="22"/>
      <c r="G77" s="22"/>
    </row>
    <row r="78" spans="2:7" s="37" customFormat="1" ht="12.75">
      <c r="B78" s="32"/>
      <c r="C78" s="33" t="s">
        <v>81</v>
      </c>
      <c r="D78" s="35">
        <f>SUM(D3+D72)</f>
        <v>6540482612</v>
      </c>
      <c r="E78" s="35">
        <f>SUM(E3+E72)</f>
        <v>3079587594</v>
      </c>
      <c r="F78" s="35">
        <f>SUM(F3+F72)</f>
        <v>12515743</v>
      </c>
      <c r="G78" s="35">
        <f>SUM(G3+G68+G72)</f>
        <v>870108453</v>
      </c>
    </row>
    <row r="79" spans="2:7" s="37" customFormat="1" ht="12.75" hidden="1">
      <c r="B79" s="38" t="s">
        <v>82</v>
      </c>
      <c r="C79" s="39"/>
      <c r="D79" s="42"/>
      <c r="E79" s="42"/>
      <c r="F79" s="42"/>
      <c r="G79" s="42"/>
    </row>
    <row r="80" spans="2:7" s="37" customFormat="1" ht="12.75" hidden="1">
      <c r="B80" s="44" t="s">
        <v>83</v>
      </c>
      <c r="C80" s="39"/>
      <c r="D80" s="42"/>
      <c r="E80" s="42"/>
      <c r="F80" s="42"/>
      <c r="G80" s="42"/>
    </row>
    <row r="81" spans="2:7" s="37" customFormat="1" ht="12.75">
      <c r="B81" s="44"/>
      <c r="C81" s="39"/>
      <c r="D81" s="42"/>
      <c r="E81" s="42"/>
      <c r="F81" s="42"/>
      <c r="G81" s="42"/>
    </row>
    <row r="82" spans="2:7" s="37" customFormat="1" ht="14.25">
      <c r="B82" s="44"/>
      <c r="C82" s="39"/>
      <c r="D82" s="50" t="s">
        <v>87</v>
      </c>
      <c r="E82" s="42"/>
      <c r="F82" s="42"/>
      <c r="G82" s="42"/>
    </row>
    <row r="83" spans="2:7" s="37" customFormat="1" ht="12.75">
      <c r="B83" s="44"/>
      <c r="C83" s="39"/>
      <c r="D83" s="42"/>
      <c r="E83" s="42"/>
      <c r="F83" s="42"/>
      <c r="G83" s="42"/>
    </row>
    <row r="84" spans="2:8" s="37" customFormat="1" ht="12.75">
      <c r="B84" s="51" t="s">
        <v>315</v>
      </c>
      <c r="C84" s="52"/>
      <c r="D84" s="53"/>
      <c r="E84" s="53"/>
      <c r="F84" s="53"/>
      <c r="G84" s="53">
        <f>+G78*0.8</f>
        <v>696086762.4000001</v>
      </c>
      <c r="H84" s="54"/>
    </row>
    <row r="85" spans="2:7" s="37" customFormat="1" ht="12.75">
      <c r="B85" s="55" t="s">
        <v>314</v>
      </c>
      <c r="C85" s="52"/>
      <c r="D85" s="53"/>
      <c r="E85" s="53"/>
      <c r="F85" s="53"/>
      <c r="G85" s="53">
        <f>SUM(PROYENOMINA!V44)</f>
        <v>75908170.80000001</v>
      </c>
    </row>
    <row r="86" spans="2:8" s="37" customFormat="1" ht="12.75">
      <c r="B86" s="51" t="s">
        <v>304</v>
      </c>
      <c r="C86" s="52"/>
      <c r="D86" s="53"/>
      <c r="E86" s="53"/>
      <c r="F86" s="53"/>
      <c r="G86" s="53">
        <f>+G78*0.015</f>
        <v>13051626.795</v>
      </c>
      <c r="H86" s="53"/>
    </row>
    <row r="87" spans="2:8" s="37" customFormat="1" ht="12.75">
      <c r="B87" s="51" t="s">
        <v>88</v>
      </c>
      <c r="C87" s="52"/>
      <c r="D87" s="53"/>
      <c r="E87" s="53"/>
      <c r="F87" s="53"/>
      <c r="G87" s="53">
        <f>+G85+G86</f>
        <v>88959797.59500001</v>
      </c>
      <c r="H87" s="54"/>
    </row>
    <row r="88" spans="2:7" s="37" customFormat="1" ht="12.75">
      <c r="B88" s="51" t="s">
        <v>89</v>
      </c>
      <c r="C88" s="52"/>
      <c r="D88" s="53"/>
      <c r="E88" s="53"/>
      <c r="F88" s="53"/>
      <c r="G88" s="53">
        <f>+(433700*1.05)*150</f>
        <v>68307750</v>
      </c>
    </row>
    <row r="89" spans="2:7" s="37" customFormat="1" ht="12.75">
      <c r="B89" s="55" t="s">
        <v>319</v>
      </c>
      <c r="C89" s="52"/>
      <c r="D89" s="53"/>
      <c r="E89" s="53"/>
      <c r="F89" s="53"/>
      <c r="G89" s="53">
        <f>SUM(E69:E69)+E8+E15+E17+E19+E20+E44+E31+E32+H91</f>
        <v>232697051.45</v>
      </c>
    </row>
    <row r="90" spans="2:7" s="37" customFormat="1" ht="12.75">
      <c r="B90" s="51" t="s">
        <v>316</v>
      </c>
      <c r="C90" s="52"/>
      <c r="D90" s="53"/>
      <c r="E90" s="53"/>
      <c r="F90" s="53"/>
      <c r="G90" s="53">
        <f>+G78*0.2</f>
        <v>174021690.60000002</v>
      </c>
    </row>
    <row r="91" spans="2:8" s="37" customFormat="1" ht="12.75">
      <c r="B91" s="51" t="s">
        <v>90</v>
      </c>
      <c r="C91" s="52"/>
      <c r="D91" s="53"/>
      <c r="E91" s="53"/>
      <c r="F91" s="53"/>
      <c r="G91" s="53">
        <f>SUM(F74:F76)-H91+1</f>
        <v>10638382.55</v>
      </c>
      <c r="H91" s="56">
        <f>F78*0.15</f>
        <v>1877361.45</v>
      </c>
    </row>
    <row r="92" spans="2:7" s="37" customFormat="1" ht="12.75">
      <c r="B92" s="51" t="s">
        <v>91</v>
      </c>
      <c r="C92" s="52"/>
      <c r="D92" s="53"/>
      <c r="E92" s="53"/>
      <c r="F92" s="53"/>
      <c r="G92" s="53">
        <f>+E58</f>
        <v>0</v>
      </c>
    </row>
    <row r="93" spans="2:7" s="37" customFormat="1" ht="12.75">
      <c r="B93" s="51" t="s">
        <v>164</v>
      </c>
      <c r="C93" s="52"/>
      <c r="D93" s="53"/>
      <c r="E93" s="53"/>
      <c r="F93" s="53"/>
      <c r="G93" s="53">
        <f>E61+E63+E64+E65+E66</f>
        <v>2848767904</v>
      </c>
    </row>
    <row r="94" spans="2:7" ht="12.75">
      <c r="B94" s="57" t="s">
        <v>92</v>
      </c>
      <c r="C94" s="51"/>
      <c r="D94" s="53"/>
      <c r="E94" s="53"/>
      <c r="F94" s="53"/>
      <c r="G94" s="237">
        <f>G90+G91+G92+G93-1</f>
        <v>3033427976.15</v>
      </c>
    </row>
    <row r="95" spans="2:7" ht="12.75">
      <c r="B95" s="57"/>
      <c r="C95" s="51"/>
      <c r="D95" s="53"/>
      <c r="E95" s="53"/>
      <c r="F95" s="53"/>
      <c r="G95" s="53"/>
    </row>
    <row r="96" spans="2:7" ht="12.75">
      <c r="B96" s="51" t="s">
        <v>93</v>
      </c>
      <c r="C96" s="51"/>
      <c r="D96" s="53"/>
      <c r="E96" s="53"/>
      <c r="F96" s="53"/>
      <c r="G96" s="53">
        <f>+G84-G87-G88</f>
        <v>538819214.8050001</v>
      </c>
    </row>
    <row r="98" ht="12.75">
      <c r="G98" t="s">
        <v>267</v>
      </c>
    </row>
    <row r="100" ht="12.75">
      <c r="C100" s="37"/>
    </row>
  </sheetData>
  <printOptions/>
  <pageMargins left="0.11811023622047245" right="0.11811023622047245" top="1.7322834645669292" bottom="0.7874015748031497" header="0.3937007874015748" footer="0.1968503937007874"/>
  <pageSetup horizontalDpi="120" verticalDpi="120" orientation="portrait" paperSize="128" scale="96" r:id="rId1"/>
  <headerFooter alignWithMargins="0">
    <oddHeader>&amp;CDEPARTAMENTO DE VICHADA
ALCALDIA MUNICIPIO DE PUERTO CARREÑO
INGRESOS 2007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00"/>
  <sheetViews>
    <sheetView workbookViewId="0" topLeftCell="A66">
      <selection activeCell="G78" sqref="G78"/>
    </sheetView>
  </sheetViews>
  <sheetFormatPr defaultColWidth="11.421875" defaultRowHeight="12.75"/>
  <cols>
    <col min="1" max="1" width="2.57421875" style="0" customWidth="1"/>
    <col min="2" max="2" width="6.00390625" style="0" customWidth="1"/>
    <col min="3" max="3" width="35.7109375" style="0" customWidth="1"/>
    <col min="4" max="4" width="13.421875" style="0" customWidth="1"/>
    <col min="5" max="5" width="12.8515625" style="0" customWidth="1"/>
    <col min="6" max="7" width="14.8515625" style="0" customWidth="1"/>
    <col min="8" max="8" width="12.140625" style="0" bestFit="1" customWidth="1"/>
  </cols>
  <sheetData>
    <row r="1" spans="2:7" s="6" customFormat="1" ht="12.75">
      <c r="B1" s="45" t="s">
        <v>0</v>
      </c>
      <c r="C1" s="46" t="s">
        <v>1</v>
      </c>
      <c r="D1" s="47" t="s">
        <v>5</v>
      </c>
      <c r="E1" s="47" t="s">
        <v>10</v>
      </c>
      <c r="F1" s="47" t="s">
        <v>11</v>
      </c>
      <c r="G1" s="47" t="s">
        <v>12</v>
      </c>
    </row>
    <row r="2" spans="2:7" s="6" customFormat="1" ht="12.75">
      <c r="B2" s="7"/>
      <c r="C2" s="48"/>
      <c r="D2" s="49" t="s">
        <v>308</v>
      </c>
      <c r="E2" s="49" t="s">
        <v>17</v>
      </c>
      <c r="F2" s="49" t="s">
        <v>18</v>
      </c>
      <c r="G2" s="49" t="s">
        <v>19</v>
      </c>
    </row>
    <row r="3" spans="2:7" s="18" customFormat="1" ht="12.75">
      <c r="B3" s="13">
        <v>1</v>
      </c>
      <c r="C3" s="14" t="s">
        <v>20</v>
      </c>
      <c r="D3" s="16">
        <f>SUM(D5+D34)</f>
        <v>4148981883</v>
      </c>
      <c r="E3" s="16">
        <f>SUM(E5+E34)</f>
        <v>3087591278</v>
      </c>
      <c r="F3" s="16">
        <f>SUM(F5+F34)</f>
        <v>0</v>
      </c>
      <c r="G3" s="16">
        <f>SUM(G5+G34)</f>
        <v>1063307324</v>
      </c>
    </row>
    <row r="4" spans="2:7" ht="12.75">
      <c r="B4" s="19"/>
      <c r="C4" s="20"/>
      <c r="D4" s="22"/>
      <c r="E4" s="22"/>
      <c r="F4" s="22"/>
      <c r="G4" s="22"/>
    </row>
    <row r="5" spans="2:7" s="28" customFormat="1" ht="12.75">
      <c r="B5" s="24">
        <v>1.1</v>
      </c>
      <c r="C5" s="25" t="s">
        <v>21</v>
      </c>
      <c r="D5" s="26">
        <f>SUM(D6+D12)</f>
        <v>724325040</v>
      </c>
      <c r="E5" s="26">
        <f>SUM(E6+E12)</f>
        <v>173153040</v>
      </c>
      <c r="F5" s="26">
        <f>SUM(F6+F12)</f>
        <v>0</v>
      </c>
      <c r="G5" s="26">
        <f>SUM(G6+G12)</f>
        <v>553088719</v>
      </c>
    </row>
    <row r="6" spans="2:7" ht="12.75">
      <c r="B6" s="13" t="s">
        <v>22</v>
      </c>
      <c r="C6" s="14" t="s">
        <v>23</v>
      </c>
      <c r="D6" s="16">
        <f>SUM(D7:D10)</f>
        <v>230776000</v>
      </c>
      <c r="E6" s="16">
        <f>SUM(E7:E10)</f>
        <v>33440000</v>
      </c>
      <c r="F6" s="16">
        <f>SUM(F7:F10)</f>
        <v>0</v>
      </c>
      <c r="G6" s="16">
        <f>SUM(G7:G10)</f>
        <v>197336000</v>
      </c>
    </row>
    <row r="7" spans="2:7" ht="12.75">
      <c r="B7" s="19">
        <v>11101</v>
      </c>
      <c r="C7" s="20" t="s">
        <v>24</v>
      </c>
      <c r="D7" s="22">
        <f>SUM('ANALISIS INGRESOS'!O8)</f>
        <v>195000000</v>
      </c>
      <c r="E7" s="22"/>
      <c r="F7" s="22"/>
      <c r="G7" s="22">
        <f>+D7</f>
        <v>195000000</v>
      </c>
    </row>
    <row r="8" spans="2:7" ht="12.75">
      <c r="B8" s="19">
        <v>11102</v>
      </c>
      <c r="C8" s="20" t="s">
        <v>25</v>
      </c>
      <c r="D8" s="22">
        <f>SUM('ANALISIS INGRESOS'!O9)</f>
        <v>33440000</v>
      </c>
      <c r="E8" s="22">
        <f>+D8</f>
        <v>33440000</v>
      </c>
      <c r="F8" s="22"/>
      <c r="G8" s="22"/>
    </row>
    <row r="9" spans="2:7" ht="12.75">
      <c r="B9" s="19">
        <v>11103</v>
      </c>
      <c r="C9" s="20" t="s">
        <v>26</v>
      </c>
      <c r="D9" s="22">
        <f>SUM('ANALISIS INGRESOS'!O10)</f>
        <v>1500000</v>
      </c>
      <c r="E9" s="22"/>
      <c r="F9" s="22"/>
      <c r="G9" s="22">
        <f>+D9</f>
        <v>1500000</v>
      </c>
    </row>
    <row r="10" spans="2:7" ht="12.75">
      <c r="B10" s="19">
        <v>11104</v>
      </c>
      <c r="C10" s="20" t="s">
        <v>27</v>
      </c>
      <c r="D10" s="22">
        <f>SUM('ANALISIS INGRESOS'!O11)</f>
        <v>836000</v>
      </c>
      <c r="E10" s="22"/>
      <c r="F10" s="22"/>
      <c r="G10" s="22">
        <f>+D10</f>
        <v>836000</v>
      </c>
    </row>
    <row r="11" spans="2:7" ht="12.75">
      <c r="B11" s="19"/>
      <c r="C11" s="256"/>
      <c r="D11" s="22"/>
      <c r="E11" s="22"/>
      <c r="F11" s="22"/>
      <c r="G11" s="22"/>
    </row>
    <row r="12" spans="2:7" ht="12.75">
      <c r="B12" s="13" t="s">
        <v>28</v>
      </c>
      <c r="C12" s="14" t="s">
        <v>29</v>
      </c>
      <c r="D12" s="16">
        <f>SUM(D13:D32)</f>
        <v>493549040</v>
      </c>
      <c r="E12" s="16">
        <f>SUM(E13:E32)</f>
        <v>139713040</v>
      </c>
      <c r="F12" s="16">
        <f>SUM(F13:F32)</f>
        <v>0</v>
      </c>
      <c r="G12" s="16">
        <f>SUM(G13:G32)</f>
        <v>355752719</v>
      </c>
    </row>
    <row r="13" spans="2:7" ht="12.75">
      <c r="B13" s="19"/>
      <c r="C13" s="20" t="s">
        <v>30</v>
      </c>
      <c r="D13" s="22">
        <f>SUM('ANALISIS INGRESOS'!O14)</f>
        <v>217000000</v>
      </c>
      <c r="E13" s="22"/>
      <c r="F13" s="22"/>
      <c r="G13" s="22">
        <f>+D13</f>
        <v>217000000</v>
      </c>
    </row>
    <row r="14" spans="2:7" ht="12.75">
      <c r="B14" s="19"/>
      <c r="C14" s="20" t="s">
        <v>31</v>
      </c>
      <c r="D14" s="22">
        <f>SUM('ANALISIS INGRESOS'!O15)</f>
        <v>26500000</v>
      </c>
      <c r="E14" s="22"/>
      <c r="F14" s="22"/>
      <c r="G14" s="22">
        <f>+D14</f>
        <v>26500000</v>
      </c>
    </row>
    <row r="15" spans="2:6" ht="12.75">
      <c r="B15" s="19"/>
      <c r="C15" s="20" t="s">
        <v>32</v>
      </c>
      <c r="D15" s="22">
        <f>SUM('ANALISIS INGRESOS'!O16)</f>
        <v>6000000</v>
      </c>
      <c r="E15" s="22">
        <f>+D15</f>
        <v>6000000</v>
      </c>
      <c r="F15" s="22"/>
    </row>
    <row r="16" spans="2:7" ht="12.75">
      <c r="B16" s="19"/>
      <c r="C16" s="20" t="s">
        <v>33</v>
      </c>
      <c r="D16" s="22">
        <f>SUM('ANALISIS INGRESOS'!O17)</f>
        <v>83000000</v>
      </c>
      <c r="F16" s="22"/>
      <c r="G16" s="22">
        <f>+D16</f>
        <v>83000000</v>
      </c>
    </row>
    <row r="17" spans="2:7" ht="12.75">
      <c r="B17" s="19"/>
      <c r="C17" s="20" t="s">
        <v>34</v>
      </c>
      <c r="D17" s="22">
        <f>SUM('ANALISIS INGRESOS'!O18)</f>
        <v>3113040</v>
      </c>
      <c r="E17" s="22">
        <f>+D17</f>
        <v>3113040</v>
      </c>
      <c r="F17" s="22"/>
      <c r="G17" s="22"/>
    </row>
    <row r="18" spans="2:7" ht="12.75">
      <c r="B18" s="19"/>
      <c r="C18" s="20" t="s">
        <v>35</v>
      </c>
      <c r="D18" s="22">
        <f>SUM('ANALISIS INGRESOS'!O19)</f>
        <v>0</v>
      </c>
      <c r="E18" s="22">
        <f>+D18</f>
        <v>0</v>
      </c>
      <c r="F18" s="22"/>
      <c r="G18" s="22"/>
    </row>
    <row r="19" spans="2:7" ht="12.75">
      <c r="B19" s="19"/>
      <c r="C19" s="20" t="s">
        <v>36</v>
      </c>
      <c r="D19" s="22">
        <f>SUM('ANALISIS INGRESOS'!O20)</f>
        <v>0</v>
      </c>
      <c r="E19" s="22">
        <f>+D19</f>
        <v>0</v>
      </c>
      <c r="F19" s="22"/>
      <c r="G19" s="22"/>
    </row>
    <row r="20" spans="2:7" ht="12.75">
      <c r="B20" s="19"/>
      <c r="C20" s="20" t="s">
        <v>37</v>
      </c>
      <c r="D20" s="22">
        <f>SUM('ANALISIS INGRESOS'!O21)</f>
        <v>600000</v>
      </c>
      <c r="E20" s="22">
        <f>+D20</f>
        <v>600000</v>
      </c>
      <c r="F20" s="22"/>
      <c r="G20" s="22"/>
    </row>
    <row r="21" spans="2:7" ht="12.75">
      <c r="B21" s="19"/>
      <c r="C21" s="20" t="s">
        <v>38</v>
      </c>
      <c r="D21" s="22">
        <f>SUM('ANALISIS INGRESOS'!O22)</f>
        <v>1000000</v>
      </c>
      <c r="E21" s="22"/>
      <c r="F21" s="22"/>
      <c r="G21" s="22">
        <f aca="true" t="shared" si="0" ref="G21:G29">+D21</f>
        <v>1000000</v>
      </c>
    </row>
    <row r="22" spans="2:7" ht="12.75">
      <c r="B22" s="19"/>
      <c r="C22" s="20" t="s">
        <v>39</v>
      </c>
      <c r="D22" s="22">
        <f>SUM('ANALISIS INGRESOS'!O23)</f>
        <v>1500000</v>
      </c>
      <c r="E22" s="22"/>
      <c r="F22" s="22"/>
      <c r="G22" s="22">
        <f t="shared" si="0"/>
        <v>1500000</v>
      </c>
    </row>
    <row r="23" spans="2:7" ht="12.75">
      <c r="B23" s="19"/>
      <c r="C23" s="20" t="s">
        <v>40</v>
      </c>
      <c r="D23" s="22">
        <f>SUM('ANALISIS INGRESOS'!O24)</f>
        <v>0</v>
      </c>
      <c r="E23" s="22"/>
      <c r="F23" s="22"/>
      <c r="G23" s="22">
        <f t="shared" si="0"/>
        <v>0</v>
      </c>
    </row>
    <row r="24" spans="2:7" ht="12.75">
      <c r="B24" s="19"/>
      <c r="C24" s="20" t="s">
        <v>41</v>
      </c>
      <c r="D24" s="22">
        <f>SUM('ANALISIS INGRESOS'!O25)</f>
        <v>836000</v>
      </c>
      <c r="E24" s="22"/>
      <c r="F24" s="22"/>
      <c r="G24" s="22">
        <f t="shared" si="0"/>
        <v>836000</v>
      </c>
    </row>
    <row r="25" spans="2:7" ht="12.75">
      <c r="B25" s="19"/>
      <c r="C25" s="20" t="s">
        <v>42</v>
      </c>
      <c r="D25" s="22">
        <f>SUM('ANALISIS INGRESOS'!O26)</f>
        <v>24000000</v>
      </c>
      <c r="E25" s="22"/>
      <c r="F25" s="22"/>
      <c r="G25" s="22">
        <f t="shared" si="0"/>
        <v>24000000</v>
      </c>
    </row>
    <row r="26" spans="2:7" ht="12.75">
      <c r="B26" s="19"/>
      <c r="C26" s="20" t="s">
        <v>43</v>
      </c>
      <c r="D26" s="22">
        <f>SUM('ANALISIS INGRESOS'!O27)</f>
        <v>0</v>
      </c>
      <c r="E26" s="22"/>
      <c r="F26" s="22"/>
      <c r="G26" s="22">
        <f t="shared" si="0"/>
        <v>0</v>
      </c>
    </row>
    <row r="27" spans="2:7" ht="12.75">
      <c r="B27" s="19"/>
      <c r="C27" s="20" t="s">
        <v>44</v>
      </c>
      <c r="D27" s="22">
        <f>SUM('ANALISIS INGRESOS'!O28)</f>
        <v>0</v>
      </c>
      <c r="E27" s="22"/>
      <c r="F27" s="22"/>
      <c r="G27" s="22">
        <f t="shared" si="0"/>
        <v>0</v>
      </c>
    </row>
    <row r="28" spans="2:7" ht="12.75">
      <c r="B28" s="19"/>
      <c r="C28" s="20" t="s">
        <v>45</v>
      </c>
      <c r="D28" s="22">
        <f>SUM('ANALISIS INGRESOS'!O29)</f>
        <v>0</v>
      </c>
      <c r="E28" s="22"/>
      <c r="F28" s="22"/>
      <c r="G28" s="22">
        <f t="shared" si="0"/>
        <v>0</v>
      </c>
    </row>
    <row r="29" spans="2:7" ht="12.75">
      <c r="B29" s="19"/>
      <c r="C29" s="20" t="s">
        <v>46</v>
      </c>
      <c r="D29" s="22">
        <f>SUM('ANALISIS INGRESOS'!O30)</f>
        <v>0</v>
      </c>
      <c r="E29" s="22"/>
      <c r="F29" s="22"/>
      <c r="G29" s="22">
        <f t="shared" si="0"/>
        <v>0</v>
      </c>
    </row>
    <row r="30" spans="2:7" ht="12.75">
      <c r="B30" s="19"/>
      <c r="C30" s="20" t="s">
        <v>47</v>
      </c>
      <c r="D30" s="22"/>
      <c r="E30" s="22"/>
      <c r="F30" s="22"/>
      <c r="G30" s="22">
        <v>1916719</v>
      </c>
    </row>
    <row r="31" spans="2:7" ht="12.75">
      <c r="B31" s="19"/>
      <c r="C31" s="20" t="s">
        <v>266</v>
      </c>
      <c r="D31" s="22">
        <f>SUM('ANALISIS INGRESOS'!O33)</f>
        <v>58000000</v>
      </c>
      <c r="E31" s="22">
        <f>+D31</f>
        <v>58000000</v>
      </c>
      <c r="F31" s="22"/>
      <c r="G31" s="22"/>
    </row>
    <row r="32" spans="2:7" ht="12.75">
      <c r="B32" s="19"/>
      <c r="C32" s="20" t="s">
        <v>279</v>
      </c>
      <c r="D32" s="22">
        <f>SUM('ANALISIS INGRESOS'!O34)</f>
        <v>72000000</v>
      </c>
      <c r="E32" s="22">
        <f>+D32</f>
        <v>72000000</v>
      </c>
      <c r="F32" s="21"/>
      <c r="G32" s="21"/>
    </row>
    <row r="33" spans="2:7" ht="12.75">
      <c r="B33" s="19"/>
      <c r="C33" s="20"/>
      <c r="D33" s="22"/>
      <c r="E33" s="22"/>
      <c r="F33" s="21"/>
      <c r="G33" s="21"/>
    </row>
    <row r="34" spans="2:7" s="28" customFormat="1" ht="12.75">
      <c r="B34" s="24">
        <v>1.2</v>
      </c>
      <c r="C34" s="25" t="s">
        <v>48</v>
      </c>
      <c r="D34" s="26">
        <f>SUM(D35+D56+D60+D68)</f>
        <v>3424656843</v>
      </c>
      <c r="E34" s="26">
        <f>SUM(E35+E56+E60+E68)</f>
        <v>2914438238</v>
      </c>
      <c r="F34" s="26">
        <f>SUM(F35+F56+F60+F68)</f>
        <v>0</v>
      </c>
      <c r="G34" s="26">
        <f>SUM(G35+G56+G60+G68)</f>
        <v>510218605</v>
      </c>
    </row>
    <row r="35" spans="2:7" ht="12.75">
      <c r="B35" s="13" t="s">
        <v>49</v>
      </c>
      <c r="C35" s="14" t="s">
        <v>50</v>
      </c>
      <c r="D35" s="16">
        <f>SUM(D36:D48)</f>
        <v>37032400</v>
      </c>
      <c r="E35" s="16">
        <f>SUM(E36:E48)</f>
        <v>0</v>
      </c>
      <c r="F35" s="16">
        <f>SUM(F36:F48)</f>
        <v>0</v>
      </c>
      <c r="G35" s="16">
        <f>SUM(G36:G48)</f>
        <v>37032400</v>
      </c>
    </row>
    <row r="36" spans="2:7" ht="12.75">
      <c r="B36" s="19"/>
      <c r="C36" s="20" t="s">
        <v>51</v>
      </c>
      <c r="D36" s="22">
        <f>SUM('ANALISIS INGRESOS'!T38)</f>
        <v>0</v>
      </c>
      <c r="E36" s="22"/>
      <c r="F36" s="22"/>
      <c r="G36" s="22">
        <f aca="true" t="shared" si="1" ref="G36:G43">+D36</f>
        <v>0</v>
      </c>
    </row>
    <row r="37" spans="2:7" ht="12.75">
      <c r="B37" s="19"/>
      <c r="C37" s="20" t="s">
        <v>52</v>
      </c>
      <c r="D37" s="22">
        <f>SUM('ANALISIS INGRESOS'!O39)</f>
        <v>8000000</v>
      </c>
      <c r="E37" s="22"/>
      <c r="F37" s="22"/>
      <c r="G37" s="22">
        <f t="shared" si="1"/>
        <v>8000000</v>
      </c>
    </row>
    <row r="38" spans="2:7" ht="12.75">
      <c r="B38" s="19"/>
      <c r="C38" s="20" t="s">
        <v>53</v>
      </c>
      <c r="D38" s="22">
        <f>SUM('ANALISIS INGRESOS'!O40)</f>
        <v>0</v>
      </c>
      <c r="E38" s="22"/>
      <c r="F38" s="22"/>
      <c r="G38" s="22">
        <f t="shared" si="1"/>
        <v>0</v>
      </c>
    </row>
    <row r="39" spans="2:7" ht="12.75">
      <c r="B39" s="19"/>
      <c r="C39" s="20" t="s">
        <v>313</v>
      </c>
      <c r="D39" s="22">
        <f>SUM('ANALISIS INGRESOS'!O41)</f>
        <v>14839000</v>
      </c>
      <c r="E39" s="22"/>
      <c r="F39" s="22"/>
      <c r="G39" s="22">
        <f t="shared" si="1"/>
        <v>14839000</v>
      </c>
    </row>
    <row r="40" spans="2:7" ht="12.75">
      <c r="B40" s="19"/>
      <c r="C40" s="20" t="s">
        <v>55</v>
      </c>
      <c r="D40" s="22">
        <f>SUM('ANALISIS INGRESOS'!O42)</f>
        <v>245400</v>
      </c>
      <c r="E40" s="22"/>
      <c r="F40" s="22"/>
      <c r="G40" s="22">
        <f t="shared" si="1"/>
        <v>245400</v>
      </c>
    </row>
    <row r="41" spans="2:7" ht="12.75">
      <c r="B41" s="19"/>
      <c r="C41" s="20" t="s">
        <v>56</v>
      </c>
      <c r="D41" s="22">
        <f>SUM('ANALISIS INGRESOS'!O43)</f>
        <v>259200</v>
      </c>
      <c r="E41" s="22"/>
      <c r="F41" s="22"/>
      <c r="G41" s="22">
        <f t="shared" si="1"/>
        <v>259200</v>
      </c>
    </row>
    <row r="42" spans="2:7" ht="12.75">
      <c r="B42" s="19"/>
      <c r="C42" s="20" t="s">
        <v>57</v>
      </c>
      <c r="D42" s="22">
        <f>SUM('ANALISIS INGRESOS'!O44)</f>
        <v>6500000</v>
      </c>
      <c r="E42" s="22"/>
      <c r="F42" s="22"/>
      <c r="G42" s="22">
        <f t="shared" si="1"/>
        <v>6500000</v>
      </c>
    </row>
    <row r="43" spans="2:7" ht="12.75">
      <c r="B43" s="19"/>
      <c r="C43" s="20" t="s">
        <v>58</v>
      </c>
      <c r="D43" s="22">
        <f>SUM('ANALISIS INGRESOS'!O45)</f>
        <v>388800</v>
      </c>
      <c r="E43" s="22"/>
      <c r="F43" s="22"/>
      <c r="G43" s="22">
        <f t="shared" si="1"/>
        <v>388800</v>
      </c>
    </row>
    <row r="44" spans="2:7" ht="12.75">
      <c r="B44" s="19"/>
      <c r="C44" s="20" t="s">
        <v>59</v>
      </c>
      <c r="D44" s="22">
        <f>SUM('ANALISIS INGRESOS'!O46)</f>
        <v>0</v>
      </c>
      <c r="E44" s="22">
        <f>+D44</f>
        <v>0</v>
      </c>
      <c r="F44" s="22"/>
      <c r="G44" s="22"/>
    </row>
    <row r="45" spans="2:7" ht="12.75">
      <c r="B45" s="19"/>
      <c r="C45" s="20" t="s">
        <v>60</v>
      </c>
      <c r="D45" s="22">
        <f>SUM('ANALISIS INGRESOS'!O47)</f>
        <v>4800000</v>
      </c>
      <c r="E45" s="22"/>
      <c r="F45" s="22"/>
      <c r="G45" s="22">
        <f>+D45</f>
        <v>4800000</v>
      </c>
    </row>
    <row r="46" spans="2:7" ht="12.75">
      <c r="B46" s="19"/>
      <c r="C46" s="20" t="s">
        <v>61</v>
      </c>
      <c r="D46" s="22">
        <f>SUM('ANALISIS INGRESOS'!O48)</f>
        <v>0</v>
      </c>
      <c r="E46" s="22"/>
      <c r="F46" s="22"/>
      <c r="G46" s="22">
        <f>+D46</f>
        <v>0</v>
      </c>
    </row>
    <row r="47" spans="2:7" ht="12.75">
      <c r="B47" s="19"/>
      <c r="C47" s="20" t="s">
        <v>204</v>
      </c>
      <c r="D47" s="22">
        <f>SUM('ANALISIS INGRESOS'!O49)</f>
        <v>2000000</v>
      </c>
      <c r="E47" s="22"/>
      <c r="F47" s="22"/>
      <c r="G47" s="22">
        <f>+D47</f>
        <v>2000000</v>
      </c>
    </row>
    <row r="48" spans="2:7" ht="12.75">
      <c r="B48" s="19"/>
      <c r="C48" s="51" t="s">
        <v>284</v>
      </c>
      <c r="D48" s="22">
        <f>SUM('ANALISIS INGRESOS'!O50)</f>
        <v>0</v>
      </c>
      <c r="E48" s="53"/>
      <c r="F48" s="22"/>
      <c r="G48" s="22">
        <f>+D48</f>
        <v>0</v>
      </c>
    </row>
    <row r="49" spans="2:7" ht="12.75">
      <c r="B49" s="239"/>
      <c r="C49" s="170"/>
      <c r="D49" s="287"/>
      <c r="E49" s="287"/>
      <c r="F49" s="271"/>
      <c r="G49" s="271"/>
    </row>
    <row r="50" spans="2:7" ht="12.75">
      <c r="B50" s="57"/>
      <c r="C50" s="51"/>
      <c r="D50" s="53"/>
      <c r="E50" s="53"/>
      <c r="F50" s="53"/>
      <c r="G50" s="53"/>
    </row>
    <row r="51" spans="2:7" ht="12.75">
      <c r="B51" s="57"/>
      <c r="C51" s="51"/>
      <c r="D51" s="53"/>
      <c r="E51" s="53"/>
      <c r="F51" s="53"/>
      <c r="G51" s="53"/>
    </row>
    <row r="52" spans="2:7" ht="12.75">
      <c r="B52" s="240"/>
      <c r="C52" s="170"/>
      <c r="D52" s="287"/>
      <c r="E52" s="287"/>
      <c r="F52" s="287"/>
      <c r="G52" s="287"/>
    </row>
    <row r="53" spans="2:7" ht="12.75">
      <c r="B53" s="19"/>
      <c r="C53" s="285" t="s">
        <v>1</v>
      </c>
      <c r="D53" s="286" t="s">
        <v>5</v>
      </c>
      <c r="E53" s="286" t="s">
        <v>10</v>
      </c>
      <c r="F53" s="286" t="s">
        <v>11</v>
      </c>
      <c r="G53" s="286" t="s">
        <v>12</v>
      </c>
    </row>
    <row r="54" spans="2:7" ht="12.75">
      <c r="B54" s="19"/>
      <c r="C54" s="48"/>
      <c r="D54" s="49" t="s">
        <v>280</v>
      </c>
      <c r="E54" s="49" t="s">
        <v>17</v>
      </c>
      <c r="F54" s="49" t="s">
        <v>18</v>
      </c>
      <c r="G54" s="49" t="s">
        <v>19</v>
      </c>
    </row>
    <row r="55" spans="2:7" ht="12.75">
      <c r="B55" s="19"/>
      <c r="D55" s="281"/>
      <c r="E55" s="282"/>
      <c r="F55" s="22"/>
      <c r="G55" s="22"/>
    </row>
    <row r="56" spans="2:7" ht="12.75">
      <c r="B56" s="13" t="s">
        <v>63</v>
      </c>
      <c r="C56" s="14" t="s">
        <v>64</v>
      </c>
      <c r="D56" s="15">
        <f>SUM(D57:D58)</f>
        <v>0</v>
      </c>
      <c r="E56" s="15">
        <f>SUM(E57:E58)</f>
        <v>0</v>
      </c>
      <c r="F56" s="15">
        <f>SUM(F57:F58)</f>
        <v>0</v>
      </c>
      <c r="G56" s="15">
        <f>SUM(G57:G58)</f>
        <v>0</v>
      </c>
    </row>
    <row r="57" spans="2:7" ht="12.75">
      <c r="B57" s="19"/>
      <c r="C57" s="20" t="s">
        <v>65</v>
      </c>
      <c r="D57" s="21">
        <f>SUM('ANALISIS INGRESOS'!T53)</f>
        <v>0</v>
      </c>
      <c r="E57" s="21"/>
      <c r="F57" s="21"/>
      <c r="G57" s="22">
        <f>+D57</f>
        <v>0</v>
      </c>
    </row>
    <row r="58" spans="2:7" ht="12.75">
      <c r="B58" s="19"/>
      <c r="C58" s="20" t="s">
        <v>66</v>
      </c>
      <c r="D58" s="21">
        <f>SUM('ANALISIS INGRESOS'!T54)</f>
        <v>0</v>
      </c>
      <c r="E58" s="283">
        <f>+D58</f>
        <v>0</v>
      </c>
      <c r="F58" s="21"/>
      <c r="G58" s="22"/>
    </row>
    <row r="59" spans="2:7" ht="12.75">
      <c r="B59" s="19"/>
      <c r="C59" s="20"/>
      <c r="D59" s="283"/>
      <c r="E59" s="283"/>
      <c r="F59" s="283"/>
      <c r="G59" s="284"/>
    </row>
    <row r="60" spans="2:7" ht="12.75">
      <c r="B60" s="13" t="s">
        <v>67</v>
      </c>
      <c r="C60" s="14" t="s">
        <v>282</v>
      </c>
      <c r="D60" s="16">
        <f>SUM(D61:D66)</f>
        <v>3321954109</v>
      </c>
      <c r="E60" s="16">
        <f>SUM(E61:E66)</f>
        <v>2848767904</v>
      </c>
      <c r="F60" s="16">
        <f>SUM(F61:F66)</f>
        <v>0</v>
      </c>
      <c r="G60" s="16">
        <f>SUM(G61:G66)</f>
        <v>473186205</v>
      </c>
    </row>
    <row r="61" spans="2:7" ht="12.75">
      <c r="B61" s="19"/>
      <c r="C61" s="20" t="s">
        <v>69</v>
      </c>
      <c r="D61" s="22">
        <f>SUM('ANALISIS INGRESOS'!O57)</f>
        <v>248704973</v>
      </c>
      <c r="E61" s="22">
        <f>+D61</f>
        <v>248704973</v>
      </c>
      <c r="F61" s="21"/>
      <c r="G61" s="21"/>
    </row>
    <row r="62" spans="2:7" ht="12.75">
      <c r="B62" s="19"/>
      <c r="C62" s="20" t="s">
        <v>70</v>
      </c>
      <c r="D62" s="22">
        <f>SUM('ANALISIS INGRESOS'!O58)</f>
        <v>473186205</v>
      </c>
      <c r="E62" s="22"/>
      <c r="F62" s="22"/>
      <c r="G62" s="22">
        <f>D62</f>
        <v>473186205</v>
      </c>
    </row>
    <row r="63" spans="2:7" ht="12.75">
      <c r="B63" s="19"/>
      <c r="C63" s="20" t="s">
        <v>71</v>
      </c>
      <c r="D63" s="22">
        <f>SUM('ANALISIS INGRESOS'!O59)</f>
        <v>402722945</v>
      </c>
      <c r="E63" s="22">
        <f>+D63</f>
        <v>402722945</v>
      </c>
      <c r="F63" s="22"/>
      <c r="G63" s="22"/>
    </row>
    <row r="64" spans="2:7" ht="12.75">
      <c r="B64" s="19"/>
      <c r="C64" s="51" t="s">
        <v>265</v>
      </c>
      <c r="D64" s="22">
        <f>SUM('ANALISIS INGRESOS'!O60)</f>
        <v>1050476458</v>
      </c>
      <c r="E64" s="22">
        <f>+D64</f>
        <v>1050476458</v>
      </c>
      <c r="F64" s="22"/>
      <c r="G64" s="22"/>
    </row>
    <row r="65" spans="2:7" ht="12.75">
      <c r="B65" s="19"/>
      <c r="C65" s="20" t="s">
        <v>72</v>
      </c>
      <c r="D65" s="22">
        <f>SUM('ANALISIS INGRESOS'!O61)</f>
        <v>1095088076</v>
      </c>
      <c r="E65" s="22">
        <f>+D65</f>
        <v>1095088076</v>
      </c>
      <c r="F65" s="22"/>
      <c r="G65" s="22"/>
    </row>
    <row r="66" spans="2:7" ht="12.75">
      <c r="B66" s="19"/>
      <c r="C66" s="20" t="s">
        <v>73</v>
      </c>
      <c r="D66" s="22">
        <f>SUM('ANALISIS INGRESOS'!O62)</f>
        <v>51775452</v>
      </c>
      <c r="E66" s="22">
        <f>+D66</f>
        <v>51775452</v>
      </c>
      <c r="F66" s="22"/>
      <c r="G66" s="22"/>
    </row>
    <row r="67" spans="2:7" ht="12.75">
      <c r="B67" s="19"/>
      <c r="C67" s="20"/>
      <c r="D67" s="22"/>
      <c r="E67" s="22"/>
      <c r="F67" s="22"/>
      <c r="G67" s="22"/>
    </row>
    <row r="68" spans="2:7" s="18" customFormat="1" ht="12.75">
      <c r="B68" s="13">
        <v>2</v>
      </c>
      <c r="C68" s="14" t="s">
        <v>74</v>
      </c>
      <c r="D68" s="15">
        <f>SUM(D69:D69)</f>
        <v>65670334</v>
      </c>
      <c r="E68" s="15">
        <f>SUM(E69:E69)</f>
        <v>65670334</v>
      </c>
      <c r="F68" s="15">
        <f>SUM(F69:F69)</f>
        <v>0</v>
      </c>
      <c r="G68" s="15">
        <f>SUM(G69:G69)</f>
        <v>0</v>
      </c>
    </row>
    <row r="69" spans="2:7" ht="12.75">
      <c r="B69" s="19"/>
      <c r="C69" s="20" t="s">
        <v>75</v>
      </c>
      <c r="D69" s="22">
        <f>SUM('ANALISIS INGRESOS'!O70)</f>
        <v>65670334</v>
      </c>
      <c r="E69" s="21">
        <f>+D69</f>
        <v>65670334</v>
      </c>
      <c r="F69" s="21"/>
      <c r="G69" s="22"/>
    </row>
    <row r="70" spans="2:7" ht="12.75">
      <c r="B70" s="19"/>
      <c r="C70" s="20"/>
      <c r="D70" s="21"/>
      <c r="E70" s="21"/>
      <c r="F70" s="21"/>
      <c r="G70" s="21"/>
    </row>
    <row r="71" spans="2:7" ht="12.75">
      <c r="B71" s="19"/>
      <c r="C71" s="20"/>
      <c r="D71" s="22"/>
      <c r="E71" s="22"/>
      <c r="F71" s="22"/>
      <c r="G71" s="22"/>
    </row>
    <row r="72" spans="2:7" s="18" customFormat="1" ht="12.75">
      <c r="B72" s="13">
        <v>3</v>
      </c>
      <c r="C72" s="14" t="s">
        <v>76</v>
      </c>
      <c r="D72" s="15">
        <f>SUM(D73:D76)</f>
        <v>2474980021</v>
      </c>
      <c r="E72" s="15">
        <f>SUM(E73:E76)</f>
        <v>0</v>
      </c>
      <c r="F72" s="15">
        <f>SUM(F73:F76)</f>
        <v>12515743</v>
      </c>
      <c r="G72" s="15">
        <f>SUM(G73:G76)</f>
        <v>0</v>
      </c>
    </row>
    <row r="73" spans="2:7" ht="12.75">
      <c r="B73" s="19"/>
      <c r="C73" s="20" t="s">
        <v>77</v>
      </c>
      <c r="D73" s="21">
        <v>2462464278</v>
      </c>
      <c r="E73" s="21"/>
      <c r="F73" s="21"/>
      <c r="G73" s="21"/>
    </row>
    <row r="74" spans="2:7" ht="12.75">
      <c r="B74" s="19"/>
      <c r="C74" s="20" t="s">
        <v>78</v>
      </c>
      <c r="D74" s="21">
        <f>SUM('ANALISIS INGRESOS'!O80)</f>
        <v>12515743</v>
      </c>
      <c r="E74" s="21"/>
      <c r="F74" s="21">
        <f>D74</f>
        <v>12515743</v>
      </c>
      <c r="G74" s="21"/>
    </row>
    <row r="75" spans="2:7" ht="12.75">
      <c r="B75" s="19"/>
      <c r="C75" s="20" t="s">
        <v>86</v>
      </c>
      <c r="D75" s="21">
        <f>SUM('ANALISIS INGRESOS'!T82)</f>
        <v>0</v>
      </c>
      <c r="E75" s="21"/>
      <c r="F75" s="21">
        <f>D75</f>
        <v>0</v>
      </c>
      <c r="G75" s="21"/>
    </row>
    <row r="76" spans="2:7" ht="12.75">
      <c r="B76" s="19"/>
      <c r="C76" s="20" t="s">
        <v>80</v>
      </c>
      <c r="D76" s="21">
        <f>SUM('ANALISIS INGRESOS'!T85)</f>
        <v>0</v>
      </c>
      <c r="E76" s="21"/>
      <c r="F76" s="21">
        <f>D76</f>
        <v>0</v>
      </c>
      <c r="G76" s="21"/>
    </row>
    <row r="77" spans="2:7" ht="12.75">
      <c r="B77" s="19"/>
      <c r="C77" s="20"/>
      <c r="D77" s="22"/>
      <c r="E77" s="21">
        <f>F77</f>
        <v>0</v>
      </c>
      <c r="F77" s="22"/>
      <c r="G77" s="22"/>
    </row>
    <row r="78" spans="2:7" s="37" customFormat="1" ht="12.75">
      <c r="B78" s="32"/>
      <c r="C78" s="33" t="s">
        <v>81</v>
      </c>
      <c r="D78" s="35">
        <f>SUM(D3+D72)</f>
        <v>6623961904</v>
      </c>
      <c r="E78" s="35">
        <f>SUM(E3+E72)</f>
        <v>3087591278</v>
      </c>
      <c r="F78" s="35">
        <f>SUM(F3+F72)</f>
        <v>12515743</v>
      </c>
      <c r="G78" s="35">
        <f>SUM(G3+G68+G72)</f>
        <v>1063307324</v>
      </c>
    </row>
    <row r="79" spans="2:7" s="37" customFormat="1" ht="12.75" hidden="1">
      <c r="B79" s="38" t="s">
        <v>82</v>
      </c>
      <c r="C79" s="39"/>
      <c r="D79" s="42"/>
      <c r="E79" s="42"/>
      <c r="F79" s="42"/>
      <c r="G79" s="42"/>
    </row>
    <row r="80" spans="2:7" s="37" customFormat="1" ht="12.75" hidden="1">
      <c r="B80" s="44" t="s">
        <v>83</v>
      </c>
      <c r="C80" s="39"/>
      <c r="D80" s="42"/>
      <c r="E80" s="42"/>
      <c r="F80" s="42"/>
      <c r="G80" s="42"/>
    </row>
    <row r="81" spans="2:7" s="37" customFormat="1" ht="12.75">
      <c r="B81" s="44"/>
      <c r="C81" s="39"/>
      <c r="D81" s="42"/>
      <c r="E81" s="42"/>
      <c r="F81" s="42"/>
      <c r="G81" s="42"/>
    </row>
    <row r="82" spans="2:7" s="37" customFormat="1" ht="14.25">
      <c r="B82" s="44"/>
      <c r="C82" s="39"/>
      <c r="D82" s="50" t="s">
        <v>87</v>
      </c>
      <c r="E82" s="42"/>
      <c r="F82" s="42"/>
      <c r="G82" s="42"/>
    </row>
    <row r="83" spans="2:7" s="37" customFormat="1" ht="12.75">
      <c r="B83" s="44"/>
      <c r="C83" s="39"/>
      <c r="D83" s="42"/>
      <c r="E83" s="42"/>
      <c r="F83" s="42"/>
      <c r="G83" s="42"/>
    </row>
    <row r="84" spans="2:8" s="37" customFormat="1" ht="12.75">
      <c r="B84" s="51" t="s">
        <v>315</v>
      </c>
      <c r="C84" s="52"/>
      <c r="D84" s="53"/>
      <c r="E84" s="53"/>
      <c r="F84" s="53"/>
      <c r="G84" s="53">
        <f>+G78*0.8</f>
        <v>850645859.2</v>
      </c>
      <c r="H84" s="54"/>
    </row>
    <row r="85" spans="2:7" s="37" customFormat="1" ht="12.75">
      <c r="B85" s="55" t="s">
        <v>314</v>
      </c>
      <c r="C85" s="52"/>
      <c r="D85" s="53"/>
      <c r="E85" s="53"/>
      <c r="F85" s="53"/>
      <c r="G85" s="53">
        <f>SUM(PROYENOMINA!V44)</f>
        <v>75908170.80000001</v>
      </c>
    </row>
    <row r="86" spans="2:8" s="37" customFormat="1" ht="12.75">
      <c r="B86" s="51" t="s">
        <v>304</v>
      </c>
      <c r="C86" s="52"/>
      <c r="D86" s="53"/>
      <c r="E86" s="53"/>
      <c r="F86" s="53"/>
      <c r="G86" s="53">
        <f>+G78*0.015</f>
        <v>15949609.86</v>
      </c>
      <c r="H86" s="53"/>
    </row>
    <row r="87" spans="2:8" s="37" customFormat="1" ht="12.75">
      <c r="B87" s="51" t="s">
        <v>88</v>
      </c>
      <c r="C87" s="52"/>
      <c r="D87" s="53"/>
      <c r="E87" s="53"/>
      <c r="F87" s="53"/>
      <c r="G87" s="53">
        <f>+G85+G86</f>
        <v>91857780.66000001</v>
      </c>
      <c r="H87" s="54"/>
    </row>
    <row r="88" spans="2:7" s="37" customFormat="1" ht="12.75">
      <c r="B88" s="51" t="s">
        <v>89</v>
      </c>
      <c r="C88" s="52"/>
      <c r="D88" s="53"/>
      <c r="E88" s="53"/>
      <c r="F88" s="53"/>
      <c r="G88" s="53">
        <f>+(433700*1.05)*150</f>
        <v>68307750</v>
      </c>
    </row>
    <row r="89" spans="2:7" s="37" customFormat="1" ht="12.75">
      <c r="B89" s="55" t="s">
        <v>319</v>
      </c>
      <c r="C89" s="52"/>
      <c r="D89" s="53"/>
      <c r="E89" s="53"/>
      <c r="F89" s="53"/>
      <c r="G89" s="53">
        <f>SUM(E69:E69)+E8+E15+E17+E19+E20+E44+E31+E32+H91</f>
        <v>240700735.45</v>
      </c>
    </row>
    <row r="90" spans="2:7" s="37" customFormat="1" ht="12.75">
      <c r="B90" s="51" t="s">
        <v>316</v>
      </c>
      <c r="C90" s="52"/>
      <c r="D90" s="53"/>
      <c r="E90" s="53"/>
      <c r="F90" s="53"/>
      <c r="G90" s="53">
        <f>+G78*0.2</f>
        <v>212661464.8</v>
      </c>
    </row>
    <row r="91" spans="2:8" s="37" customFormat="1" ht="12.75">
      <c r="B91" s="51" t="s">
        <v>90</v>
      </c>
      <c r="C91" s="52"/>
      <c r="D91" s="53"/>
      <c r="E91" s="53"/>
      <c r="F91" s="53"/>
      <c r="G91" s="53">
        <f>SUM(F74:F76)-H91+1</f>
        <v>10638382.55</v>
      </c>
      <c r="H91" s="56">
        <f>F78*0.15</f>
        <v>1877361.45</v>
      </c>
    </row>
    <row r="92" spans="2:7" s="37" customFormat="1" ht="12.75">
      <c r="B92" s="51" t="s">
        <v>91</v>
      </c>
      <c r="C92" s="52"/>
      <c r="D92" s="53"/>
      <c r="E92" s="53"/>
      <c r="F92" s="53"/>
      <c r="G92" s="53">
        <f>+E58</f>
        <v>0</v>
      </c>
    </row>
    <row r="93" spans="2:7" s="37" customFormat="1" ht="12.75">
      <c r="B93" s="51" t="s">
        <v>164</v>
      </c>
      <c r="C93" s="52"/>
      <c r="D93" s="53"/>
      <c r="E93" s="53"/>
      <c r="F93" s="53"/>
      <c r="G93" s="53">
        <f>E61+E63+E64+E65+E66</f>
        <v>2848767904</v>
      </c>
    </row>
    <row r="94" spans="2:7" ht="12.75">
      <c r="B94" s="57" t="s">
        <v>92</v>
      </c>
      <c r="C94" s="51"/>
      <c r="D94" s="53"/>
      <c r="E94" s="53"/>
      <c r="F94" s="53"/>
      <c r="G94" s="237">
        <f>G90+G91+G92+G93-1</f>
        <v>3072067750.35</v>
      </c>
    </row>
    <row r="95" spans="2:7" ht="12.75">
      <c r="B95" s="57"/>
      <c r="C95" s="51"/>
      <c r="D95" s="53"/>
      <c r="E95" s="53"/>
      <c r="F95" s="53"/>
      <c r="G95" s="53"/>
    </row>
    <row r="96" spans="2:7" ht="12.75">
      <c r="B96" s="51" t="s">
        <v>93</v>
      </c>
      <c r="C96" s="51"/>
      <c r="D96" s="53"/>
      <c r="E96" s="53"/>
      <c r="F96" s="53"/>
      <c r="G96" s="53">
        <f>+G84-G87-G88</f>
        <v>690480328.5400001</v>
      </c>
    </row>
    <row r="98" ht="12.75">
      <c r="G98" t="s">
        <v>267</v>
      </c>
    </row>
    <row r="100" ht="12.75">
      <c r="C100" s="37"/>
    </row>
  </sheetData>
  <printOptions/>
  <pageMargins left="0.11811023622047245" right="0.11811023622047245" top="1.7322834645669292" bottom="0.7874015748031497" header="0.3937007874015748" footer="0.1968503937007874"/>
  <pageSetup horizontalDpi="120" verticalDpi="120" orientation="portrait" paperSize="128" scale="96" r:id="rId1"/>
  <headerFooter alignWithMargins="0">
    <oddHeader>&amp;CDEPARTAMENTO DE VICHADA
ALCALDIA MUNICIPIO DE PUERTO CARREÑO
INGRESOS 2007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Z1065"/>
  <sheetViews>
    <sheetView workbookViewId="0" topLeftCell="B1">
      <pane xSplit="1" ySplit="1" topLeftCell="R41" activePane="bottomRight" state="frozen"/>
      <selection pane="topLeft" activeCell="B1" sqref="B1"/>
      <selection pane="topRight" activeCell="C1" sqref="C1"/>
      <selection pane="bottomLeft" activeCell="B2" sqref="B2"/>
      <selection pane="bottomRight" activeCell="T56" sqref="T56"/>
    </sheetView>
  </sheetViews>
  <sheetFormatPr defaultColWidth="11.421875" defaultRowHeight="12.75"/>
  <cols>
    <col min="1" max="1" width="8.140625" style="0" customWidth="1"/>
    <col min="2" max="2" width="28.00390625" style="0" customWidth="1"/>
    <col min="3" max="3" width="14.421875" style="0" customWidth="1"/>
    <col min="4" max="4" width="14.57421875" style="0" customWidth="1"/>
    <col min="5" max="7" width="14.421875" style="0" customWidth="1"/>
    <col min="9" max="11" width="10.00390625" style="0" customWidth="1"/>
    <col min="13" max="14" width="16.421875" style="0" customWidth="1"/>
    <col min="15" max="15" width="15.28125" style="0" customWidth="1"/>
    <col min="16" max="16" width="9.00390625" style="0" customWidth="1"/>
    <col min="17" max="17" width="10.57421875" style="0" customWidth="1"/>
    <col min="19" max="19" width="9.140625" style="0" customWidth="1"/>
    <col min="20" max="20" width="13.421875" style="0" customWidth="1"/>
    <col min="21" max="21" width="14.8515625" style="0" hidden="1" customWidth="1"/>
    <col min="22" max="22" width="11.421875" style="0" hidden="1" customWidth="1"/>
    <col min="23" max="23" width="0.13671875" style="0" hidden="1" customWidth="1"/>
    <col min="24" max="24" width="11.421875" style="0" hidden="1" customWidth="1"/>
  </cols>
  <sheetData>
    <row r="3" spans="1:23" s="6" customFormat="1" ht="12.75">
      <c r="A3" s="1" t="s">
        <v>0</v>
      </c>
      <c r="B3" s="2" t="s">
        <v>1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264</v>
      </c>
      <c r="I3" s="2" t="s">
        <v>3</v>
      </c>
      <c r="J3" s="2" t="s">
        <v>3</v>
      </c>
      <c r="K3" s="2" t="s">
        <v>3</v>
      </c>
      <c r="L3" s="2" t="s">
        <v>4</v>
      </c>
      <c r="M3" s="3" t="s">
        <v>5</v>
      </c>
      <c r="N3" s="3" t="s">
        <v>6</v>
      </c>
      <c r="O3" s="3" t="s">
        <v>7</v>
      </c>
      <c r="P3" s="4" t="s">
        <v>8</v>
      </c>
      <c r="Q3" s="2" t="s">
        <v>3</v>
      </c>
      <c r="R3" s="2" t="s">
        <v>9</v>
      </c>
      <c r="S3" s="2" t="s">
        <v>84</v>
      </c>
      <c r="T3" s="3" t="s">
        <v>5</v>
      </c>
      <c r="U3" s="5" t="s">
        <v>10</v>
      </c>
      <c r="V3" s="5" t="s">
        <v>11</v>
      </c>
      <c r="W3" s="5" t="s">
        <v>12</v>
      </c>
    </row>
    <row r="4" spans="1:23" s="6" customFormat="1" ht="12.75">
      <c r="A4" s="7"/>
      <c r="B4" s="8"/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 t="s">
        <v>301</v>
      </c>
      <c r="I4" s="9" t="s">
        <v>302</v>
      </c>
      <c r="J4" s="9" t="s">
        <v>303</v>
      </c>
      <c r="K4" s="9" t="s">
        <v>307</v>
      </c>
      <c r="L4" s="9" t="s">
        <v>13</v>
      </c>
      <c r="M4" s="10" t="s">
        <v>308</v>
      </c>
      <c r="N4" s="10" t="s">
        <v>309</v>
      </c>
      <c r="O4" s="10" t="s">
        <v>310</v>
      </c>
      <c r="P4" s="11" t="s">
        <v>14</v>
      </c>
      <c r="Q4" s="9" t="s">
        <v>311</v>
      </c>
      <c r="R4" s="9" t="s">
        <v>16</v>
      </c>
      <c r="S4" s="9" t="s">
        <v>85</v>
      </c>
      <c r="T4" s="10" t="s">
        <v>312</v>
      </c>
      <c r="U4" s="12" t="s">
        <v>17</v>
      </c>
      <c r="V4" s="12" t="s">
        <v>18</v>
      </c>
      <c r="W4" s="12" t="s">
        <v>19</v>
      </c>
    </row>
    <row r="5" spans="1:23" s="18" customFormat="1" ht="12.75">
      <c r="A5" s="218">
        <v>1</v>
      </c>
      <c r="B5" s="233" t="s">
        <v>20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  <c r="N5" s="216"/>
      <c r="O5" s="216"/>
      <c r="P5" s="217"/>
      <c r="Q5" s="217"/>
      <c r="R5" s="217"/>
      <c r="S5" s="217"/>
      <c r="T5" s="215"/>
      <c r="U5" s="17"/>
      <c r="V5" s="17"/>
      <c r="W5" s="17"/>
    </row>
    <row r="6" spans="1:23" s="28" customFormat="1" ht="12.75">
      <c r="A6" s="223">
        <v>1.1</v>
      </c>
      <c r="B6" s="241" t="s">
        <v>21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5"/>
      <c r="N6" s="226"/>
      <c r="O6" s="227"/>
      <c r="P6" s="228"/>
      <c r="Q6" s="228"/>
      <c r="R6" s="228"/>
      <c r="S6" s="228"/>
      <c r="T6" s="225"/>
      <c r="U6" s="27"/>
      <c r="V6" s="27"/>
      <c r="W6" s="27"/>
    </row>
    <row r="7" spans="1:23" ht="12.75">
      <c r="A7" s="218" t="s">
        <v>22</v>
      </c>
      <c r="B7" s="233" t="s">
        <v>23</v>
      </c>
      <c r="C7" s="211">
        <f aca="true" t="shared" si="0" ref="C7:L7">SUM(C8:C11)</f>
        <v>169111701</v>
      </c>
      <c r="D7" s="211">
        <f t="shared" si="0"/>
        <v>109483635</v>
      </c>
      <c r="E7" s="211">
        <f t="shared" si="0"/>
        <v>148431622</v>
      </c>
      <c r="F7" s="211">
        <f t="shared" si="0"/>
        <v>264452489</v>
      </c>
      <c r="G7" s="211">
        <f t="shared" si="0"/>
        <v>276915799</v>
      </c>
      <c r="H7" s="211">
        <f t="shared" si="0"/>
        <v>988.6379772046818</v>
      </c>
      <c r="I7" s="211">
        <f t="shared" si="0"/>
        <v>146.31938680932672</v>
      </c>
      <c r="J7" s="211">
        <f t="shared" si="0"/>
        <v>183.56194313234872</v>
      </c>
      <c r="K7" s="211">
        <f t="shared" si="0"/>
        <v>-29.264714334781218</v>
      </c>
      <c r="L7" s="211">
        <f t="shared" si="0"/>
        <v>257.8509185623152</v>
      </c>
      <c r="M7" s="211">
        <f aca="true" t="shared" si="1" ref="M7:S7">SUM(M8:M11)</f>
        <v>214137541</v>
      </c>
      <c r="N7" s="211">
        <f t="shared" si="1"/>
        <v>184734968</v>
      </c>
      <c r="O7" s="211">
        <f t="shared" si="1"/>
        <v>230776000</v>
      </c>
      <c r="P7" s="211">
        <f t="shared" si="1"/>
        <v>4.396055983946876</v>
      </c>
      <c r="Q7" s="211">
        <f t="shared" si="1"/>
        <v>-3.0560997043713085</v>
      </c>
      <c r="R7" s="211">
        <f t="shared" si="1"/>
        <v>263.09264148839713</v>
      </c>
      <c r="S7" s="211">
        <f t="shared" si="1"/>
        <v>3.455504342472853</v>
      </c>
      <c r="T7" s="211">
        <f>SUM(T8:T11)</f>
        <v>233160533.46782207</v>
      </c>
      <c r="U7" s="23"/>
      <c r="V7" s="23"/>
      <c r="W7" s="23"/>
    </row>
    <row r="8" spans="1:23" ht="12.75">
      <c r="A8" s="218">
        <v>11101</v>
      </c>
      <c r="B8" s="219" t="s">
        <v>24</v>
      </c>
      <c r="C8" s="290">
        <v>134039255</v>
      </c>
      <c r="D8" s="291">
        <v>85006648</v>
      </c>
      <c r="E8" s="291">
        <v>120740103</v>
      </c>
      <c r="F8" s="291">
        <v>223783948</v>
      </c>
      <c r="G8" s="291">
        <v>241549725</v>
      </c>
      <c r="H8" s="230">
        <f aca="true" t="shared" si="2" ref="H8:K11">SUM((D8/C8)-1)*100</f>
        <v>-36.58078150314995</v>
      </c>
      <c r="I8" s="230">
        <f t="shared" si="2"/>
        <v>42.036071108226736</v>
      </c>
      <c r="J8" s="230">
        <f t="shared" si="2"/>
        <v>85.34351258587216</v>
      </c>
      <c r="K8" s="230">
        <f t="shared" si="2"/>
        <v>7.938807568092421</v>
      </c>
      <c r="L8" s="230">
        <f>SUM(H8+I8+J8+K8)/5</f>
        <v>19.747521951808274</v>
      </c>
      <c r="M8" s="220">
        <v>178712041</v>
      </c>
      <c r="N8" s="212">
        <v>151624763</v>
      </c>
      <c r="O8" s="309">
        <v>195000000</v>
      </c>
      <c r="P8" s="222">
        <f>+O8/M8</f>
        <v>1.0911408034336085</v>
      </c>
      <c r="Q8" s="230">
        <f>SUM((O8/G8)-1)*100</f>
        <v>-19.271280478584686</v>
      </c>
      <c r="R8" s="230">
        <f>SUM(H8+I8+J8+Q8)/5</f>
        <v>14.305504342472853</v>
      </c>
      <c r="S8" s="230">
        <f>SUM(R8-14)</f>
        <v>0.30550434247285274</v>
      </c>
      <c r="T8" s="220">
        <f>SUM(O8*S8)/100+(O8)</f>
        <v>195595733.46782207</v>
      </c>
      <c r="U8" s="23"/>
      <c r="V8" s="23"/>
      <c r="W8" s="23">
        <f>+T8</f>
        <v>195595733.46782207</v>
      </c>
    </row>
    <row r="9" spans="1:23" ht="12.75">
      <c r="A9" s="218">
        <v>11102</v>
      </c>
      <c r="B9" s="219" t="s">
        <v>25</v>
      </c>
      <c r="C9" s="291">
        <v>33769962</v>
      </c>
      <c r="D9" s="291">
        <v>17871091</v>
      </c>
      <c r="E9" s="291">
        <v>24553395</v>
      </c>
      <c r="F9" s="291">
        <v>35979914</v>
      </c>
      <c r="G9" s="291">
        <v>33217572</v>
      </c>
      <c r="H9" s="230">
        <f t="shared" si="2"/>
        <v>-47.079919722740584</v>
      </c>
      <c r="I9" s="230">
        <f t="shared" si="2"/>
        <v>37.3916958959025</v>
      </c>
      <c r="J9" s="230">
        <f t="shared" si="2"/>
        <v>46.53742995622399</v>
      </c>
      <c r="K9" s="230">
        <f t="shared" si="2"/>
        <v>-7.677455816042256</v>
      </c>
      <c r="L9" s="230">
        <f>SUM(H9+I9+J9+K9)/5</f>
        <v>5.83435006266873</v>
      </c>
      <c r="M9" s="220">
        <v>33440000</v>
      </c>
      <c r="N9" s="212">
        <v>31237515</v>
      </c>
      <c r="O9" s="309">
        <v>33440000</v>
      </c>
      <c r="P9" s="222">
        <f>+O9/M9</f>
        <v>1</v>
      </c>
      <c r="Q9" s="230">
        <f>SUM((O9/G9)-1)*100</f>
        <v>0.6696094464700764</v>
      </c>
      <c r="R9" s="230">
        <f>SUM(H9+I9+J9+Q9)/5</f>
        <v>7.503763115171196</v>
      </c>
      <c r="S9" s="306">
        <v>1.05</v>
      </c>
      <c r="T9" s="220">
        <f>O9*S9</f>
        <v>35112000</v>
      </c>
      <c r="U9" s="23">
        <f>+T9</f>
        <v>35112000</v>
      </c>
      <c r="V9" s="23"/>
      <c r="W9" s="23"/>
    </row>
    <row r="10" spans="1:23" ht="12.75">
      <c r="A10" s="218">
        <v>11103</v>
      </c>
      <c r="B10" s="219" t="s">
        <v>26</v>
      </c>
      <c r="C10" s="291">
        <v>813260</v>
      </c>
      <c r="D10" s="291">
        <v>957496</v>
      </c>
      <c r="E10" s="291">
        <v>2436548</v>
      </c>
      <c r="F10" s="291">
        <v>4104833</v>
      </c>
      <c r="G10" s="291">
        <v>1344502</v>
      </c>
      <c r="H10" s="230">
        <f t="shared" si="2"/>
        <v>17.735533531711866</v>
      </c>
      <c r="I10" s="230">
        <f t="shared" si="2"/>
        <v>154.47082807656636</v>
      </c>
      <c r="J10" s="230">
        <f t="shared" si="2"/>
        <v>68.46920315134362</v>
      </c>
      <c r="K10" s="230">
        <f t="shared" si="2"/>
        <v>-67.24587821234141</v>
      </c>
      <c r="L10" s="230">
        <f>SUM(H10+I10+J10+K10)/5</f>
        <v>34.685937309456094</v>
      </c>
      <c r="M10" s="220">
        <v>1149500</v>
      </c>
      <c r="N10" s="212">
        <v>1444690</v>
      </c>
      <c r="O10" s="309">
        <v>1500000</v>
      </c>
      <c r="P10" s="222">
        <f>+O10/M10</f>
        <v>1.3049151805132666</v>
      </c>
      <c r="Q10" s="230">
        <f>SUM((O10/G10)-1)*100</f>
        <v>11.565471825255734</v>
      </c>
      <c r="R10" s="230">
        <f>SUM(H10+I10+J10+Q10)/5</f>
        <v>50.44820731697552</v>
      </c>
      <c r="S10" s="306">
        <v>1.05</v>
      </c>
      <c r="T10" s="220">
        <f>O10*S10</f>
        <v>1575000</v>
      </c>
      <c r="U10" s="23"/>
      <c r="V10" s="23"/>
      <c r="W10" s="23">
        <f>+T10</f>
        <v>1575000</v>
      </c>
    </row>
    <row r="11" spans="1:23" ht="12.75">
      <c r="A11" s="218">
        <v>11104</v>
      </c>
      <c r="B11" s="219" t="s">
        <v>27</v>
      </c>
      <c r="C11" s="291">
        <v>489224</v>
      </c>
      <c r="D11" s="291">
        <v>5648400</v>
      </c>
      <c r="E11" s="291">
        <v>701576</v>
      </c>
      <c r="F11" s="291">
        <v>583794</v>
      </c>
      <c r="G11" s="291">
        <v>804000</v>
      </c>
      <c r="H11" s="230">
        <f t="shared" si="2"/>
        <v>1054.5631448988604</v>
      </c>
      <c r="I11" s="230">
        <f t="shared" si="2"/>
        <v>-87.57920827136888</v>
      </c>
      <c r="J11" s="230">
        <f t="shared" si="2"/>
        <v>-16.788202561091026</v>
      </c>
      <c r="K11" s="230">
        <f t="shared" si="2"/>
        <v>37.71981212551003</v>
      </c>
      <c r="L11" s="230">
        <f>SUM(H11+I11+J11+K11)/5</f>
        <v>197.58310923838212</v>
      </c>
      <c r="M11" s="220">
        <v>836000</v>
      </c>
      <c r="N11" s="212">
        <v>428000</v>
      </c>
      <c r="O11" s="309">
        <v>836000</v>
      </c>
      <c r="P11" s="222">
        <f>+O11/M11</f>
        <v>1</v>
      </c>
      <c r="Q11" s="230">
        <f>SUM((O11/G11)-1)*100</f>
        <v>3.9800995024875663</v>
      </c>
      <c r="R11" s="230">
        <f>SUM(H11+I11+J11+Q11)/5</f>
        <v>190.8351667137776</v>
      </c>
      <c r="S11" s="306">
        <v>1.05</v>
      </c>
      <c r="T11" s="220">
        <f>O11*S11</f>
        <v>877800</v>
      </c>
      <c r="U11" s="23"/>
      <c r="V11" s="23"/>
      <c r="W11" s="23">
        <f>+T11</f>
        <v>877800</v>
      </c>
    </row>
    <row r="12" spans="1:23" ht="12.75">
      <c r="A12" s="218"/>
      <c r="B12" s="219"/>
      <c r="C12" s="229"/>
      <c r="D12" s="229"/>
      <c r="E12" s="229"/>
      <c r="F12" s="229"/>
      <c r="G12" s="229"/>
      <c r="H12" s="230"/>
      <c r="I12" s="230"/>
      <c r="J12" s="230"/>
      <c r="K12" s="230"/>
      <c r="L12" s="230">
        <f>SUM(H12+I12)/3</f>
        <v>0</v>
      </c>
      <c r="M12" s="220"/>
      <c r="N12" s="221"/>
      <c r="O12" s="309"/>
      <c r="P12" s="222"/>
      <c r="Q12" s="222"/>
      <c r="R12" s="222"/>
      <c r="S12" s="222"/>
      <c r="T12" s="220"/>
      <c r="U12" s="23"/>
      <c r="V12" s="23"/>
      <c r="W12" s="23"/>
    </row>
    <row r="13" spans="1:24" ht="12.75">
      <c r="A13" s="218" t="s">
        <v>28</v>
      </c>
      <c r="B13" s="233" t="s">
        <v>29</v>
      </c>
      <c r="C13" s="211">
        <f>SUM(C14:C34)</f>
        <v>333259791</v>
      </c>
      <c r="D13" s="211">
        <f aca="true" t="shared" si="3" ref="D13:T13">SUM(D14:D34)</f>
        <v>365928326</v>
      </c>
      <c r="E13" s="211">
        <f t="shared" si="3"/>
        <v>333508617</v>
      </c>
      <c r="F13" s="211">
        <f t="shared" si="3"/>
        <v>342308708</v>
      </c>
      <c r="G13" s="211">
        <f t="shared" si="3"/>
        <v>505492482</v>
      </c>
      <c r="H13" s="211">
        <f t="shared" si="3"/>
        <v>3577334.091243865</v>
      </c>
      <c r="I13" s="211">
        <f t="shared" si="3"/>
        <v>3656.6702062444474</v>
      </c>
      <c r="J13" s="211">
        <f t="shared" si="3"/>
        <v>852.9640756521037</v>
      </c>
      <c r="K13" s="211"/>
      <c r="L13" s="211">
        <f t="shared" si="3"/>
        <v>716787.3424277055</v>
      </c>
      <c r="M13" s="211">
        <f t="shared" si="3"/>
        <v>601281027</v>
      </c>
      <c r="N13" s="211">
        <f t="shared" si="3"/>
        <v>465745911</v>
      </c>
      <c r="O13" s="351">
        <f t="shared" si="3"/>
        <v>495465759</v>
      </c>
      <c r="P13" s="211">
        <f t="shared" si="3"/>
        <v>12.409709655760704</v>
      </c>
      <c r="Q13" s="211">
        <f t="shared" si="3"/>
        <v>1114.6609194381804</v>
      </c>
      <c r="R13" s="211">
        <f t="shared" si="3"/>
        <v>716591.6772890398</v>
      </c>
      <c r="S13" s="211">
        <f t="shared" si="3"/>
        <v>-55.09114640218584</v>
      </c>
      <c r="T13" s="211">
        <f t="shared" si="3"/>
        <v>487173531.1029383</v>
      </c>
      <c r="U13" s="211">
        <f>SUM(U14:U31)</f>
        <v>12264790.141465062</v>
      </c>
      <c r="V13" s="211">
        <f>SUM(V14:V31)</f>
        <v>213533.27343108974</v>
      </c>
      <c r="W13" s="211" t="e">
        <f>SUM(W14:W31)</f>
        <v>#REF!</v>
      </c>
      <c r="X13" s="211">
        <f>SUM(X14:X31)</f>
        <v>15.024821765069037</v>
      </c>
    </row>
    <row r="14" spans="1:26" ht="12.75">
      <c r="A14" s="218">
        <v>11201</v>
      </c>
      <c r="B14" s="219" t="s">
        <v>30</v>
      </c>
      <c r="C14" s="291">
        <v>252455075</v>
      </c>
      <c r="D14" s="291">
        <v>203335233</v>
      </c>
      <c r="E14" s="291">
        <v>189270648</v>
      </c>
      <c r="F14" s="291">
        <v>227409713</v>
      </c>
      <c r="G14" s="291">
        <v>198466657</v>
      </c>
      <c r="H14" s="230">
        <f aca="true" t="shared" si="4" ref="H14:I18">SUM((D14/C14)-1)*100</f>
        <v>-19.456864553029884</v>
      </c>
      <c r="I14" s="230">
        <f t="shared" si="4"/>
        <v>-6.916944393989999</v>
      </c>
      <c r="J14" s="230">
        <f>SUM((F14/E14)-1)*100</f>
        <v>20.15054389204607</v>
      </c>
      <c r="K14" s="230">
        <f>SUM((G14/F14)-1)*100</f>
        <v>-12.727273438843834</v>
      </c>
      <c r="L14" s="230">
        <f aca="true" t="shared" si="5" ref="L14:L33">SUM(H14+I14+J14+K14)/5</f>
        <v>-3.790107698763529</v>
      </c>
      <c r="M14" s="220">
        <v>216236300</v>
      </c>
      <c r="N14" s="212">
        <v>208105849</v>
      </c>
      <c r="O14" s="309">
        <v>217000000</v>
      </c>
      <c r="P14" s="222">
        <f>+O14/M14</f>
        <v>1.0035317844413727</v>
      </c>
      <c r="Q14" s="230">
        <f>SUM((O14/G14)-1)*100</f>
        <v>9.338265318793582</v>
      </c>
      <c r="R14" s="230">
        <f aca="true" t="shared" si="6" ref="R14:R34">SUM(H14+I14+J14+Q14)/5</f>
        <v>0.623000052763954</v>
      </c>
      <c r="S14" s="306">
        <v>1.05</v>
      </c>
      <c r="T14" s="220">
        <f aca="true" t="shared" si="7" ref="T14:T30">O14*S14</f>
        <v>227850000</v>
      </c>
      <c r="U14" s="215">
        <f>SUM(P14*T14)/100+(P14)</f>
        <v>2286548.174381452</v>
      </c>
      <c r="V14" s="215">
        <f>SUM(Q14*U14)/100+(Q14)</f>
        <v>213533.27343108974</v>
      </c>
      <c r="W14" s="215">
        <f>SUM(R14*V14)/100+(R14)</f>
        <v>1330.935406197051</v>
      </c>
      <c r="X14" s="215">
        <f>SUM(S14*W14)/100+(S14)</f>
        <v>15.024821765069037</v>
      </c>
      <c r="Y14" s="215"/>
      <c r="Z14" s="215"/>
    </row>
    <row r="15" spans="1:23" ht="12.75">
      <c r="A15" s="218">
        <v>11202</v>
      </c>
      <c r="B15" s="219" t="s">
        <v>31</v>
      </c>
      <c r="C15" s="291">
        <v>34685939</v>
      </c>
      <c r="D15" s="291">
        <v>25640910</v>
      </c>
      <c r="E15" s="291">
        <v>18766845</v>
      </c>
      <c r="F15" s="291">
        <v>28805814</v>
      </c>
      <c r="G15" s="291">
        <v>26858077</v>
      </c>
      <c r="H15" s="230">
        <f t="shared" si="4"/>
        <v>-26.076932788240214</v>
      </c>
      <c r="I15" s="230">
        <f t="shared" si="4"/>
        <v>-26.808974408474583</v>
      </c>
      <c r="J15" s="230">
        <f>SUM((F15/E15)-1)*100</f>
        <v>53.4931097901645</v>
      </c>
      <c r="K15" s="230">
        <f aca="true" t="shared" si="8" ref="K15:K49">SUM((G15/F15)-1)*100</f>
        <v>-6.761610694285536</v>
      </c>
      <c r="L15" s="230">
        <f t="shared" si="5"/>
        <v>-1.230881620167166</v>
      </c>
      <c r="M15" s="220">
        <v>27170000</v>
      </c>
      <c r="N15" s="212">
        <v>24445164</v>
      </c>
      <c r="O15" s="309">
        <v>26500000</v>
      </c>
      <c r="P15" s="222">
        <f>+O15/M15</f>
        <v>0.9753404490246596</v>
      </c>
      <c r="Q15" s="230">
        <f>SUM((O15/G15)-1)*100</f>
        <v>-1.3332190536202604</v>
      </c>
      <c r="R15" s="230">
        <f t="shared" si="6"/>
        <v>-0.1452032920341108</v>
      </c>
      <c r="S15" s="306">
        <v>1.05</v>
      </c>
      <c r="T15" s="220">
        <f t="shared" si="7"/>
        <v>27825000</v>
      </c>
      <c r="U15" s="23"/>
      <c r="V15" s="23"/>
      <c r="W15" s="23">
        <f>+T15</f>
        <v>27825000</v>
      </c>
    </row>
    <row r="16" spans="1:23" ht="12.75">
      <c r="A16" s="218">
        <v>11203</v>
      </c>
      <c r="B16" s="219" t="s">
        <v>32</v>
      </c>
      <c r="C16" s="291">
        <v>4997803</v>
      </c>
      <c r="D16" s="291">
        <v>3392639</v>
      </c>
      <c r="E16" s="291">
        <v>3897394</v>
      </c>
      <c r="F16" s="291">
        <v>3326134</v>
      </c>
      <c r="G16" s="291">
        <v>6846976</v>
      </c>
      <c r="H16" s="230">
        <f t="shared" si="4"/>
        <v>-32.11739238221274</v>
      </c>
      <c r="I16" s="230">
        <f t="shared" si="4"/>
        <v>14.877946047310076</v>
      </c>
      <c r="J16" s="230">
        <f>SUM((F16/E16)-1)*100</f>
        <v>-14.657486515348461</v>
      </c>
      <c r="K16" s="230">
        <f t="shared" si="8"/>
        <v>105.85388321697202</v>
      </c>
      <c r="L16" s="230">
        <f t="shared" si="5"/>
        <v>14.791390073344179</v>
      </c>
      <c r="M16" s="220">
        <v>8102500</v>
      </c>
      <c r="N16" s="212">
        <v>5403461</v>
      </c>
      <c r="O16" s="311">
        <v>6000000</v>
      </c>
      <c r="P16" s="222">
        <f>+O16/M16</f>
        <v>0.7405121875964209</v>
      </c>
      <c r="Q16" s="230">
        <f>SUM((O16/G16)-1)*100</f>
        <v>-12.370074029761458</v>
      </c>
      <c r="R16" s="230">
        <f t="shared" si="6"/>
        <v>-8.853401376002518</v>
      </c>
      <c r="S16" s="306">
        <v>1.05</v>
      </c>
      <c r="T16" s="220">
        <f t="shared" si="7"/>
        <v>6300000</v>
      </c>
      <c r="U16" s="23">
        <f aca="true" t="shared" si="9" ref="U16:U21">+T16</f>
        <v>6300000</v>
      </c>
      <c r="V16" s="23"/>
      <c r="W16" s="23"/>
    </row>
    <row r="17" spans="1:23" ht="12.75">
      <c r="A17" s="218">
        <v>11204</v>
      </c>
      <c r="B17" s="219" t="s">
        <v>33</v>
      </c>
      <c r="C17" s="291">
        <v>9842200</v>
      </c>
      <c r="D17" s="291">
        <v>101190000</v>
      </c>
      <c r="E17" s="291">
        <v>93672949</v>
      </c>
      <c r="F17" s="291">
        <v>12205161</v>
      </c>
      <c r="G17" s="291">
        <v>177219661</v>
      </c>
      <c r="H17" s="230">
        <f t="shared" si="4"/>
        <v>928.1237934608116</v>
      </c>
      <c r="I17" s="230">
        <f t="shared" si="4"/>
        <v>-7.4286500642355975</v>
      </c>
      <c r="J17" s="230">
        <f>SUM((F17/E17)-1)*100</f>
        <v>-86.9704529105836</v>
      </c>
      <c r="K17" s="230">
        <f t="shared" si="8"/>
        <v>1352.0059260176904</v>
      </c>
      <c r="L17" s="230">
        <f t="shared" si="5"/>
        <v>437.1461233007365</v>
      </c>
      <c r="M17" s="220">
        <v>166650000</v>
      </c>
      <c r="N17" s="212">
        <v>68982000</v>
      </c>
      <c r="O17" s="309">
        <v>83000000</v>
      </c>
      <c r="P17" s="222">
        <f>+O17/M17</f>
        <v>0.49804980498049806</v>
      </c>
      <c r="Q17" s="230">
        <f>SUM((O17/G17)-1)*100</f>
        <v>-53.16546734619925</v>
      </c>
      <c r="R17" s="230">
        <f t="shared" si="6"/>
        <v>156.11184462795865</v>
      </c>
      <c r="S17" s="306">
        <v>1.05</v>
      </c>
      <c r="T17" s="220">
        <f t="shared" si="7"/>
        <v>87150000</v>
      </c>
      <c r="V17" s="23"/>
      <c r="W17" s="23">
        <f>+T17</f>
        <v>87150000</v>
      </c>
    </row>
    <row r="18" spans="1:23" ht="12.75">
      <c r="A18" s="218">
        <v>11205</v>
      </c>
      <c r="B18" s="219" t="s">
        <v>34</v>
      </c>
      <c r="C18" s="291">
        <v>155418</v>
      </c>
      <c r="D18" s="291">
        <v>290000</v>
      </c>
      <c r="E18" s="291">
        <v>616700</v>
      </c>
      <c r="F18" s="291">
        <v>1782700</v>
      </c>
      <c r="G18" s="291">
        <v>5825100</v>
      </c>
      <c r="H18" s="230">
        <f t="shared" si="4"/>
        <v>86.5935734599596</v>
      </c>
      <c r="I18" s="230">
        <f t="shared" si="4"/>
        <v>112.65517241379311</v>
      </c>
      <c r="J18" s="230">
        <f>SUM((F18/E18)-1)*100</f>
        <v>189.07086103453867</v>
      </c>
      <c r="K18" s="230">
        <f t="shared" si="8"/>
        <v>226.75716609637067</v>
      </c>
      <c r="L18" s="230">
        <f t="shared" si="5"/>
        <v>123.01535460093241</v>
      </c>
      <c r="M18" s="220">
        <v>3657500</v>
      </c>
      <c r="N18" s="212">
        <v>3113040</v>
      </c>
      <c r="O18" s="309">
        <v>3113040</v>
      </c>
      <c r="P18" s="222">
        <f>+O18/M18</f>
        <v>0.8511387559808612</v>
      </c>
      <c r="Q18" s="230">
        <f>SUM((O18/G18)-1)*100</f>
        <v>-46.55817067518154</v>
      </c>
      <c r="R18" s="230">
        <f t="shared" si="6"/>
        <v>68.35228724662196</v>
      </c>
      <c r="S18" s="306">
        <v>1.05</v>
      </c>
      <c r="T18" s="220">
        <f t="shared" si="7"/>
        <v>3268692</v>
      </c>
      <c r="U18" s="23">
        <f t="shared" si="9"/>
        <v>3268692</v>
      </c>
      <c r="V18" s="23"/>
      <c r="W18" s="23"/>
    </row>
    <row r="19" spans="1:23" ht="12.75">
      <c r="A19" s="218">
        <v>11206</v>
      </c>
      <c r="B19" s="219" t="s">
        <v>35</v>
      </c>
      <c r="C19" s="291">
        <v>0</v>
      </c>
      <c r="D19" s="291"/>
      <c r="E19" s="291"/>
      <c r="F19" s="291"/>
      <c r="G19" s="291"/>
      <c r="H19" s="230"/>
      <c r="I19" s="230"/>
      <c r="J19" s="230"/>
      <c r="K19" s="230"/>
      <c r="L19" s="230">
        <f t="shared" si="5"/>
        <v>0</v>
      </c>
      <c r="M19" s="220"/>
      <c r="N19" s="212"/>
      <c r="O19" s="309"/>
      <c r="P19" s="222"/>
      <c r="Q19" s="230"/>
      <c r="R19" s="230">
        <f t="shared" si="6"/>
        <v>0</v>
      </c>
      <c r="S19" s="306">
        <v>1.05</v>
      </c>
      <c r="T19" s="220">
        <f t="shared" si="7"/>
        <v>0</v>
      </c>
      <c r="U19" s="23">
        <f t="shared" si="9"/>
        <v>0</v>
      </c>
      <c r="V19" s="23"/>
      <c r="W19" s="23"/>
    </row>
    <row r="20" spans="1:23" ht="12.75">
      <c r="A20" s="218">
        <v>11207</v>
      </c>
      <c r="B20" s="219" t="s">
        <v>36</v>
      </c>
      <c r="C20" s="291">
        <v>14850</v>
      </c>
      <c r="D20" s="291"/>
      <c r="E20" s="291">
        <v>180000</v>
      </c>
      <c r="F20" s="291"/>
      <c r="G20" s="291"/>
      <c r="H20" s="230">
        <f aca="true" t="shared" si="10" ref="H20:H26">SUM((D20/C20)-1)*100</f>
        <v>-100</v>
      </c>
      <c r="I20" s="230"/>
      <c r="J20" s="230">
        <f aca="true" t="shared" si="11" ref="J20:J26">SUM((F20/E20)-1)*100</f>
        <v>-100</v>
      </c>
      <c r="K20" s="230"/>
      <c r="L20" s="230">
        <f t="shared" si="5"/>
        <v>-40</v>
      </c>
      <c r="M20" s="220"/>
      <c r="N20" s="212">
        <v>105000</v>
      </c>
      <c r="O20" s="309">
        <v>0</v>
      </c>
      <c r="P20" s="222"/>
      <c r="Q20" s="230"/>
      <c r="R20" s="230">
        <f t="shared" si="6"/>
        <v>-40</v>
      </c>
      <c r="S20" s="306">
        <v>1.05</v>
      </c>
      <c r="T20" s="220">
        <f t="shared" si="7"/>
        <v>0</v>
      </c>
      <c r="U20" s="23">
        <f t="shared" si="9"/>
        <v>0</v>
      </c>
      <c r="V20" s="23"/>
      <c r="W20" s="23"/>
    </row>
    <row r="21" spans="1:23" ht="12.75">
      <c r="A21" s="218">
        <v>11208</v>
      </c>
      <c r="B21" s="219" t="s">
        <v>37</v>
      </c>
      <c r="C21" s="291">
        <v>100</v>
      </c>
      <c r="D21" s="291">
        <v>50000</v>
      </c>
      <c r="E21" s="291">
        <v>1519000</v>
      </c>
      <c r="F21" s="291">
        <v>50000</v>
      </c>
      <c r="G21" s="291">
        <v>333000</v>
      </c>
      <c r="H21" s="230">
        <f t="shared" si="10"/>
        <v>49900</v>
      </c>
      <c r="I21" s="230">
        <f aca="true" t="shared" si="12" ref="I21:I26">SUM((E21/D21)-1)*100</f>
        <v>2938</v>
      </c>
      <c r="J21" s="230">
        <f t="shared" si="11"/>
        <v>-96.70836076366031</v>
      </c>
      <c r="K21" s="230">
        <f t="shared" si="8"/>
        <v>566</v>
      </c>
      <c r="L21" s="230">
        <f t="shared" si="5"/>
        <v>10661.458327847267</v>
      </c>
      <c r="M21" s="220">
        <v>191235</v>
      </c>
      <c r="N21" s="212">
        <v>600000</v>
      </c>
      <c r="O21" s="309">
        <v>600000</v>
      </c>
      <c r="P21" s="222">
        <f aca="true" t="shared" si="13" ref="P21:P26">+O21/M21</f>
        <v>3.1375009804690563</v>
      </c>
      <c r="Q21" s="230">
        <f>SUM((O21/F21)-1)*100</f>
        <v>1100</v>
      </c>
      <c r="R21" s="230">
        <f t="shared" si="6"/>
        <v>10768.258327847268</v>
      </c>
      <c r="S21" s="230">
        <f>SUM(R21-10800)</f>
        <v>-31.741672152731553</v>
      </c>
      <c r="T21" s="220">
        <f>SUM(O21*S21)/100+(O21)</f>
        <v>409549.9670836107</v>
      </c>
      <c r="U21" s="23">
        <f t="shared" si="9"/>
        <v>409549.9670836107</v>
      </c>
      <c r="V21" s="23"/>
      <c r="W21" s="23"/>
    </row>
    <row r="22" spans="1:23" ht="12.75">
      <c r="A22" s="218">
        <v>11209</v>
      </c>
      <c r="B22" s="219" t="s">
        <v>38</v>
      </c>
      <c r="C22" s="291">
        <v>100</v>
      </c>
      <c r="D22" s="291">
        <v>3526613</v>
      </c>
      <c r="E22" s="291">
        <v>514220</v>
      </c>
      <c r="F22" s="291">
        <v>1531464</v>
      </c>
      <c r="G22" s="291">
        <v>807750</v>
      </c>
      <c r="H22" s="230">
        <f t="shared" si="10"/>
        <v>3526512.9999999995</v>
      </c>
      <c r="I22" s="230">
        <f t="shared" si="12"/>
        <v>-85.41887074084966</v>
      </c>
      <c r="J22" s="230">
        <f t="shared" si="11"/>
        <v>197.822721792229</v>
      </c>
      <c r="K22" s="230">
        <f t="shared" si="8"/>
        <v>-47.256350785914655</v>
      </c>
      <c r="L22" s="230">
        <f t="shared" si="5"/>
        <v>705315.629500053</v>
      </c>
      <c r="M22" s="220">
        <v>1467180</v>
      </c>
      <c r="N22" s="212">
        <v>830936</v>
      </c>
      <c r="O22" s="309">
        <v>1000000</v>
      </c>
      <c r="P22" s="222">
        <f t="shared" si="13"/>
        <v>0.68157962894805</v>
      </c>
      <c r="Q22" s="230">
        <f>SUM((O22/G22)-1)*100</f>
        <v>23.800680903744965</v>
      </c>
      <c r="R22" s="230">
        <f t="shared" si="6"/>
        <v>705329.8409063909</v>
      </c>
      <c r="S22" s="306">
        <v>1.05</v>
      </c>
      <c r="T22" s="220">
        <f t="shared" si="7"/>
        <v>1050000</v>
      </c>
      <c r="U22" s="23"/>
      <c r="V22" s="23"/>
      <c r="W22" s="23">
        <f>+T22</f>
        <v>1050000</v>
      </c>
    </row>
    <row r="23" spans="1:23" ht="12.75">
      <c r="A23" s="218">
        <v>11210</v>
      </c>
      <c r="B23" s="219" t="s">
        <v>39</v>
      </c>
      <c r="C23" s="291">
        <v>1160250</v>
      </c>
      <c r="D23" s="291">
        <v>5357670</v>
      </c>
      <c r="E23" s="291">
        <v>1779000</v>
      </c>
      <c r="F23" s="291">
        <v>4598000</v>
      </c>
      <c r="G23" s="291">
        <v>2430200</v>
      </c>
      <c r="H23" s="230">
        <f t="shared" si="10"/>
        <v>361.76858435681964</v>
      </c>
      <c r="I23" s="230">
        <f t="shared" si="12"/>
        <v>-66.79526734569319</v>
      </c>
      <c r="J23" s="230">
        <f t="shared" si="11"/>
        <v>158.45980888139403</v>
      </c>
      <c r="K23" s="230">
        <f t="shared" si="8"/>
        <v>-47.14658547194433</v>
      </c>
      <c r="L23" s="230">
        <f t="shared" si="5"/>
        <v>81.25730808411524</v>
      </c>
      <c r="M23" s="220">
        <v>2194500</v>
      </c>
      <c r="N23" s="212">
        <v>1473400</v>
      </c>
      <c r="O23" s="309">
        <v>1500000</v>
      </c>
      <c r="P23" s="222">
        <f t="shared" si="13"/>
        <v>0.683526999316473</v>
      </c>
      <c r="Q23" s="230">
        <f>SUM((O23/G23)-1)*100</f>
        <v>-38.27668504649823</v>
      </c>
      <c r="R23" s="230">
        <f t="shared" si="6"/>
        <v>83.03128816920444</v>
      </c>
      <c r="S23" s="306">
        <v>1.05</v>
      </c>
      <c r="T23" s="220">
        <f t="shared" si="7"/>
        <v>1575000</v>
      </c>
      <c r="U23" s="23"/>
      <c r="V23" s="23"/>
      <c r="W23" s="23">
        <f>+T25</f>
        <v>877800</v>
      </c>
    </row>
    <row r="24" spans="1:23" ht="12.75">
      <c r="A24" s="218">
        <v>11211</v>
      </c>
      <c r="B24" s="219" t="s">
        <v>40</v>
      </c>
      <c r="C24" s="291">
        <v>4555700</v>
      </c>
      <c r="D24" s="291">
        <v>4005580</v>
      </c>
      <c r="E24" s="291">
        <v>78861</v>
      </c>
      <c r="F24" s="291">
        <v>267930</v>
      </c>
      <c r="G24" s="291">
        <v>92000</v>
      </c>
      <c r="H24" s="230">
        <f t="shared" si="10"/>
        <v>-12.075421998814672</v>
      </c>
      <c r="I24" s="230">
        <f t="shared" si="12"/>
        <v>-98.03122144608271</v>
      </c>
      <c r="J24" s="230">
        <f t="shared" si="11"/>
        <v>239.7496861566554</v>
      </c>
      <c r="K24" s="230">
        <f t="shared" si="8"/>
        <v>-65.66267308625386</v>
      </c>
      <c r="L24" s="230">
        <f t="shared" si="5"/>
        <v>12.796073925100833</v>
      </c>
      <c r="M24" s="220">
        <v>96140</v>
      </c>
      <c r="N24" s="212"/>
      <c r="O24" s="309"/>
      <c r="P24" s="222">
        <f t="shared" si="13"/>
        <v>0</v>
      </c>
      <c r="Q24" s="230">
        <f>SUM((O24/G24)-1)*100</f>
        <v>-100</v>
      </c>
      <c r="R24" s="230">
        <f t="shared" si="6"/>
        <v>5.928608542351606</v>
      </c>
      <c r="S24" s="306">
        <v>1.05</v>
      </c>
      <c r="T24" s="220">
        <f t="shared" si="7"/>
        <v>0</v>
      </c>
      <c r="U24" s="23"/>
      <c r="V24" s="23"/>
      <c r="W24" s="23">
        <f>+T24</f>
        <v>0</v>
      </c>
    </row>
    <row r="25" spans="1:23" ht="12.75">
      <c r="A25" s="218">
        <v>11212</v>
      </c>
      <c r="B25" s="219" t="s">
        <v>41</v>
      </c>
      <c r="C25" s="291">
        <v>461940</v>
      </c>
      <c r="D25" s="291">
        <v>613050</v>
      </c>
      <c r="E25" s="291">
        <v>702000</v>
      </c>
      <c r="F25" s="291">
        <v>825600</v>
      </c>
      <c r="G25" s="291">
        <v>836400</v>
      </c>
      <c r="H25" s="230">
        <f t="shared" si="10"/>
        <v>32.71204052474348</v>
      </c>
      <c r="I25" s="230">
        <f t="shared" si="12"/>
        <v>14.509420112551986</v>
      </c>
      <c r="J25" s="230">
        <f t="shared" si="11"/>
        <v>17.606837606837612</v>
      </c>
      <c r="K25" s="230">
        <f t="shared" si="8"/>
        <v>1.3081395348837122</v>
      </c>
      <c r="L25" s="230">
        <f t="shared" si="5"/>
        <v>13.227287555803358</v>
      </c>
      <c r="M25" s="220">
        <v>836000</v>
      </c>
      <c r="N25" s="212">
        <v>799000</v>
      </c>
      <c r="O25" s="309">
        <v>836000</v>
      </c>
      <c r="P25" s="222">
        <f t="shared" si="13"/>
        <v>1</v>
      </c>
      <c r="Q25" s="230">
        <f>SUM((O25/G25)-1)*100</f>
        <v>-0.04782400765184214</v>
      </c>
      <c r="R25" s="230">
        <f t="shared" si="6"/>
        <v>12.956094847296248</v>
      </c>
      <c r="S25" s="306">
        <v>1.05</v>
      </c>
      <c r="T25" s="220">
        <f t="shared" si="7"/>
        <v>877800</v>
      </c>
      <c r="U25" s="23"/>
      <c r="V25" s="23"/>
      <c r="W25" s="23" t="e">
        <f>+#REF!</f>
        <v>#REF!</v>
      </c>
    </row>
    <row r="26" spans="1:23" ht="12.75">
      <c r="A26" s="218">
        <v>11213</v>
      </c>
      <c r="B26" s="219" t="s">
        <v>42</v>
      </c>
      <c r="C26" s="291">
        <v>21212150</v>
      </c>
      <c r="D26" s="291">
        <v>17893631</v>
      </c>
      <c r="E26" s="291">
        <v>16328000</v>
      </c>
      <c r="F26" s="291">
        <v>18310541</v>
      </c>
      <c r="G26" s="291">
        <v>20893700</v>
      </c>
      <c r="H26" s="230">
        <f t="shared" si="10"/>
        <v>-15.644425482565417</v>
      </c>
      <c r="I26" s="230">
        <f t="shared" si="12"/>
        <v>-8.749655114716514</v>
      </c>
      <c r="J26" s="230">
        <f t="shared" si="11"/>
        <v>12.141970847623718</v>
      </c>
      <c r="K26" s="230">
        <f t="shared" si="8"/>
        <v>14.107496878437399</v>
      </c>
      <c r="L26" s="230">
        <f t="shared" si="5"/>
        <v>0.371077425755837</v>
      </c>
      <c r="M26" s="220">
        <v>20900000</v>
      </c>
      <c r="N26" s="212">
        <v>20988500</v>
      </c>
      <c r="O26" s="221">
        <v>24000000</v>
      </c>
      <c r="P26" s="222">
        <f t="shared" si="13"/>
        <v>1.1483253588516746</v>
      </c>
      <c r="Q26" s="230">
        <f>SUM((O26/G26)-1)*100</f>
        <v>14.86716091453404</v>
      </c>
      <c r="R26" s="230">
        <f t="shared" si="6"/>
        <v>0.5230102329751652</v>
      </c>
      <c r="S26" s="306">
        <v>1.05</v>
      </c>
      <c r="T26" s="220">
        <f t="shared" si="7"/>
        <v>25200000</v>
      </c>
      <c r="U26" s="23"/>
      <c r="V26" s="23"/>
      <c r="W26" s="23">
        <f aca="true" t="shared" si="14" ref="W26:W32">+T26</f>
        <v>25200000</v>
      </c>
    </row>
    <row r="27" spans="1:23" ht="12.75">
      <c r="A27" s="218">
        <v>11214</v>
      </c>
      <c r="B27" s="219" t="s">
        <v>43</v>
      </c>
      <c r="C27" s="291">
        <v>0</v>
      </c>
      <c r="D27" s="291"/>
      <c r="E27" s="291"/>
      <c r="F27" s="291"/>
      <c r="G27" s="291"/>
      <c r="H27" s="230"/>
      <c r="I27" s="230"/>
      <c r="J27" s="230"/>
      <c r="K27" s="230"/>
      <c r="L27" s="230">
        <f t="shared" si="5"/>
        <v>0</v>
      </c>
      <c r="M27" s="220">
        <v>0</v>
      </c>
      <c r="N27" s="212"/>
      <c r="O27" s="221"/>
      <c r="P27" s="222"/>
      <c r="Q27" s="230"/>
      <c r="R27" s="230">
        <f t="shared" si="6"/>
        <v>0</v>
      </c>
      <c r="S27" s="306"/>
      <c r="T27" s="215">
        <f t="shared" si="7"/>
        <v>0</v>
      </c>
      <c r="U27" s="23"/>
      <c r="V27" s="23"/>
      <c r="W27" s="23">
        <f t="shared" si="14"/>
        <v>0</v>
      </c>
    </row>
    <row r="28" spans="1:23" ht="12.75">
      <c r="A28" s="218">
        <v>11215</v>
      </c>
      <c r="B28" s="219" t="s">
        <v>44</v>
      </c>
      <c r="C28" s="291">
        <v>0</v>
      </c>
      <c r="D28" s="291"/>
      <c r="E28" s="291"/>
      <c r="F28" s="291"/>
      <c r="G28" s="291"/>
      <c r="H28" s="230"/>
      <c r="I28" s="230"/>
      <c r="J28" s="230"/>
      <c r="K28" s="230"/>
      <c r="L28" s="230">
        <f t="shared" si="5"/>
        <v>0</v>
      </c>
      <c r="M28" s="220"/>
      <c r="N28" s="212"/>
      <c r="O28" s="221"/>
      <c r="P28" s="222"/>
      <c r="Q28" s="230"/>
      <c r="R28" s="230">
        <f t="shared" si="6"/>
        <v>0</v>
      </c>
      <c r="S28" s="306"/>
      <c r="T28" s="215">
        <f t="shared" si="7"/>
        <v>0</v>
      </c>
      <c r="U28" s="23"/>
      <c r="V28" s="23"/>
      <c r="W28" s="23">
        <f t="shared" si="14"/>
        <v>0</v>
      </c>
    </row>
    <row r="29" spans="1:23" ht="12.75">
      <c r="A29" s="218">
        <v>11216</v>
      </c>
      <c r="B29" s="219" t="s">
        <v>45</v>
      </c>
      <c r="C29" s="291">
        <v>50738</v>
      </c>
      <c r="D29" s="291"/>
      <c r="E29" s="291"/>
      <c r="F29" s="291"/>
      <c r="G29" s="291"/>
      <c r="H29" s="230">
        <f>SUM((D29/C29)-1)*100</f>
        <v>-100</v>
      </c>
      <c r="I29" s="230"/>
      <c r="J29" s="230"/>
      <c r="K29" s="230"/>
      <c r="L29" s="230">
        <f t="shared" si="5"/>
        <v>-20</v>
      </c>
      <c r="M29" s="220"/>
      <c r="N29" s="212"/>
      <c r="O29" s="221">
        <v>0</v>
      </c>
      <c r="P29" s="222"/>
      <c r="Q29" s="230"/>
      <c r="R29" s="230">
        <f t="shared" si="6"/>
        <v>-20</v>
      </c>
      <c r="S29" s="306"/>
      <c r="T29" s="215">
        <f t="shared" si="7"/>
        <v>0</v>
      </c>
      <c r="U29" s="23"/>
      <c r="V29" s="23"/>
      <c r="W29" s="23">
        <f t="shared" si="14"/>
        <v>0</v>
      </c>
    </row>
    <row r="30" spans="1:23" ht="12.75">
      <c r="A30" s="218">
        <v>11217</v>
      </c>
      <c r="B30" s="219" t="s">
        <v>46</v>
      </c>
      <c r="C30" s="291">
        <v>0</v>
      </c>
      <c r="D30" s="291"/>
      <c r="E30" s="291"/>
      <c r="F30" s="291"/>
      <c r="G30" s="291"/>
      <c r="H30" s="230"/>
      <c r="I30" s="230"/>
      <c r="J30" s="230"/>
      <c r="K30" s="230"/>
      <c r="L30" s="230">
        <f t="shared" si="5"/>
        <v>0</v>
      </c>
      <c r="M30" s="220"/>
      <c r="N30" s="212"/>
      <c r="O30" s="221">
        <v>0</v>
      </c>
      <c r="P30" s="222"/>
      <c r="Q30" s="230"/>
      <c r="R30" s="230">
        <f t="shared" si="6"/>
        <v>0</v>
      </c>
      <c r="S30" s="306"/>
      <c r="T30" s="215">
        <f t="shared" si="7"/>
        <v>0</v>
      </c>
      <c r="U30" s="23"/>
      <c r="V30" s="23"/>
      <c r="W30" s="23">
        <f t="shared" si="14"/>
        <v>0</v>
      </c>
    </row>
    <row r="31" spans="1:23" ht="12.75">
      <c r="A31" s="218">
        <v>11218</v>
      </c>
      <c r="B31" s="219" t="s">
        <v>47</v>
      </c>
      <c r="C31" s="291">
        <v>1000</v>
      </c>
      <c r="D31" s="291"/>
      <c r="E31" s="291"/>
      <c r="F31" s="291"/>
      <c r="G31" s="291"/>
      <c r="H31" s="230">
        <f>SUM((D31/C31)-1)*100</f>
        <v>-100</v>
      </c>
      <c r="I31" s="230"/>
      <c r="J31" s="230"/>
      <c r="K31" s="230"/>
      <c r="L31" s="230">
        <f t="shared" si="5"/>
        <v>-20</v>
      </c>
      <c r="M31" s="220"/>
      <c r="N31" s="212"/>
      <c r="P31" s="222"/>
      <c r="Q31" s="230"/>
      <c r="R31" s="230">
        <f t="shared" si="6"/>
        <v>-20</v>
      </c>
      <c r="S31" s="306"/>
      <c r="T31" s="215">
        <f>O32*S31</f>
        <v>0</v>
      </c>
      <c r="U31" s="23"/>
      <c r="V31" s="23"/>
      <c r="W31" s="23">
        <f t="shared" si="14"/>
        <v>0</v>
      </c>
    </row>
    <row r="32" spans="1:23" ht="12.75">
      <c r="A32" s="218"/>
      <c r="B32" s="219" t="s">
        <v>323</v>
      </c>
      <c r="C32" s="291"/>
      <c r="D32" s="291"/>
      <c r="E32" s="291"/>
      <c r="F32" s="291"/>
      <c r="G32" s="291"/>
      <c r="H32" s="230"/>
      <c r="I32" s="230"/>
      <c r="J32" s="230"/>
      <c r="K32" s="230"/>
      <c r="L32" s="230"/>
      <c r="M32" s="220"/>
      <c r="N32" s="212">
        <v>1916719</v>
      </c>
      <c r="O32" s="221">
        <v>1916719</v>
      </c>
      <c r="P32" s="222"/>
      <c r="Q32" s="230"/>
      <c r="R32" s="230"/>
      <c r="S32" s="306"/>
      <c r="T32" s="215"/>
      <c r="U32" s="23"/>
      <c r="V32" s="23"/>
      <c r="W32" s="23">
        <f t="shared" si="14"/>
        <v>0</v>
      </c>
    </row>
    <row r="33" spans="1:23" ht="12.75">
      <c r="A33" s="218"/>
      <c r="B33" s="219" t="s">
        <v>62</v>
      </c>
      <c r="C33" s="291">
        <v>3666528</v>
      </c>
      <c r="D33" s="291">
        <v>633000</v>
      </c>
      <c r="E33" s="291">
        <v>6183000</v>
      </c>
      <c r="F33" s="291">
        <v>22432223</v>
      </c>
      <c r="G33" s="291">
        <v>23892223</v>
      </c>
      <c r="H33" s="230">
        <f>SUM((D33/C33)-1)*100</f>
        <v>-82.73571073233315</v>
      </c>
      <c r="I33" s="230">
        <f>SUM((E33/D33)-1)*100</f>
        <v>876.7772511848341</v>
      </c>
      <c r="J33" s="230">
        <f>SUM((F33/E33)-1)*100</f>
        <v>262.80483584020703</v>
      </c>
      <c r="K33" s="230">
        <f t="shared" si="8"/>
        <v>6.50849449918538</v>
      </c>
      <c r="L33" s="230">
        <f t="shared" si="5"/>
        <v>212.6709741583787</v>
      </c>
      <c r="M33" s="220">
        <v>68835642</v>
      </c>
      <c r="N33" s="212">
        <v>57483842</v>
      </c>
      <c r="O33" s="216">
        <v>58000000</v>
      </c>
      <c r="P33" s="222">
        <f>+O33/M33</f>
        <v>0.8425867517876858</v>
      </c>
      <c r="Q33" s="230">
        <f>SUM((O33/G33)-1)*100</f>
        <v>142.7568167265139</v>
      </c>
      <c r="R33" s="230">
        <f t="shared" si="6"/>
        <v>239.92063860384442</v>
      </c>
      <c r="S33" s="230">
        <f>SUM(R33-251)</f>
        <v>-11.079361396155576</v>
      </c>
      <c r="T33" s="220">
        <f>SUM(O33*S33)/100+(O33)</f>
        <v>51573970.39022976</v>
      </c>
      <c r="U33" s="23"/>
      <c r="V33" s="23"/>
      <c r="W33" s="23"/>
    </row>
    <row r="34" spans="1:23" ht="12.75">
      <c r="A34" s="218"/>
      <c r="B34" s="219" t="s">
        <v>279</v>
      </c>
      <c r="C34" s="291"/>
      <c r="D34" s="291"/>
      <c r="E34" s="291"/>
      <c r="F34" s="291">
        <v>20763428</v>
      </c>
      <c r="G34" s="291">
        <v>40990738</v>
      </c>
      <c r="H34" s="230"/>
      <c r="I34" s="230"/>
      <c r="J34" s="230"/>
      <c r="K34" s="230">
        <f t="shared" si="8"/>
        <v>97.41796971097452</v>
      </c>
      <c r="L34" s="230">
        <f>SUM(H34+I34+J34)/4</f>
        <v>0</v>
      </c>
      <c r="M34" s="220">
        <v>84944030</v>
      </c>
      <c r="N34" s="212">
        <v>71499000</v>
      </c>
      <c r="O34" s="216">
        <v>72000000</v>
      </c>
      <c r="P34" s="222">
        <f>+O34/M34</f>
        <v>0.84761695436395</v>
      </c>
      <c r="Q34" s="230">
        <f>SUM((O34/G34)-1)*100</f>
        <v>75.64943573350644</v>
      </c>
      <c r="R34" s="230">
        <f t="shared" si="6"/>
        <v>15.129887146701288</v>
      </c>
      <c r="S34" s="230">
        <f>SUM(R34-40)</f>
        <v>-24.870112853298714</v>
      </c>
      <c r="T34" s="220">
        <f>SUM(O34*S34)/100+(O34)</f>
        <v>54093518.74562493</v>
      </c>
      <c r="U34" s="23"/>
      <c r="V34" s="23"/>
      <c r="W34" s="23"/>
    </row>
    <row r="35" spans="1:23" ht="12.75">
      <c r="A35" s="218"/>
      <c r="B35" s="219"/>
      <c r="C35" s="291"/>
      <c r="D35" s="291"/>
      <c r="E35" s="291"/>
      <c r="F35" s="291"/>
      <c r="G35" s="291"/>
      <c r="H35" s="230"/>
      <c r="I35" s="230"/>
      <c r="J35" s="230"/>
      <c r="K35" s="230"/>
      <c r="L35" s="230">
        <f>SUM(H35+I35)/3</f>
        <v>0</v>
      </c>
      <c r="M35" s="221"/>
      <c r="N35" s="221"/>
      <c r="O35" s="221"/>
      <c r="P35" s="222"/>
      <c r="Q35" s="222"/>
      <c r="R35" s="222"/>
      <c r="S35" s="222"/>
      <c r="T35" s="221"/>
      <c r="U35" s="29"/>
      <c r="V35" s="29"/>
      <c r="W35" s="29"/>
    </row>
    <row r="36" spans="1:23" s="28" customFormat="1" ht="12.75">
      <c r="A36" s="223">
        <v>1.2</v>
      </c>
      <c r="B36" s="242" t="s">
        <v>48</v>
      </c>
      <c r="C36" s="292"/>
      <c r="D36" s="292"/>
      <c r="E36" s="292"/>
      <c r="F36" s="292"/>
      <c r="G36" s="292"/>
      <c r="H36" s="230"/>
      <c r="I36" s="230"/>
      <c r="J36" s="230"/>
      <c r="K36" s="230"/>
      <c r="L36" s="230">
        <f>SUM(H36+I36)/3</f>
        <v>0</v>
      </c>
      <c r="M36" s="225"/>
      <c r="N36" s="227"/>
      <c r="O36" s="227"/>
      <c r="P36" s="222"/>
      <c r="Q36" s="222"/>
      <c r="R36" s="222"/>
      <c r="S36" s="222"/>
      <c r="T36" s="225"/>
      <c r="U36" s="27"/>
      <c r="V36" s="27"/>
      <c r="W36" s="27"/>
    </row>
    <row r="37" spans="1:23" ht="12.75">
      <c r="A37" s="218" t="s">
        <v>49</v>
      </c>
      <c r="B37" s="219" t="s">
        <v>50</v>
      </c>
      <c r="C37" s="293">
        <f>SUM(C38:C50)</f>
        <v>26907545</v>
      </c>
      <c r="D37" s="293">
        <f aca="true" t="shared" si="15" ref="D37:T37">SUM(D38:D50)</f>
        <v>38006764</v>
      </c>
      <c r="E37" s="293">
        <f t="shared" si="15"/>
        <v>39597449</v>
      </c>
      <c r="F37" s="293">
        <f t="shared" si="15"/>
        <v>55588783</v>
      </c>
      <c r="G37" s="293"/>
      <c r="H37" s="293">
        <f t="shared" si="15"/>
        <v>262138.52734920752</v>
      </c>
      <c r="I37" s="293">
        <f t="shared" si="15"/>
        <v>2840.738286083204</v>
      </c>
      <c r="J37" s="293">
        <f t="shared" si="15"/>
        <v>202.85983678051414</v>
      </c>
      <c r="K37" s="293">
        <f t="shared" si="15"/>
        <v>-330.5754251129591</v>
      </c>
      <c r="L37" s="293">
        <f t="shared" si="15"/>
        <v>52970.31000939166</v>
      </c>
      <c r="M37" s="293">
        <f t="shared" si="15"/>
        <v>38520519</v>
      </c>
      <c r="N37" s="293">
        <f t="shared" si="15"/>
        <v>31689771</v>
      </c>
      <c r="O37" s="293">
        <f t="shared" si="15"/>
        <v>37032400</v>
      </c>
      <c r="P37" s="293">
        <f t="shared" si="15"/>
        <v>7.658064093410477</v>
      </c>
      <c r="Q37" s="293" t="e">
        <f t="shared" si="15"/>
        <v>#DIV/0!</v>
      </c>
      <c r="R37" s="293" t="e">
        <f t="shared" si="15"/>
        <v>#DIV/0!</v>
      </c>
      <c r="S37" s="293">
        <f t="shared" si="15"/>
        <v>-33.17938911903639</v>
      </c>
      <c r="T37" s="293">
        <f t="shared" si="15"/>
        <v>39110432.21761927</v>
      </c>
      <c r="U37" s="23"/>
      <c r="V37" s="23"/>
      <c r="W37" s="23"/>
    </row>
    <row r="38" spans="1:23" ht="12.75">
      <c r="A38" s="218">
        <v>12101</v>
      </c>
      <c r="B38" s="219" t="s">
        <v>51</v>
      </c>
      <c r="C38" s="291">
        <v>1000</v>
      </c>
      <c r="D38" s="291"/>
      <c r="E38" s="291"/>
      <c r="F38" s="291"/>
      <c r="G38" s="291"/>
      <c r="H38" s="230">
        <f aca="true" t="shared" si="16" ref="H38:I48">SUM((D38/C38)-1)*100</f>
        <v>-100</v>
      </c>
      <c r="I38" s="230"/>
      <c r="J38" s="230"/>
      <c r="K38" s="230"/>
      <c r="L38" s="230">
        <f aca="true" t="shared" si="17" ref="L38:L49">SUM(H38+I38+J38+K38)/5</f>
        <v>-20</v>
      </c>
      <c r="M38" s="220"/>
      <c r="N38" s="212"/>
      <c r="O38" s="221"/>
      <c r="P38" s="222"/>
      <c r="Q38" s="230"/>
      <c r="R38" s="230">
        <f aca="true" t="shared" si="18" ref="R38:R50">SUM(H38+I38+J38+Q38)/5</f>
        <v>-20</v>
      </c>
      <c r="S38" s="230"/>
      <c r="T38" s="220"/>
      <c r="U38" s="23"/>
      <c r="V38" s="23"/>
      <c r="W38" s="23">
        <f aca="true" t="shared" si="19" ref="W38:W48">+T38</f>
        <v>0</v>
      </c>
    </row>
    <row r="39" spans="1:23" ht="12.75">
      <c r="A39" s="218">
        <v>12102</v>
      </c>
      <c r="B39" s="219" t="s">
        <v>52</v>
      </c>
      <c r="C39" s="291">
        <v>5722405</v>
      </c>
      <c r="D39" s="291">
        <v>6466900</v>
      </c>
      <c r="E39" s="291">
        <v>8187180</v>
      </c>
      <c r="F39" s="291">
        <v>8068500</v>
      </c>
      <c r="G39" s="291">
        <v>6630635</v>
      </c>
      <c r="H39" s="230">
        <f t="shared" si="16"/>
        <v>13.010176665230787</v>
      </c>
      <c r="I39" s="230">
        <f t="shared" si="16"/>
        <v>26.601308200219577</v>
      </c>
      <c r="J39" s="230">
        <f>SUM((F39/E39)-1)*100</f>
        <v>-1.4495833730295393</v>
      </c>
      <c r="K39" s="230">
        <f t="shared" si="8"/>
        <v>-17.82072256305385</v>
      </c>
      <c r="L39" s="230">
        <f t="shared" si="17"/>
        <v>4.068235785873395</v>
      </c>
      <c r="M39" s="220">
        <v>5434000</v>
      </c>
      <c r="N39" s="212">
        <v>6379514</v>
      </c>
      <c r="O39" s="309">
        <v>8000000</v>
      </c>
      <c r="P39" s="222">
        <f>+O39/M39</f>
        <v>1.472211998527788</v>
      </c>
      <c r="Q39" s="230">
        <f>SUM((O39/G39)-1)*100</f>
        <v>20.652094407247578</v>
      </c>
      <c r="R39" s="230">
        <f t="shared" si="18"/>
        <v>11.76279917993368</v>
      </c>
      <c r="S39" s="306">
        <v>1.05</v>
      </c>
      <c r="T39" s="310">
        <f aca="true" t="shared" si="20" ref="T39:T48">O39*S39</f>
        <v>8400000</v>
      </c>
      <c r="U39" s="23"/>
      <c r="V39" s="23"/>
      <c r="W39" s="23">
        <f t="shared" si="19"/>
        <v>8400000</v>
      </c>
    </row>
    <row r="40" spans="1:23" ht="12.75">
      <c r="A40" s="218">
        <v>12103</v>
      </c>
      <c r="B40" s="219" t="s">
        <v>53</v>
      </c>
      <c r="C40" s="291">
        <v>1000</v>
      </c>
      <c r="D40" s="291">
        <v>500000</v>
      </c>
      <c r="E40" s="291"/>
      <c r="F40" s="291"/>
      <c r="G40" s="291"/>
      <c r="H40" s="230">
        <f t="shared" si="16"/>
        <v>49900</v>
      </c>
      <c r="I40" s="230">
        <f t="shared" si="16"/>
        <v>-100</v>
      </c>
      <c r="J40" s="230"/>
      <c r="K40" s="230"/>
      <c r="L40" s="230">
        <f t="shared" si="17"/>
        <v>9960</v>
      </c>
      <c r="M40" s="220"/>
      <c r="N40" s="212"/>
      <c r="O40" s="309">
        <v>0</v>
      </c>
      <c r="P40" s="222"/>
      <c r="Q40" s="230"/>
      <c r="R40" s="230">
        <f t="shared" si="18"/>
        <v>9960</v>
      </c>
      <c r="S40" s="306">
        <v>1.05</v>
      </c>
      <c r="T40" s="310">
        <f t="shared" si="20"/>
        <v>0</v>
      </c>
      <c r="U40" s="23"/>
      <c r="V40" s="23"/>
      <c r="W40" s="23">
        <f t="shared" si="19"/>
        <v>0</v>
      </c>
    </row>
    <row r="41" spans="1:23" ht="12.75">
      <c r="A41" s="218">
        <v>12104</v>
      </c>
      <c r="B41" s="219" t="s">
        <v>54</v>
      </c>
      <c r="C41" s="291">
        <v>13261074</v>
      </c>
      <c r="D41" s="291">
        <v>13803377</v>
      </c>
      <c r="E41" s="291">
        <v>13931175</v>
      </c>
      <c r="F41" s="291">
        <v>23608081</v>
      </c>
      <c r="G41" s="291">
        <v>16951140</v>
      </c>
      <c r="H41" s="230">
        <f t="shared" si="16"/>
        <v>4.089434988448137</v>
      </c>
      <c r="I41" s="230">
        <f t="shared" si="16"/>
        <v>0.9258458998837815</v>
      </c>
      <c r="J41" s="230">
        <f>SUM((F41/E41)-1)*100</f>
        <v>69.462238468758</v>
      </c>
      <c r="K41" s="230">
        <f t="shared" si="8"/>
        <v>-28.19772178856892</v>
      </c>
      <c r="L41" s="230">
        <f t="shared" si="17"/>
        <v>9.2559595137042</v>
      </c>
      <c r="M41" s="220">
        <v>14839000</v>
      </c>
      <c r="N41" s="212">
        <v>13764457</v>
      </c>
      <c r="O41" s="309">
        <v>14839000</v>
      </c>
      <c r="P41" s="222">
        <f>+O41/M41</f>
        <v>1</v>
      </c>
      <c r="Q41" s="230">
        <f aca="true" t="shared" si="21" ref="Q41:Q47">SUM((O41/G41)-1)*100</f>
        <v>-12.460164921061356</v>
      </c>
      <c r="R41" s="230">
        <f t="shared" si="18"/>
        <v>12.403470887205712</v>
      </c>
      <c r="S41" s="306">
        <v>1.05</v>
      </c>
      <c r="T41" s="310">
        <f t="shared" si="20"/>
        <v>15580950</v>
      </c>
      <c r="U41" s="23"/>
      <c r="V41" s="23"/>
      <c r="W41" s="23">
        <f t="shared" si="19"/>
        <v>15580950</v>
      </c>
    </row>
    <row r="42" spans="1:23" ht="12.75">
      <c r="A42" s="218">
        <v>12105</v>
      </c>
      <c r="B42" s="219" t="s">
        <v>55</v>
      </c>
      <c r="C42" s="291">
        <v>107600</v>
      </c>
      <c r="D42" s="291">
        <v>145000</v>
      </c>
      <c r="E42" s="291">
        <v>102000</v>
      </c>
      <c r="F42" s="291">
        <v>90000</v>
      </c>
      <c r="G42" s="291">
        <v>135000</v>
      </c>
      <c r="H42" s="230">
        <f t="shared" si="16"/>
        <v>34.758364312267666</v>
      </c>
      <c r="I42" s="230">
        <f t="shared" si="16"/>
        <v>-29.655172413793107</v>
      </c>
      <c r="J42" s="230">
        <f>SUM((F42/E42)-1)*100</f>
        <v>-11.764705882352944</v>
      </c>
      <c r="K42" s="230">
        <f t="shared" si="8"/>
        <v>50</v>
      </c>
      <c r="L42" s="230">
        <f t="shared" si="17"/>
        <v>8.667697203224323</v>
      </c>
      <c r="M42" s="220">
        <v>114950</v>
      </c>
      <c r="N42" s="212">
        <v>245400</v>
      </c>
      <c r="O42" s="309">
        <v>245400</v>
      </c>
      <c r="P42" s="222">
        <f>+O42/M42</f>
        <v>2.1348412353197044</v>
      </c>
      <c r="Q42" s="230">
        <f t="shared" si="21"/>
        <v>81.77777777777777</v>
      </c>
      <c r="R42" s="230">
        <f t="shared" si="18"/>
        <v>15.02325275877988</v>
      </c>
      <c r="S42" s="306">
        <v>1.05</v>
      </c>
      <c r="T42" s="310">
        <f t="shared" si="20"/>
        <v>257670</v>
      </c>
      <c r="U42" s="23"/>
      <c r="V42" s="23"/>
      <c r="W42" s="23">
        <f t="shared" si="19"/>
        <v>257670</v>
      </c>
    </row>
    <row r="43" spans="1:23" ht="12.75">
      <c r="A43" s="218">
        <v>12106</v>
      </c>
      <c r="B43" s="219" t="s">
        <v>56</v>
      </c>
      <c r="C43" s="291">
        <v>1000</v>
      </c>
      <c r="D43" s="291"/>
      <c r="E43" s="291"/>
      <c r="F43" s="291">
        <v>162375</v>
      </c>
      <c r="G43" s="291"/>
      <c r="H43" s="230">
        <f t="shared" si="16"/>
        <v>-100</v>
      </c>
      <c r="I43" s="230"/>
      <c r="J43" s="230"/>
      <c r="K43" s="230">
        <f t="shared" si="8"/>
        <v>-100</v>
      </c>
      <c r="L43" s="230">
        <f t="shared" si="17"/>
        <v>-40</v>
      </c>
      <c r="M43" s="220"/>
      <c r="N43" s="212">
        <v>259200</v>
      </c>
      <c r="O43" s="309">
        <v>259200</v>
      </c>
      <c r="P43" s="222"/>
      <c r="Q43" s="230" t="e">
        <f t="shared" si="21"/>
        <v>#DIV/0!</v>
      </c>
      <c r="R43" s="230" t="e">
        <f t="shared" si="18"/>
        <v>#DIV/0!</v>
      </c>
      <c r="S43" s="306">
        <v>1.05</v>
      </c>
      <c r="T43" s="310">
        <f t="shared" si="20"/>
        <v>272160</v>
      </c>
      <c r="U43" s="23"/>
      <c r="V43" s="23"/>
      <c r="W43" s="23">
        <f t="shared" si="19"/>
        <v>272160</v>
      </c>
    </row>
    <row r="44" spans="1:23" ht="12.75">
      <c r="A44" s="218">
        <v>12107</v>
      </c>
      <c r="B44" s="219" t="s">
        <v>57</v>
      </c>
      <c r="C44" s="291">
        <v>6482207</v>
      </c>
      <c r="D44" s="291">
        <v>7169279</v>
      </c>
      <c r="E44" s="291">
        <v>4024162</v>
      </c>
      <c r="F44" s="291">
        <v>6978111</v>
      </c>
      <c r="G44" s="291">
        <v>5169554</v>
      </c>
      <c r="H44" s="230">
        <f t="shared" si="16"/>
        <v>10.599352967284137</v>
      </c>
      <c r="I44" s="230">
        <f t="shared" si="16"/>
        <v>-43.869362595597124</v>
      </c>
      <c r="J44" s="230">
        <f aca="true" t="shared" si="22" ref="J44:J49">SUM((F44/E44)-1)*100</f>
        <v>73.40532016355206</v>
      </c>
      <c r="K44" s="230">
        <f t="shared" si="8"/>
        <v>-25.917572821641844</v>
      </c>
      <c r="L44" s="230">
        <f t="shared" si="17"/>
        <v>2.8435475427194454</v>
      </c>
      <c r="M44" s="220">
        <v>5434000</v>
      </c>
      <c r="N44" s="212">
        <v>6054627</v>
      </c>
      <c r="O44" s="309">
        <v>6500000</v>
      </c>
      <c r="P44" s="222">
        <f>+O44/M44</f>
        <v>1.1961722488038278</v>
      </c>
      <c r="Q44" s="230">
        <f t="shared" si="21"/>
        <v>25.736185365313922</v>
      </c>
      <c r="R44" s="230">
        <f t="shared" si="18"/>
        <v>13.174299180110598</v>
      </c>
      <c r="S44" s="306">
        <v>1.05</v>
      </c>
      <c r="T44" s="310">
        <f t="shared" si="20"/>
        <v>6825000</v>
      </c>
      <c r="U44" s="23"/>
      <c r="V44" s="23"/>
      <c r="W44" s="23">
        <f t="shared" si="19"/>
        <v>6825000</v>
      </c>
    </row>
    <row r="45" spans="1:23" ht="12.75">
      <c r="A45" s="218">
        <v>12108</v>
      </c>
      <c r="B45" s="219" t="s">
        <v>58</v>
      </c>
      <c r="C45" s="291">
        <v>393216</v>
      </c>
      <c r="D45" s="291">
        <v>260075</v>
      </c>
      <c r="E45" s="291">
        <v>655500</v>
      </c>
      <c r="F45" s="291">
        <v>889061</v>
      </c>
      <c r="G45" s="291">
        <v>772850</v>
      </c>
      <c r="H45" s="230">
        <f t="shared" si="16"/>
        <v>-33.85950724283854</v>
      </c>
      <c r="I45" s="230">
        <f t="shared" si="16"/>
        <v>152.04267999615496</v>
      </c>
      <c r="J45" s="230">
        <f t="shared" si="22"/>
        <v>35.630968726163225</v>
      </c>
      <c r="K45" s="230">
        <f t="shared" si="8"/>
        <v>-13.071206587624474</v>
      </c>
      <c r="L45" s="230">
        <f t="shared" si="17"/>
        <v>28.148586978371032</v>
      </c>
      <c r="M45" s="220">
        <v>731500</v>
      </c>
      <c r="N45" s="212">
        <v>388800</v>
      </c>
      <c r="O45" s="309">
        <v>388800</v>
      </c>
      <c r="P45" s="222">
        <f>+O45/M45</f>
        <v>0.5315105946684894</v>
      </c>
      <c r="Q45" s="230">
        <f t="shared" si="21"/>
        <v>-49.6926958659507</v>
      </c>
      <c r="R45" s="230">
        <f t="shared" si="18"/>
        <v>20.82428912270579</v>
      </c>
      <c r="S45" s="306">
        <v>1.05</v>
      </c>
      <c r="T45" s="310">
        <f t="shared" si="20"/>
        <v>408240</v>
      </c>
      <c r="U45" s="23"/>
      <c r="V45" s="23"/>
      <c r="W45" s="23">
        <f t="shared" si="19"/>
        <v>408240</v>
      </c>
    </row>
    <row r="46" spans="1:23" ht="12.75">
      <c r="A46" s="218">
        <v>12109</v>
      </c>
      <c r="B46" s="219" t="s">
        <v>59</v>
      </c>
      <c r="C46" s="291">
        <v>95326</v>
      </c>
      <c r="D46" s="291">
        <v>103680</v>
      </c>
      <c r="E46" s="291">
        <v>171600</v>
      </c>
      <c r="F46" s="291">
        <v>288000</v>
      </c>
      <c r="G46" s="291"/>
      <c r="H46" s="230">
        <f t="shared" si="16"/>
        <v>8.76361118687452</v>
      </c>
      <c r="I46" s="230">
        <f t="shared" si="16"/>
        <v>65.50925925925925</v>
      </c>
      <c r="J46" s="230">
        <f t="shared" si="22"/>
        <v>67.83216783216784</v>
      </c>
      <c r="K46" s="230">
        <f t="shared" si="8"/>
        <v>-100</v>
      </c>
      <c r="L46" s="230">
        <f t="shared" si="17"/>
        <v>8.421007655660322</v>
      </c>
      <c r="M46" s="220">
        <v>1781516</v>
      </c>
      <c r="N46" s="212"/>
      <c r="O46" s="311"/>
      <c r="P46" s="222">
        <f>+O46/M46</f>
        <v>0</v>
      </c>
      <c r="Q46" s="230" t="e">
        <f t="shared" si="21"/>
        <v>#DIV/0!</v>
      </c>
      <c r="R46" s="230" t="e">
        <f t="shared" si="18"/>
        <v>#DIV/0!</v>
      </c>
      <c r="S46" s="306">
        <v>1.05</v>
      </c>
      <c r="T46" s="312">
        <f t="shared" si="20"/>
        <v>0</v>
      </c>
      <c r="U46" s="23">
        <f>+T46</f>
        <v>0</v>
      </c>
      <c r="V46" s="23"/>
      <c r="W46" s="23"/>
    </row>
    <row r="47" spans="1:23" ht="12.75">
      <c r="A47" s="218">
        <v>12110</v>
      </c>
      <c r="B47" s="219" t="s">
        <v>60</v>
      </c>
      <c r="C47" s="291">
        <v>57617</v>
      </c>
      <c r="D47" s="291">
        <v>7298963</v>
      </c>
      <c r="E47" s="291">
        <v>4632847</v>
      </c>
      <c r="F47" s="291">
        <v>8076855</v>
      </c>
      <c r="G47" s="291">
        <v>4313084</v>
      </c>
      <c r="H47" s="230">
        <f t="shared" si="16"/>
        <v>12568.071923217105</v>
      </c>
      <c r="I47" s="230">
        <f t="shared" si="16"/>
        <v>-36.52732586807195</v>
      </c>
      <c r="J47" s="230">
        <f t="shared" si="22"/>
        <v>74.33891082524417</v>
      </c>
      <c r="K47" s="230">
        <f t="shared" si="8"/>
        <v>-46.59946229070597</v>
      </c>
      <c r="L47" s="230">
        <f t="shared" si="17"/>
        <v>2511.8568091767147</v>
      </c>
      <c r="M47" s="220">
        <v>5865000</v>
      </c>
      <c r="N47" s="212">
        <v>4597773</v>
      </c>
      <c r="O47" s="309">
        <v>4800000</v>
      </c>
      <c r="P47" s="222">
        <f>+O47/M47</f>
        <v>0.8184143222506394</v>
      </c>
      <c r="Q47" s="230">
        <f t="shared" si="21"/>
        <v>11.289276999937869</v>
      </c>
      <c r="R47" s="230">
        <f t="shared" si="18"/>
        <v>2523.4345570348432</v>
      </c>
      <c r="S47" s="306">
        <v>1.05</v>
      </c>
      <c r="T47" s="310">
        <f t="shared" si="20"/>
        <v>5040000</v>
      </c>
      <c r="U47" s="23"/>
      <c r="V47" s="23"/>
      <c r="W47" s="23">
        <f t="shared" si="19"/>
        <v>5040000</v>
      </c>
    </row>
    <row r="48" spans="1:23" ht="12.75">
      <c r="A48" s="218">
        <v>12111</v>
      </c>
      <c r="B48" s="219" t="s">
        <v>61</v>
      </c>
      <c r="C48" s="291">
        <v>1000</v>
      </c>
      <c r="D48" s="291">
        <v>2000000</v>
      </c>
      <c r="E48" s="291">
        <v>107400</v>
      </c>
      <c r="F48" s="291"/>
      <c r="G48" s="291">
        <v>300000</v>
      </c>
      <c r="H48" s="230">
        <f t="shared" si="16"/>
        <v>199900</v>
      </c>
      <c r="I48" s="230">
        <f t="shared" si="16"/>
        <v>-94.63000000000001</v>
      </c>
      <c r="J48" s="230">
        <f t="shared" si="22"/>
        <v>-100</v>
      </c>
      <c r="K48" s="230"/>
      <c r="L48" s="230">
        <f t="shared" si="17"/>
        <v>39941.074</v>
      </c>
      <c r="M48" s="220">
        <v>0</v>
      </c>
      <c r="N48" s="212"/>
      <c r="O48" s="309"/>
      <c r="P48" s="222"/>
      <c r="Q48" s="230"/>
      <c r="R48" s="230">
        <f t="shared" si="18"/>
        <v>39941.074</v>
      </c>
      <c r="S48" s="306">
        <v>1.05</v>
      </c>
      <c r="T48" s="220">
        <f t="shared" si="20"/>
        <v>0</v>
      </c>
      <c r="U48" s="23"/>
      <c r="V48" s="23"/>
      <c r="W48" s="23">
        <f t="shared" si="19"/>
        <v>0</v>
      </c>
    </row>
    <row r="49" spans="2:23" ht="12.75">
      <c r="B49" s="219" t="s">
        <v>79</v>
      </c>
      <c r="C49" s="291">
        <v>784100</v>
      </c>
      <c r="D49" s="291">
        <v>259490</v>
      </c>
      <c r="E49" s="291">
        <v>7785585</v>
      </c>
      <c r="F49" s="291">
        <v>7427800</v>
      </c>
      <c r="G49" s="291">
        <v>3790500</v>
      </c>
      <c r="H49" s="230">
        <f>SUM((D49/C49)-1)*100</f>
        <v>-66.90600688687667</v>
      </c>
      <c r="I49" s="230">
        <f>SUM((E49/D49)-1)*100</f>
        <v>2900.3410536051488</v>
      </c>
      <c r="J49" s="230">
        <f t="shared" si="22"/>
        <v>-4.595479979988659</v>
      </c>
      <c r="K49" s="230">
        <f t="shared" si="8"/>
        <v>-48.96873906136406</v>
      </c>
      <c r="L49" s="230">
        <f t="shared" si="17"/>
        <v>555.9741655353839</v>
      </c>
      <c r="M49" s="220">
        <v>3961073</v>
      </c>
      <c r="N49" s="212"/>
      <c r="O49" s="295">
        <v>2000000</v>
      </c>
      <c r="P49" s="222">
        <f>+O49/M49</f>
        <v>0.5049136938400277</v>
      </c>
      <c r="Q49" s="230">
        <f>SUM((O49/G49)-1)*100</f>
        <v>-47.23651233346524</v>
      </c>
      <c r="R49" s="230">
        <f t="shared" si="18"/>
        <v>556.3206108809636</v>
      </c>
      <c r="S49" s="230">
        <f>SUM(R49-550)</f>
        <v>6.3206108809636135</v>
      </c>
      <c r="T49" s="220">
        <f>SUM(O49*S49)/100+(O49)</f>
        <v>2126412.2176192724</v>
      </c>
      <c r="U49" s="23"/>
      <c r="V49" s="23"/>
      <c r="W49" s="23"/>
    </row>
    <row r="50" spans="2:23" ht="12.75">
      <c r="B50" s="193" t="s">
        <v>283</v>
      </c>
      <c r="C50" s="294"/>
      <c r="D50" s="294"/>
      <c r="E50" s="294"/>
      <c r="F50" s="294"/>
      <c r="G50" s="294">
        <v>344000</v>
      </c>
      <c r="J50" s="230"/>
      <c r="K50" s="230"/>
      <c r="M50" s="305">
        <v>359480</v>
      </c>
      <c r="N50" s="304"/>
      <c r="O50" s="307"/>
      <c r="P50" s="222">
        <f>+O50/M50</f>
        <v>0</v>
      </c>
      <c r="Q50" s="230">
        <f>SUM((O50/G50)-1)*100</f>
        <v>-100</v>
      </c>
      <c r="R50" s="230">
        <f t="shared" si="18"/>
        <v>-20</v>
      </c>
      <c r="S50" s="230">
        <f>SUM(R50-30)</f>
        <v>-50</v>
      </c>
      <c r="T50" s="220">
        <v>200000</v>
      </c>
      <c r="U50" s="23"/>
      <c r="V50" s="23"/>
      <c r="W50" s="23"/>
    </row>
    <row r="51" spans="1:23" ht="12.75">
      <c r="A51" s="218"/>
      <c r="B51" s="219"/>
      <c r="C51" s="291"/>
      <c r="D51" s="291"/>
      <c r="E51" s="291"/>
      <c r="F51" s="291"/>
      <c r="G51" s="291"/>
      <c r="H51" s="230"/>
      <c r="I51" s="230"/>
      <c r="J51" s="230"/>
      <c r="K51" s="230"/>
      <c r="L51" s="230"/>
      <c r="M51" s="220"/>
      <c r="N51" s="221"/>
      <c r="O51" s="221"/>
      <c r="P51" s="222"/>
      <c r="Q51" s="222"/>
      <c r="R51" s="222"/>
      <c r="S51" s="222"/>
      <c r="T51" s="220">
        <f>SUM(T39:T49)</f>
        <v>38910432.21761927</v>
      </c>
      <c r="U51" s="23"/>
      <c r="V51" s="23"/>
      <c r="W51" s="23"/>
    </row>
    <row r="52" spans="1:23" ht="12.75">
      <c r="A52" s="218" t="s">
        <v>63</v>
      </c>
      <c r="B52" s="233" t="s">
        <v>64</v>
      </c>
      <c r="C52" s="295">
        <f aca="true" t="shared" si="23" ref="C52:L52">SUM(C53:C54)</f>
        <v>12000</v>
      </c>
      <c r="D52" s="295">
        <f t="shared" si="23"/>
        <v>0</v>
      </c>
      <c r="E52" s="295">
        <f t="shared" si="23"/>
        <v>0</v>
      </c>
      <c r="F52" s="295"/>
      <c r="G52" s="295"/>
      <c r="H52" s="213">
        <f t="shared" si="23"/>
        <v>-100</v>
      </c>
      <c r="I52" s="213">
        <f t="shared" si="23"/>
        <v>0</v>
      </c>
      <c r="J52" s="213">
        <f t="shared" si="23"/>
        <v>0</v>
      </c>
      <c r="K52" s="213">
        <f t="shared" si="23"/>
        <v>0</v>
      </c>
      <c r="L52" s="213">
        <f t="shared" si="23"/>
        <v>-20</v>
      </c>
      <c r="M52" s="213">
        <f aca="true" t="shared" si="24" ref="M52:R52">SUM(M53:M54)</f>
        <v>0</v>
      </c>
      <c r="N52" s="213">
        <f t="shared" si="24"/>
        <v>1866000</v>
      </c>
      <c r="O52" s="213">
        <f t="shared" si="24"/>
        <v>1866000</v>
      </c>
      <c r="P52" s="213">
        <f t="shared" si="24"/>
        <v>0</v>
      </c>
      <c r="Q52" s="213">
        <f t="shared" si="24"/>
        <v>0</v>
      </c>
      <c r="R52" s="213">
        <f t="shared" si="24"/>
        <v>-20</v>
      </c>
      <c r="S52" s="213"/>
      <c r="T52" s="213">
        <f>SUM(T53:T54)</f>
        <v>0</v>
      </c>
      <c r="U52" s="29"/>
      <c r="V52" s="29"/>
      <c r="W52" s="29"/>
    </row>
    <row r="53" spans="1:23" ht="12.75">
      <c r="A53" s="218">
        <v>12201</v>
      </c>
      <c r="B53" s="219" t="s">
        <v>65</v>
      </c>
      <c r="C53" s="291">
        <v>12000</v>
      </c>
      <c r="D53" s="291"/>
      <c r="E53" s="291"/>
      <c r="F53" s="291"/>
      <c r="G53" s="291"/>
      <c r="H53" s="230">
        <f>SUM((D53/C53)-1)*100</f>
        <v>-100</v>
      </c>
      <c r="I53" s="230"/>
      <c r="J53" s="230"/>
      <c r="K53" s="230"/>
      <c r="L53" s="230">
        <f>SUM(H53+I53+J53+K53)/5</f>
        <v>-20</v>
      </c>
      <c r="M53" s="220"/>
      <c r="N53" s="212">
        <v>1866000</v>
      </c>
      <c r="O53" s="221">
        <f>+N53</f>
        <v>1866000</v>
      </c>
      <c r="P53" s="222"/>
      <c r="Q53" s="230"/>
      <c r="R53" s="230">
        <f>SUM(H53+I53+J53+Q53)/5</f>
        <v>-20</v>
      </c>
      <c r="S53" s="230"/>
      <c r="T53" s="220"/>
      <c r="U53" s="29"/>
      <c r="V53" s="29"/>
      <c r="W53" s="23">
        <f>+T53</f>
        <v>0</v>
      </c>
    </row>
    <row r="54" spans="1:23" ht="12.75">
      <c r="A54" s="218"/>
      <c r="B54" s="219"/>
      <c r="C54" s="291"/>
      <c r="D54" s="291"/>
      <c r="E54" s="291"/>
      <c r="F54" s="291"/>
      <c r="G54" s="291"/>
      <c r="H54" s="230"/>
      <c r="I54" s="230"/>
      <c r="J54" s="230"/>
      <c r="K54" s="230"/>
      <c r="L54" s="230"/>
      <c r="M54" s="220"/>
      <c r="N54" s="212"/>
      <c r="O54" s="221"/>
      <c r="P54" s="222"/>
      <c r="Q54" s="230"/>
      <c r="R54" s="230"/>
      <c r="S54" s="230"/>
      <c r="T54" s="220"/>
      <c r="U54" s="29">
        <f>+T54</f>
        <v>0</v>
      </c>
      <c r="V54" s="29"/>
      <c r="W54" s="23"/>
    </row>
    <row r="55" spans="1:23" ht="12.75">
      <c r="A55" s="218"/>
      <c r="B55" s="219"/>
      <c r="C55" s="291"/>
      <c r="D55" s="291"/>
      <c r="E55" s="291"/>
      <c r="F55" s="291"/>
      <c r="G55" s="291"/>
      <c r="H55" s="230"/>
      <c r="I55" s="230"/>
      <c r="J55" s="230"/>
      <c r="K55" s="230"/>
      <c r="L55" s="230">
        <f>SUM(H55+I55)/3</f>
        <v>0</v>
      </c>
      <c r="M55" s="221"/>
      <c r="N55" s="221"/>
      <c r="O55" s="221"/>
      <c r="P55" s="222"/>
      <c r="Q55" s="222"/>
      <c r="R55" s="222"/>
      <c r="S55" s="222"/>
      <c r="T55" s="221"/>
      <c r="U55" s="29"/>
      <c r="V55" s="29"/>
      <c r="W55" s="29"/>
    </row>
    <row r="56" spans="1:23" ht="12.75">
      <c r="A56" s="218" t="s">
        <v>67</v>
      </c>
      <c r="B56" s="233" t="s">
        <v>68</v>
      </c>
      <c r="C56" s="291"/>
      <c r="D56" s="289">
        <f aca="true" t="shared" si="25" ref="D56:L56">SUM(D57:D62)</f>
        <v>0</v>
      </c>
      <c r="E56" s="289">
        <f t="shared" si="25"/>
        <v>0</v>
      </c>
      <c r="F56" s="289">
        <f t="shared" si="25"/>
        <v>3437865013</v>
      </c>
      <c r="G56" s="289"/>
      <c r="H56" s="289">
        <f t="shared" si="25"/>
        <v>0</v>
      </c>
      <c r="I56" s="289">
        <f t="shared" si="25"/>
        <v>0</v>
      </c>
      <c r="J56" s="230"/>
      <c r="K56" s="230"/>
      <c r="L56" s="289">
        <f t="shared" si="25"/>
        <v>0</v>
      </c>
      <c r="M56" s="289">
        <f>SUM(M57:M68)</f>
        <v>3321954109</v>
      </c>
      <c r="N56" s="289">
        <f>SUM(N57:N68)</f>
        <v>2499324621</v>
      </c>
      <c r="O56" s="289">
        <f>SUM(O57:O68)</f>
        <v>3321954109</v>
      </c>
      <c r="P56" s="222">
        <f aca="true" t="shared" si="26" ref="P56:P67">+O56/M56</f>
        <v>1</v>
      </c>
      <c r="Q56" s="229">
        <f>SUM(Q57:Q62)</f>
        <v>0</v>
      </c>
      <c r="R56" s="229">
        <f>SUM(R57:R62)</f>
        <v>0</v>
      </c>
      <c r="S56" s="229">
        <f>SUM(S57:S62)</f>
        <v>0</v>
      </c>
      <c r="T56" s="220">
        <f>SUM(T57:T62)</f>
        <v>3016308024</v>
      </c>
      <c r="U56" s="23"/>
      <c r="V56" s="23"/>
      <c r="W56" s="23"/>
    </row>
    <row r="57" spans="1:23" ht="12.75">
      <c r="A57" s="218">
        <v>12301</v>
      </c>
      <c r="B57" s="219" t="s">
        <v>69</v>
      </c>
      <c r="C57" s="291"/>
      <c r="D57" s="291"/>
      <c r="E57" s="291"/>
      <c r="F57" s="291">
        <v>265331352</v>
      </c>
      <c r="G57" s="291">
        <v>251301523</v>
      </c>
      <c r="H57" s="230"/>
      <c r="I57" s="230"/>
      <c r="J57" s="230"/>
      <c r="K57" s="230"/>
      <c r="L57" s="230">
        <f aca="true" t="shared" si="27" ref="L57:L67">SUM(H57+I57+J57)/4</f>
        <v>0</v>
      </c>
      <c r="M57" s="21">
        <v>248704973</v>
      </c>
      <c r="N57" s="221">
        <v>186391279</v>
      </c>
      <c r="O57" s="21">
        <v>248704973</v>
      </c>
      <c r="P57" s="222">
        <f t="shared" si="26"/>
        <v>1</v>
      </c>
      <c r="Q57" s="222"/>
      <c r="R57" s="222"/>
      <c r="S57" s="222"/>
      <c r="T57" s="221">
        <v>228483534</v>
      </c>
      <c r="U57" s="268">
        <f>SUM(T57)</f>
        <v>228483534</v>
      </c>
      <c r="V57" s="29"/>
      <c r="W57" s="29"/>
    </row>
    <row r="58" spans="1:23" ht="12.75">
      <c r="A58" s="218">
        <v>12302</v>
      </c>
      <c r="B58" s="219" t="s">
        <v>70</v>
      </c>
      <c r="C58" s="291"/>
      <c r="D58" s="291"/>
      <c r="E58" s="291"/>
      <c r="F58" s="291">
        <v>525947924</v>
      </c>
      <c r="G58" s="291">
        <v>279255713</v>
      </c>
      <c r="H58" s="230"/>
      <c r="I58" s="230"/>
      <c r="J58" s="230"/>
      <c r="K58" s="230"/>
      <c r="L58" s="230">
        <f t="shared" si="27"/>
        <v>0</v>
      </c>
      <c r="M58" s="257">
        <v>473186205</v>
      </c>
      <c r="N58" s="221">
        <v>357379661</v>
      </c>
      <c r="O58" s="257">
        <v>473186205</v>
      </c>
      <c r="P58" s="222">
        <f t="shared" si="26"/>
        <v>1</v>
      </c>
      <c r="Q58" s="222"/>
      <c r="R58" s="222"/>
      <c r="S58" s="222"/>
      <c r="T58" s="221">
        <v>424624000</v>
      </c>
      <c r="U58" s="243"/>
      <c r="V58" s="23"/>
      <c r="W58" s="23">
        <f>+T58</f>
        <v>424624000</v>
      </c>
    </row>
    <row r="59" spans="1:23" ht="12.75">
      <c r="A59" s="218">
        <v>12303</v>
      </c>
      <c r="B59" s="219" t="s">
        <v>71</v>
      </c>
      <c r="C59" s="291"/>
      <c r="D59" s="291"/>
      <c r="E59" s="291"/>
      <c r="F59" s="291">
        <v>372118794</v>
      </c>
      <c r="G59" s="291">
        <v>390144250</v>
      </c>
      <c r="H59" s="230"/>
      <c r="I59" s="230"/>
      <c r="J59" s="230"/>
      <c r="K59" s="230"/>
      <c r="L59" s="230">
        <f t="shared" si="27"/>
        <v>0</v>
      </c>
      <c r="M59" s="257">
        <v>402722945</v>
      </c>
      <c r="N59" s="221">
        <v>301791134</v>
      </c>
      <c r="O59" s="257">
        <v>402722945</v>
      </c>
      <c r="P59" s="222">
        <f t="shared" si="26"/>
        <v>1</v>
      </c>
      <c r="Q59" s="222"/>
      <c r="R59" s="222"/>
      <c r="S59" s="222"/>
      <c r="T59" s="221">
        <v>370083307</v>
      </c>
      <c r="U59" s="243">
        <f>SUM(T59)</f>
        <v>370083307</v>
      </c>
      <c r="V59" s="23"/>
      <c r="W59" s="23"/>
    </row>
    <row r="60" spans="1:23" ht="12.75">
      <c r="A60" s="218"/>
      <c r="B60" s="219" t="s">
        <v>265</v>
      </c>
      <c r="C60" s="291"/>
      <c r="D60" s="291"/>
      <c r="E60" s="291"/>
      <c r="F60" s="291">
        <v>999724601</v>
      </c>
      <c r="G60" s="291">
        <v>1034961381</v>
      </c>
      <c r="H60" s="230"/>
      <c r="I60" s="230"/>
      <c r="J60" s="230"/>
      <c r="K60" s="230"/>
      <c r="L60" s="230">
        <f t="shared" si="27"/>
        <v>0</v>
      </c>
      <c r="M60" s="21">
        <v>1050476458</v>
      </c>
      <c r="N60" s="221">
        <v>787579888</v>
      </c>
      <c r="O60" s="21">
        <v>1050476458</v>
      </c>
      <c r="P60" s="222">
        <f t="shared" si="26"/>
        <v>1</v>
      </c>
      <c r="Q60" s="222"/>
      <c r="R60" s="222"/>
      <c r="S60" s="222"/>
      <c r="T60" s="221">
        <v>963954090</v>
      </c>
      <c r="U60" s="243"/>
      <c r="V60" s="23"/>
      <c r="W60" s="23"/>
    </row>
    <row r="61" spans="1:23" ht="12.75">
      <c r="A61" s="218">
        <v>12304</v>
      </c>
      <c r="B61" s="219" t="s">
        <v>72</v>
      </c>
      <c r="C61" s="291"/>
      <c r="D61" s="291"/>
      <c r="E61" s="291"/>
      <c r="F61" s="291">
        <v>1217193768</v>
      </c>
      <c r="G61" s="291">
        <v>1340563223</v>
      </c>
      <c r="H61" s="230"/>
      <c r="I61" s="230"/>
      <c r="J61" s="230"/>
      <c r="K61" s="230"/>
      <c r="L61" s="230">
        <f t="shared" si="27"/>
        <v>0</v>
      </c>
      <c r="M61" s="21">
        <v>1095088076</v>
      </c>
      <c r="N61" s="221">
        <v>827078642</v>
      </c>
      <c r="O61" s="21">
        <v>1095088076</v>
      </c>
      <c r="P61" s="222">
        <f t="shared" si="26"/>
        <v>1</v>
      </c>
      <c r="Q61" s="222"/>
      <c r="R61" s="222"/>
      <c r="S61" s="222"/>
      <c r="T61" s="221">
        <v>982701258</v>
      </c>
      <c r="U61" s="243">
        <f>SUM(T61)</f>
        <v>982701258</v>
      </c>
      <c r="V61" s="23"/>
      <c r="W61" s="23"/>
    </row>
    <row r="62" spans="1:23" ht="12.75">
      <c r="A62" s="218">
        <v>12305</v>
      </c>
      <c r="B62" s="219" t="s">
        <v>73</v>
      </c>
      <c r="C62" s="291"/>
      <c r="D62" s="291"/>
      <c r="E62" s="291"/>
      <c r="F62" s="291">
        <v>57548574</v>
      </c>
      <c r="G62" s="291">
        <v>63381446</v>
      </c>
      <c r="H62" s="230"/>
      <c r="I62" s="230"/>
      <c r="J62" s="230"/>
      <c r="K62" s="230"/>
      <c r="L62" s="230">
        <f t="shared" si="27"/>
        <v>0</v>
      </c>
      <c r="M62" s="21">
        <v>51775452</v>
      </c>
      <c r="N62" s="221">
        <v>39104017</v>
      </c>
      <c r="O62" s="21">
        <v>51775452</v>
      </c>
      <c r="P62" s="222">
        <f t="shared" si="26"/>
        <v>1</v>
      </c>
      <c r="Q62" s="222"/>
      <c r="R62" s="222"/>
      <c r="S62" s="222"/>
      <c r="T62" s="221">
        <v>46461835</v>
      </c>
      <c r="U62" s="243">
        <f>SUM(T62)</f>
        <v>46461835</v>
      </c>
      <c r="V62" s="23"/>
      <c r="W62" s="23"/>
    </row>
    <row r="63" spans="1:23" ht="12.75">
      <c r="A63" s="218"/>
      <c r="B63" s="219"/>
      <c r="C63" s="291"/>
      <c r="D63" s="291"/>
      <c r="E63" s="291"/>
      <c r="F63" s="220"/>
      <c r="G63" s="220"/>
      <c r="H63" s="230"/>
      <c r="I63" s="230"/>
      <c r="J63" s="230"/>
      <c r="K63" s="230"/>
      <c r="L63" s="230">
        <f t="shared" si="27"/>
        <v>0</v>
      </c>
      <c r="M63" s="220"/>
      <c r="N63" s="220"/>
      <c r="O63" s="220"/>
      <c r="P63" s="222" t="e">
        <f t="shared" si="26"/>
        <v>#DIV/0!</v>
      </c>
      <c r="Q63" s="222"/>
      <c r="R63" s="222"/>
      <c r="S63" s="222"/>
      <c r="T63" s="220"/>
      <c r="U63" s="243"/>
      <c r="V63" s="23"/>
      <c r="W63" s="23"/>
    </row>
    <row r="64" spans="1:23" ht="12.75">
      <c r="A64" s="218"/>
      <c r="B64" s="219"/>
      <c r="C64" s="291"/>
      <c r="D64" s="291"/>
      <c r="E64" s="291"/>
      <c r="F64" s="220"/>
      <c r="G64" s="220"/>
      <c r="H64" s="230"/>
      <c r="I64" s="230"/>
      <c r="J64" s="230"/>
      <c r="K64" s="230"/>
      <c r="L64" s="230">
        <f t="shared" si="27"/>
        <v>0</v>
      </c>
      <c r="M64" s="220"/>
      <c r="N64" s="220"/>
      <c r="O64" s="220"/>
      <c r="P64" s="222" t="e">
        <f t="shared" si="26"/>
        <v>#DIV/0!</v>
      </c>
      <c r="Q64" s="222"/>
      <c r="R64" s="222"/>
      <c r="S64" s="222"/>
      <c r="T64" s="220"/>
      <c r="U64" s="243"/>
      <c r="V64" s="23"/>
      <c r="W64" s="23"/>
    </row>
    <row r="65" spans="1:23" ht="12.75">
      <c r="A65" s="218"/>
      <c r="B65" s="219"/>
      <c r="C65" s="291"/>
      <c r="D65" s="291"/>
      <c r="E65" s="291"/>
      <c r="F65" s="220"/>
      <c r="G65" s="220"/>
      <c r="H65" s="230"/>
      <c r="I65" s="230"/>
      <c r="J65" s="230"/>
      <c r="K65" s="230"/>
      <c r="L65" s="230">
        <f t="shared" si="27"/>
        <v>0</v>
      </c>
      <c r="M65" s="220"/>
      <c r="N65" s="220"/>
      <c r="O65" s="220"/>
      <c r="P65" s="222" t="e">
        <f t="shared" si="26"/>
        <v>#DIV/0!</v>
      </c>
      <c r="Q65" s="222"/>
      <c r="R65" s="222"/>
      <c r="S65" s="222"/>
      <c r="T65" s="220"/>
      <c r="U65" s="243"/>
      <c r="V65" s="23"/>
      <c r="W65" s="23"/>
    </row>
    <row r="66" spans="1:23" ht="12.75">
      <c r="A66" s="218"/>
      <c r="B66" s="219"/>
      <c r="C66" s="291"/>
      <c r="D66" s="291"/>
      <c r="E66" s="291"/>
      <c r="F66" s="220"/>
      <c r="G66" s="220"/>
      <c r="H66" s="230"/>
      <c r="I66" s="230"/>
      <c r="J66" s="230"/>
      <c r="K66" s="230"/>
      <c r="L66" s="230">
        <f t="shared" si="27"/>
        <v>0</v>
      </c>
      <c r="M66" s="220"/>
      <c r="N66" s="220"/>
      <c r="O66" s="220"/>
      <c r="P66" s="222" t="e">
        <f t="shared" si="26"/>
        <v>#DIV/0!</v>
      </c>
      <c r="Q66" s="222"/>
      <c r="R66" s="222"/>
      <c r="S66" s="222"/>
      <c r="T66" s="220"/>
      <c r="U66" s="243"/>
      <c r="V66" s="23"/>
      <c r="W66" s="23"/>
    </row>
    <row r="67" spans="1:23" ht="12.75">
      <c r="A67" s="218"/>
      <c r="B67" s="219"/>
      <c r="C67" s="291"/>
      <c r="D67" s="291"/>
      <c r="E67" s="291"/>
      <c r="F67" s="220"/>
      <c r="G67" s="220"/>
      <c r="H67" s="230"/>
      <c r="I67" s="230"/>
      <c r="J67" s="230"/>
      <c r="K67" s="230"/>
      <c r="L67" s="230">
        <f t="shared" si="27"/>
        <v>0</v>
      </c>
      <c r="M67" s="220"/>
      <c r="N67" s="220"/>
      <c r="O67" s="220"/>
      <c r="P67" s="222" t="e">
        <f t="shared" si="26"/>
        <v>#DIV/0!</v>
      </c>
      <c r="Q67" s="222"/>
      <c r="R67" s="222"/>
      <c r="S67" s="222"/>
      <c r="T67" s="220"/>
      <c r="U67" s="243"/>
      <c r="V67" s="23"/>
      <c r="W67" s="23"/>
    </row>
    <row r="68" spans="1:23" ht="12.75">
      <c r="A68" s="218"/>
      <c r="B68" s="219"/>
      <c r="C68" s="291"/>
      <c r="D68" s="291"/>
      <c r="E68" s="291"/>
      <c r="F68" s="220"/>
      <c r="G68" s="220"/>
      <c r="H68" s="230"/>
      <c r="I68" s="230"/>
      <c r="J68" s="230"/>
      <c r="K68" s="230"/>
      <c r="L68" s="230"/>
      <c r="M68" s="220"/>
      <c r="N68" s="220"/>
      <c r="O68" s="220"/>
      <c r="P68" s="222">
        <f>+O57/M57</f>
        <v>1</v>
      </c>
      <c r="Q68" s="222"/>
      <c r="R68" s="222"/>
      <c r="S68" s="222"/>
      <c r="T68" s="269"/>
      <c r="U68" s="243"/>
      <c r="V68" s="23"/>
      <c r="W68" s="23"/>
    </row>
    <row r="69" spans="1:23" s="18" customFormat="1" ht="12.75">
      <c r="A69" s="218">
        <v>2</v>
      </c>
      <c r="B69" s="233" t="s">
        <v>74</v>
      </c>
      <c r="C69" s="295">
        <f aca="true" t="shared" si="28" ref="C69:L69">C70</f>
        <v>6314428</v>
      </c>
      <c r="D69" s="295">
        <f t="shared" si="28"/>
        <v>5101304</v>
      </c>
      <c r="E69" s="295">
        <f t="shared" si="28"/>
        <v>46944883</v>
      </c>
      <c r="F69" s="295"/>
      <c r="G69" s="295"/>
      <c r="H69" s="213">
        <f t="shared" si="28"/>
        <v>-19.211938120127424</v>
      </c>
      <c r="I69" s="213">
        <f t="shared" si="28"/>
        <v>820.2526060003482</v>
      </c>
      <c r="J69" s="230">
        <f>SUM((F69/E69)-1)*100</f>
        <v>-100</v>
      </c>
      <c r="K69" s="230"/>
      <c r="L69" s="213">
        <f t="shared" si="28"/>
        <v>167.7097923002564</v>
      </c>
      <c r="M69" s="213">
        <f aca="true" t="shared" si="29" ref="M69:R69">M70</f>
        <v>53813338</v>
      </c>
      <c r="N69" s="213">
        <f t="shared" si="29"/>
        <v>61377832</v>
      </c>
      <c r="O69" s="213">
        <f>O70</f>
        <v>65670334</v>
      </c>
      <c r="P69" s="213">
        <f t="shared" si="29"/>
        <v>1</v>
      </c>
      <c r="Q69" s="213">
        <f t="shared" si="29"/>
        <v>-0.6159990931842496</v>
      </c>
      <c r="R69" s="213">
        <f t="shared" si="29"/>
        <v>162.79603051314956</v>
      </c>
      <c r="S69" s="213"/>
      <c r="T69" s="213">
        <f>T70</f>
        <v>68953850.7</v>
      </c>
      <c r="U69" s="30"/>
      <c r="V69" s="30"/>
      <c r="W69" s="30"/>
    </row>
    <row r="70" spans="1:23" ht="12.75">
      <c r="A70" s="218">
        <v>201</v>
      </c>
      <c r="B70" s="219" t="s">
        <v>75</v>
      </c>
      <c r="C70" s="291">
        <v>6314428</v>
      </c>
      <c r="D70" s="291">
        <v>5101304</v>
      </c>
      <c r="E70" s="291">
        <v>46944883</v>
      </c>
      <c r="F70" s="291">
        <v>53308489</v>
      </c>
      <c r="G70" s="291">
        <v>66077370</v>
      </c>
      <c r="H70" s="230">
        <f>SUM((D70/C70)-1)*100</f>
        <v>-19.211938120127424</v>
      </c>
      <c r="I70" s="230">
        <f>SUM((E70/D70)-1)*100</f>
        <v>820.2526060003482</v>
      </c>
      <c r="J70" s="230">
        <f>SUM((F70/E70)-1)*100</f>
        <v>13.555483778711297</v>
      </c>
      <c r="K70" s="230">
        <f>SUM((G70/F70)-1)*100</f>
        <v>23.952809842349865</v>
      </c>
      <c r="L70" s="230">
        <f>SUM(H70+I70+J70+K70)/5</f>
        <v>167.7097923002564</v>
      </c>
      <c r="M70" s="220">
        <v>53813338</v>
      </c>
      <c r="N70" s="212">
        <v>61377832</v>
      </c>
      <c r="O70" s="234">
        <v>65670334</v>
      </c>
      <c r="P70" s="222">
        <f>+O59/M59</f>
        <v>1</v>
      </c>
      <c r="Q70" s="230">
        <f>SUM((O70/G70)-1)*100</f>
        <v>-0.6159990931842496</v>
      </c>
      <c r="R70" s="230">
        <f>SUM(H70+I70+J70+Q70)/5</f>
        <v>162.79603051314956</v>
      </c>
      <c r="S70" s="306">
        <v>1.05</v>
      </c>
      <c r="T70" s="220">
        <f>O70*S70</f>
        <v>68953850.7</v>
      </c>
      <c r="U70" s="29">
        <f>+T77</f>
        <v>0</v>
      </c>
      <c r="V70" s="29"/>
      <c r="W70" s="23"/>
    </row>
    <row r="71" spans="1:23" ht="12.75">
      <c r="A71" s="218"/>
      <c r="B71" s="219"/>
      <c r="C71" s="229"/>
      <c r="D71" s="229"/>
      <c r="E71" s="229"/>
      <c r="F71" s="229"/>
      <c r="G71" s="229"/>
      <c r="H71" s="230"/>
      <c r="I71" s="230"/>
      <c r="J71" s="230"/>
      <c r="K71" s="230"/>
      <c r="L71" s="230"/>
      <c r="M71" s="220"/>
      <c r="N71" s="212"/>
      <c r="O71" s="221"/>
      <c r="P71" s="222"/>
      <c r="Q71" s="222"/>
      <c r="R71" s="222"/>
      <c r="S71" s="222"/>
      <c r="T71" s="221"/>
      <c r="U71" s="29"/>
      <c r="V71" s="29"/>
      <c r="W71" s="29"/>
    </row>
    <row r="72" spans="1:23" ht="12.75">
      <c r="A72" s="218"/>
      <c r="B72" s="219"/>
      <c r="C72" s="229"/>
      <c r="D72" s="229"/>
      <c r="E72" s="229"/>
      <c r="F72" s="229"/>
      <c r="G72" s="229"/>
      <c r="H72" s="230"/>
      <c r="I72" s="230"/>
      <c r="J72" s="230"/>
      <c r="K72" s="230"/>
      <c r="L72" s="230"/>
      <c r="M72" s="220"/>
      <c r="N72" s="212"/>
      <c r="O72" s="221"/>
      <c r="P72" s="222"/>
      <c r="Q72" s="222"/>
      <c r="R72" s="222"/>
      <c r="S72" s="222"/>
      <c r="T72" s="221"/>
      <c r="U72" s="29"/>
      <c r="V72" s="29"/>
      <c r="W72" s="29"/>
    </row>
    <row r="73" spans="1:23" ht="12.75">
      <c r="A73" s="218"/>
      <c r="B73" s="219"/>
      <c r="C73" s="229"/>
      <c r="D73" s="229"/>
      <c r="E73" s="229"/>
      <c r="F73" s="229"/>
      <c r="G73" s="229"/>
      <c r="H73" s="230"/>
      <c r="I73" s="230"/>
      <c r="J73" s="230"/>
      <c r="K73" s="230"/>
      <c r="L73" s="230"/>
      <c r="M73" s="220"/>
      <c r="N73" s="212"/>
      <c r="O73" s="221"/>
      <c r="P73" s="222"/>
      <c r="Q73" s="222"/>
      <c r="R73" s="222"/>
      <c r="S73" s="222"/>
      <c r="T73" s="221"/>
      <c r="U73" s="29"/>
      <c r="V73" s="29"/>
      <c r="W73" s="29"/>
    </row>
    <row r="74" spans="1:23" ht="12.75">
      <c r="A74" s="218"/>
      <c r="B74" s="219"/>
      <c r="C74" s="229"/>
      <c r="D74" s="229"/>
      <c r="E74" s="229"/>
      <c r="F74" s="229"/>
      <c r="G74" s="229"/>
      <c r="H74" s="230"/>
      <c r="I74" s="230"/>
      <c r="J74" s="230"/>
      <c r="K74" s="230"/>
      <c r="L74" s="230"/>
      <c r="M74" s="220"/>
      <c r="N74" s="212"/>
      <c r="O74" s="221"/>
      <c r="P74" s="222"/>
      <c r="Q74" s="222"/>
      <c r="R74" s="222"/>
      <c r="S74" s="222"/>
      <c r="T74" s="221"/>
      <c r="U74" s="29"/>
      <c r="V74" s="29"/>
      <c r="W74" s="29"/>
    </row>
    <row r="75" spans="1:23" ht="12.75">
      <c r="A75" s="1" t="s">
        <v>0</v>
      </c>
      <c r="B75" s="2" t="s">
        <v>1</v>
      </c>
      <c r="C75" s="2" t="s">
        <v>2</v>
      </c>
      <c r="D75" s="2" t="s">
        <v>2</v>
      </c>
      <c r="E75" s="2" t="s">
        <v>2</v>
      </c>
      <c r="F75" s="2"/>
      <c r="G75" s="2"/>
      <c r="H75" s="2" t="s">
        <v>264</v>
      </c>
      <c r="I75" s="2" t="s">
        <v>3</v>
      </c>
      <c r="J75" s="230" t="s">
        <v>3</v>
      </c>
      <c r="K75" s="2" t="s">
        <v>3</v>
      </c>
      <c r="L75" s="2" t="s">
        <v>4</v>
      </c>
      <c r="M75" s="3" t="s">
        <v>5</v>
      </c>
      <c r="N75" s="3" t="s">
        <v>6</v>
      </c>
      <c r="O75" s="3" t="s">
        <v>7</v>
      </c>
      <c r="P75" s="4" t="s">
        <v>8</v>
      </c>
      <c r="Q75" s="2" t="s">
        <v>3</v>
      </c>
      <c r="R75" s="2" t="s">
        <v>9</v>
      </c>
      <c r="S75" s="2" t="s">
        <v>84</v>
      </c>
      <c r="T75" s="3" t="s">
        <v>5</v>
      </c>
      <c r="U75" s="29"/>
      <c r="V75" s="29"/>
      <c r="W75" s="29"/>
    </row>
    <row r="76" spans="1:23" ht="12.75">
      <c r="A76" s="7"/>
      <c r="B76" s="8"/>
      <c r="C76" s="9">
        <v>2002</v>
      </c>
      <c r="D76" s="9">
        <v>2003</v>
      </c>
      <c r="E76" s="9">
        <v>2004</v>
      </c>
      <c r="F76" s="9"/>
      <c r="G76" s="9"/>
      <c r="H76" s="9" t="s">
        <v>301</v>
      </c>
      <c r="I76" s="9" t="s">
        <v>302</v>
      </c>
      <c r="J76" s="230" t="s">
        <v>15</v>
      </c>
      <c r="K76" s="9" t="s">
        <v>307</v>
      </c>
      <c r="L76" s="9" t="s">
        <v>13</v>
      </c>
      <c r="M76" s="10" t="s">
        <v>308</v>
      </c>
      <c r="N76" s="10" t="s">
        <v>309</v>
      </c>
      <c r="O76" s="10" t="s">
        <v>310</v>
      </c>
      <c r="P76" s="11" t="s">
        <v>14</v>
      </c>
      <c r="Q76" s="9" t="s">
        <v>311</v>
      </c>
      <c r="R76" s="9" t="s">
        <v>16</v>
      </c>
      <c r="S76" s="9" t="s">
        <v>85</v>
      </c>
      <c r="T76" s="10" t="s">
        <v>312</v>
      </c>
      <c r="U76" s="29"/>
      <c r="V76" s="29"/>
      <c r="W76" s="29"/>
    </row>
    <row r="77" spans="1:23" ht="12.75">
      <c r="A77" s="218"/>
      <c r="B77" s="219"/>
      <c r="C77" s="229"/>
      <c r="D77" s="229"/>
      <c r="E77" s="229"/>
      <c r="F77" s="229"/>
      <c r="G77" s="229"/>
      <c r="H77" s="230"/>
      <c r="I77" s="230"/>
      <c r="J77" s="230"/>
      <c r="K77" s="230"/>
      <c r="L77" s="230"/>
      <c r="M77" s="221"/>
      <c r="N77" s="221"/>
      <c r="O77" s="221"/>
      <c r="P77" s="222"/>
      <c r="Q77" s="222"/>
      <c r="R77" s="222"/>
      <c r="S77" s="222"/>
      <c r="T77" s="220"/>
      <c r="U77" s="23"/>
      <c r="V77" s="23"/>
      <c r="W77" s="23"/>
    </row>
    <row r="78" spans="1:23" s="18" customFormat="1" ht="12.75">
      <c r="A78" s="218">
        <v>3</v>
      </c>
      <c r="B78" s="233" t="s">
        <v>76</v>
      </c>
      <c r="C78" s="295">
        <f aca="true" t="shared" si="30" ref="C78:L78">SUM(C79:C83)</f>
        <v>9923470</v>
      </c>
      <c r="D78" s="295">
        <f t="shared" si="30"/>
        <v>19683041</v>
      </c>
      <c r="E78" s="295">
        <f t="shared" si="30"/>
        <v>12886280</v>
      </c>
      <c r="F78" s="295"/>
      <c r="G78" s="295"/>
      <c r="H78" s="213">
        <f t="shared" si="30"/>
        <v>18.44103429948271</v>
      </c>
      <c r="I78" s="213">
        <f t="shared" si="30"/>
        <v>-204.69395261890895</v>
      </c>
      <c r="J78" s="213">
        <f t="shared" si="30"/>
        <v>-216.6535212932959</v>
      </c>
      <c r="K78" s="213">
        <f t="shared" si="30"/>
        <v>-22.91963123779095</v>
      </c>
      <c r="L78" s="213">
        <f t="shared" si="30"/>
        <v>-85.16521417010262</v>
      </c>
      <c r="M78" s="213">
        <f aca="true" t="shared" si="31" ref="M78:R78">SUM(M79:M83)</f>
        <v>8005944</v>
      </c>
      <c r="N78" s="213">
        <f t="shared" si="31"/>
        <v>12515743</v>
      </c>
      <c r="O78" s="213">
        <f>SUM(O79:O83)</f>
        <v>12515743</v>
      </c>
      <c r="P78" s="213">
        <f t="shared" si="31"/>
        <v>2.4406712700111632</v>
      </c>
      <c r="Q78" s="213">
        <f t="shared" si="31"/>
        <v>-43.51146918440494</v>
      </c>
      <c r="R78" s="213">
        <f t="shared" si="31"/>
        <v>-89.28358175942543</v>
      </c>
      <c r="S78" s="213"/>
      <c r="T78" s="213">
        <f>SUM(T79:T83)</f>
        <v>12633594.528996786</v>
      </c>
      <c r="U78" s="30"/>
      <c r="V78" s="30"/>
      <c r="W78" s="30"/>
    </row>
    <row r="79" spans="1:23" ht="12.75">
      <c r="A79" s="218">
        <v>301</v>
      </c>
      <c r="B79" s="219" t="s">
        <v>77</v>
      </c>
      <c r="C79" s="291"/>
      <c r="D79" s="296"/>
      <c r="E79" s="296"/>
      <c r="F79" s="296"/>
      <c r="G79" s="296"/>
      <c r="H79" s="230"/>
      <c r="I79" s="230"/>
      <c r="J79" s="230"/>
      <c r="K79" s="230"/>
      <c r="L79" s="230">
        <f>SUM(H79+I79)/3</f>
        <v>0</v>
      </c>
      <c r="M79" s="216"/>
      <c r="N79" s="212"/>
      <c r="O79" s="221"/>
      <c r="P79" s="222"/>
      <c r="Q79" s="222"/>
      <c r="R79" s="222"/>
      <c r="S79" s="222"/>
      <c r="T79" s="221"/>
      <c r="U79" s="29"/>
      <c r="V79" s="29"/>
      <c r="W79" s="29"/>
    </row>
    <row r="80" spans="1:23" ht="12.75">
      <c r="A80" s="218">
        <v>302</v>
      </c>
      <c r="B80" s="219" t="s">
        <v>78</v>
      </c>
      <c r="C80" s="291">
        <v>7734370</v>
      </c>
      <c r="D80" s="291">
        <v>14717232</v>
      </c>
      <c r="E80" s="291">
        <v>12449247</v>
      </c>
      <c r="F80" s="291">
        <v>10376009</v>
      </c>
      <c r="G80" s="291">
        <v>7997866</v>
      </c>
      <c r="H80" s="230">
        <f>SUM((D80/C80)-1)*100</f>
        <v>90.28352664793641</v>
      </c>
      <c r="I80" s="230">
        <f>SUM((E80/D80)-1)*100</f>
        <v>-15.410404619564332</v>
      </c>
      <c r="J80" s="230">
        <f>SUM((F80/E80)-1)*100</f>
        <v>-16.653521293295892</v>
      </c>
      <c r="K80" s="230">
        <f>SUM((G80/F80)-1)*100</f>
        <v>-22.91963123779095</v>
      </c>
      <c r="L80" s="230">
        <f>SUM(H80+I80+J80+K80)/5</f>
        <v>7.059993899457046</v>
      </c>
      <c r="M80" s="220">
        <v>8005944</v>
      </c>
      <c r="N80" s="212">
        <v>12515743</v>
      </c>
      <c r="O80" s="231">
        <v>12515743</v>
      </c>
      <c r="P80" s="222">
        <f>+O69/M69</f>
        <v>1.2203356350055816</v>
      </c>
      <c r="Q80" s="230">
        <f>SUM((O80/G80)-1)*100</f>
        <v>56.48853081559506</v>
      </c>
      <c r="R80" s="230">
        <f>SUM(H80+I80+J80+Q80)/5</f>
        <v>22.94162631013425</v>
      </c>
      <c r="S80" s="230">
        <f>SUM(R80-22)</f>
        <v>0.9416263101342501</v>
      </c>
      <c r="T80" s="220">
        <f>SUM(O80*S80)/100+(O80)</f>
        <v>12633594.528996786</v>
      </c>
      <c r="U80" s="31"/>
      <c r="V80" s="29">
        <f>+T82</f>
        <v>0</v>
      </c>
      <c r="W80" s="29"/>
    </row>
    <row r="81" spans="1:23" ht="12.75">
      <c r="A81" s="218">
        <v>303</v>
      </c>
      <c r="J81" s="230"/>
      <c r="K81" s="209"/>
      <c r="P81" s="222">
        <f>+O70/M70</f>
        <v>1.2203356350055816</v>
      </c>
      <c r="U81" s="31"/>
      <c r="V81" s="29">
        <f>+T83</f>
        <v>0</v>
      </c>
      <c r="W81" s="29"/>
    </row>
    <row r="82" spans="1:23" ht="12.75">
      <c r="A82" s="218">
        <v>304</v>
      </c>
      <c r="B82" s="219" t="s">
        <v>86</v>
      </c>
      <c r="C82" s="291"/>
      <c r="D82" s="291">
        <v>4349413</v>
      </c>
      <c r="E82" s="291">
        <v>432233</v>
      </c>
      <c r="F82" s="291"/>
      <c r="G82" s="291">
        <v>978980</v>
      </c>
      <c r="H82" s="230"/>
      <c r="I82" s="230">
        <f>SUM((E82/D82)-1)*100</f>
        <v>-90.06226817273964</v>
      </c>
      <c r="J82" s="230">
        <f>SUM((F82/E82)-1)*100</f>
        <v>-100</v>
      </c>
      <c r="K82" s="230"/>
      <c r="L82" s="230">
        <f>SUM(H82+I82+J82+K82)/5</f>
        <v>-38.012453634547924</v>
      </c>
      <c r="M82" s="220"/>
      <c r="N82" s="212"/>
      <c r="O82" s="231"/>
      <c r="P82" s="222"/>
      <c r="Q82" s="230">
        <f>SUM((O82/G82)-1)*100</f>
        <v>-100</v>
      </c>
      <c r="R82" s="230">
        <f>SUM(H82+I82+J82+Q82)/5</f>
        <v>-58.01245363454793</v>
      </c>
      <c r="S82" s="220"/>
      <c r="T82" s="220">
        <v>0</v>
      </c>
      <c r="U82" s="31"/>
      <c r="V82" s="29">
        <f>+T84</f>
        <v>3857339966.0173764</v>
      </c>
      <c r="W82" s="29"/>
    </row>
    <row r="83" spans="1:23" ht="12.75">
      <c r="A83" s="218">
        <v>305</v>
      </c>
      <c r="B83" s="219" t="s">
        <v>80</v>
      </c>
      <c r="C83" s="291">
        <v>2189100</v>
      </c>
      <c r="D83" s="291">
        <v>616396</v>
      </c>
      <c r="E83" s="291">
        <v>4800</v>
      </c>
      <c r="F83" s="291"/>
      <c r="G83" s="291"/>
      <c r="H83" s="230">
        <f>SUM((D83/C83)-1)*100</f>
        <v>-71.8424923484537</v>
      </c>
      <c r="I83" s="230">
        <f>SUM((E83/D83)-1)*100</f>
        <v>-99.22127982660498</v>
      </c>
      <c r="J83" s="230">
        <f>SUM((F83/E83)-1)*100</f>
        <v>-100</v>
      </c>
      <c r="K83" s="230"/>
      <c r="L83" s="230">
        <f>SUM(H83+I83+J83+K83)/5</f>
        <v>-54.212754435011746</v>
      </c>
      <c r="M83" s="220"/>
      <c r="N83" s="212"/>
      <c r="O83" s="231"/>
      <c r="P83" s="222"/>
      <c r="Q83" s="230"/>
      <c r="R83" s="230">
        <f>SUM(H83+I83+J83+Q83)/5</f>
        <v>-54.212754435011746</v>
      </c>
      <c r="S83" s="220"/>
      <c r="T83" s="220"/>
      <c r="U83" s="23"/>
      <c r="V83" s="23"/>
      <c r="W83" s="23"/>
    </row>
    <row r="84" spans="1:23" s="37" customFormat="1" ht="12.75">
      <c r="A84" s="232"/>
      <c r="B84" s="233" t="s">
        <v>81</v>
      </c>
      <c r="C84" s="34">
        <f>C7+C13+C37+C52+C56+C69+C78</f>
        <v>545528935</v>
      </c>
      <c r="D84" s="34">
        <f>D7+D13+D37+D52+D56+D69+D78</f>
        <v>538203070</v>
      </c>
      <c r="E84" s="34">
        <f>E7+E13+E37+E52+E56+E69+E78</f>
        <v>581368851</v>
      </c>
      <c r="F84" s="34"/>
      <c r="G84" s="34"/>
      <c r="H84" s="34"/>
      <c r="I84" s="34"/>
      <c r="J84" s="230"/>
      <c r="K84" s="230"/>
      <c r="L84" s="34"/>
      <c r="M84" s="34">
        <f>M7+M13+M37+M52+M56+M69+M78</f>
        <v>4237712478</v>
      </c>
      <c r="N84" s="34">
        <f>N7+N13+N37+N52+N56+N69+N78</f>
        <v>3257254846</v>
      </c>
      <c r="O84" s="34">
        <f>O7+O13+O37+O52+O56+O69+O78</f>
        <v>4165280345</v>
      </c>
      <c r="P84" s="34"/>
      <c r="Q84" s="34"/>
      <c r="R84" s="34"/>
      <c r="S84" s="34"/>
      <c r="T84" s="34">
        <f>T7+T13+T37+T52+T56+T69+T78</f>
        <v>3857339966.0173764</v>
      </c>
      <c r="U84" s="36">
        <f>SUM(U5:U83)</f>
        <v>1687371514.2829301</v>
      </c>
      <c r="V84" s="36">
        <f>SUM(V5:V83)</f>
        <v>3857767032.5642385</v>
      </c>
      <c r="W84" s="36" t="e">
        <f>SUM(W5:W83)</f>
        <v>#REF!</v>
      </c>
    </row>
    <row r="85" spans="1:23" s="37" customFormat="1" ht="12.75">
      <c r="A85" s="38"/>
      <c r="B85" s="39"/>
      <c r="C85" s="39"/>
      <c r="D85" s="51"/>
      <c r="E85" s="40"/>
      <c r="F85" s="40"/>
      <c r="G85" s="40"/>
      <c r="H85" s="209"/>
      <c r="I85" s="209"/>
      <c r="J85" s="209"/>
      <c r="K85" s="209"/>
      <c r="L85" s="209"/>
      <c r="M85" s="53"/>
      <c r="N85" s="40"/>
      <c r="O85" s="40"/>
      <c r="P85" s="41"/>
      <c r="Q85" s="41"/>
      <c r="R85" s="41"/>
      <c r="S85" s="41"/>
      <c r="T85" s="42"/>
      <c r="U85" s="43"/>
      <c r="V85" s="43"/>
      <c r="W85" s="43"/>
    </row>
    <row r="86" spans="1:23" s="37" customFormat="1" ht="12.75">
      <c r="A86" s="38"/>
      <c r="B86" s="39"/>
      <c r="C86" s="39"/>
      <c r="D86" s="40"/>
      <c r="E86" s="40"/>
      <c r="F86" s="40"/>
      <c r="G86" s="40"/>
      <c r="H86" s="39"/>
      <c r="I86" s="39"/>
      <c r="J86" s="39"/>
      <c r="K86" s="39"/>
      <c r="L86" s="209"/>
      <c r="M86" s="40"/>
      <c r="N86" s="40"/>
      <c r="O86" s="40"/>
      <c r="P86" s="41"/>
      <c r="Q86" s="41"/>
      <c r="R86" s="41"/>
      <c r="S86" s="41"/>
      <c r="T86" s="42"/>
      <c r="U86" s="43"/>
      <c r="V86" s="43"/>
      <c r="W86" s="43"/>
    </row>
    <row r="87" spans="1:23" s="37" customFormat="1" ht="12.75">
      <c r="A87" s="38"/>
      <c r="B87" s="39" t="s">
        <v>267</v>
      </c>
      <c r="C87" s="39"/>
      <c r="D87" s="40"/>
      <c r="E87" s="40"/>
      <c r="F87" s="40"/>
      <c r="G87" s="40"/>
      <c r="H87" s="39"/>
      <c r="I87" s="39"/>
      <c r="J87" s="39"/>
      <c r="K87" s="39"/>
      <c r="L87" s="209"/>
      <c r="M87" s="40"/>
      <c r="N87" s="40"/>
      <c r="O87" s="40"/>
      <c r="P87" s="41"/>
      <c r="Q87" s="41"/>
      <c r="R87" s="41"/>
      <c r="S87" s="41"/>
      <c r="T87" s="42"/>
      <c r="U87" s="43"/>
      <c r="V87" s="43"/>
      <c r="W87" s="43"/>
    </row>
    <row r="88" spans="1:23" s="37" customFormat="1" ht="12.75">
      <c r="A88" s="38"/>
      <c r="B88" s="288" t="s">
        <v>287</v>
      </c>
      <c r="C88" s="288"/>
      <c r="D88" s="40"/>
      <c r="E88" s="40"/>
      <c r="F88" s="40"/>
      <c r="G88" s="40"/>
      <c r="H88" s="39"/>
      <c r="I88" s="39"/>
      <c r="J88" s="39"/>
      <c r="K88" s="39"/>
      <c r="L88" s="209"/>
      <c r="M88" s="40"/>
      <c r="N88" s="40"/>
      <c r="O88"/>
      <c r="P88" s="41"/>
      <c r="Q88" s="41"/>
      <c r="R88" s="41"/>
      <c r="S88" s="41"/>
      <c r="T88"/>
      <c r="U88" s="43"/>
      <c r="V88" s="43"/>
      <c r="W88" s="43"/>
    </row>
    <row r="89" spans="1:23" s="37" customFormat="1" ht="12.75">
      <c r="A89" s="44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209"/>
      <c r="M89" s="53"/>
      <c r="N89" s="40"/>
      <c r="O89"/>
      <c r="P89" s="41"/>
      <c r="Q89" s="41"/>
      <c r="R89" s="41"/>
      <c r="S89" s="41"/>
      <c r="T89"/>
      <c r="U89" s="43"/>
      <c r="V89" s="43"/>
      <c r="W89" s="43"/>
    </row>
    <row r="90" spans="4:14" ht="12.75">
      <c r="D90" s="39"/>
      <c r="E90" s="39"/>
      <c r="F90" s="39"/>
      <c r="G90" s="39"/>
      <c r="H90" s="39"/>
      <c r="I90" s="39"/>
      <c r="J90" s="39"/>
      <c r="K90" s="39"/>
      <c r="L90" s="209"/>
      <c r="M90" s="53"/>
      <c r="N90" s="210"/>
    </row>
    <row r="91" spans="4:13" ht="12.75">
      <c r="D91" s="39"/>
      <c r="E91" s="39"/>
      <c r="F91" s="39"/>
      <c r="G91" s="39"/>
      <c r="H91" s="39"/>
      <c r="I91" s="39"/>
      <c r="J91" s="39"/>
      <c r="K91" s="39"/>
      <c r="L91" s="209"/>
      <c r="M91" s="40"/>
    </row>
    <row r="92" ht="12.75">
      <c r="L92" s="209"/>
    </row>
    <row r="93" ht="12.75">
      <c r="L93" s="209"/>
    </row>
    <row r="94" ht="12.75">
      <c r="L94" s="209"/>
    </row>
    <row r="95" spans="2:12" ht="12.75">
      <c r="B95" s="255"/>
      <c r="L95" s="209"/>
    </row>
    <row r="96" ht="12.75">
      <c r="L96" s="209"/>
    </row>
    <row r="97" ht="12.75">
      <c r="L97" s="209"/>
    </row>
    <row r="98" ht="12.75">
      <c r="L98" s="209"/>
    </row>
    <row r="99" ht="12.75">
      <c r="L99" s="209"/>
    </row>
    <row r="100" ht="12.75">
      <c r="L100" s="209"/>
    </row>
    <row r="101" ht="12.75">
      <c r="L101" s="209"/>
    </row>
    <row r="102" ht="12.75">
      <c r="L102" s="209"/>
    </row>
    <row r="103" ht="12.75">
      <c r="L103" s="209"/>
    </row>
    <row r="104" ht="12.75">
      <c r="L104" s="209"/>
    </row>
    <row r="105" ht="12.75">
      <c r="L105" s="209"/>
    </row>
    <row r="106" ht="12.75">
      <c r="L106" s="209"/>
    </row>
    <row r="107" ht="12.75">
      <c r="L107" s="209"/>
    </row>
    <row r="108" ht="12.75">
      <c r="L108" s="209"/>
    </row>
    <row r="109" ht="12.75">
      <c r="L109" s="209"/>
    </row>
    <row r="110" ht="12.75">
      <c r="L110" s="209"/>
    </row>
    <row r="111" ht="12.75">
      <c r="L111" s="209"/>
    </row>
    <row r="112" ht="12.75">
      <c r="L112" s="209"/>
    </row>
    <row r="113" ht="12.75">
      <c r="L113" s="209"/>
    </row>
    <row r="114" ht="12.75">
      <c r="L114" s="209"/>
    </row>
    <row r="115" ht="12.75">
      <c r="L115" s="209"/>
    </row>
    <row r="116" ht="12.75">
      <c r="L116" s="209"/>
    </row>
    <row r="117" ht="12.75">
      <c r="L117" s="209"/>
    </row>
    <row r="118" ht="12.75">
      <c r="L118" s="209"/>
    </row>
    <row r="119" ht="12.75">
      <c r="L119" s="209"/>
    </row>
    <row r="120" ht="12.75">
      <c r="L120" s="209"/>
    </row>
    <row r="121" ht="12.75">
      <c r="L121" s="209"/>
    </row>
    <row r="122" ht="12.75">
      <c r="L122" s="209"/>
    </row>
    <row r="123" ht="12.75">
      <c r="L123" s="209"/>
    </row>
    <row r="124" ht="12.75">
      <c r="L124" s="209"/>
    </row>
    <row r="125" ht="12.75">
      <c r="L125" s="209"/>
    </row>
    <row r="126" ht="12.75">
      <c r="L126" s="209"/>
    </row>
    <row r="127" ht="12.75">
      <c r="L127" s="209"/>
    </row>
    <row r="128" ht="12.75">
      <c r="L128" s="209"/>
    </row>
    <row r="129" ht="12.75">
      <c r="L129" s="209"/>
    </row>
    <row r="130" ht="12.75">
      <c r="L130" s="209"/>
    </row>
    <row r="131" ht="12.75">
      <c r="L131" s="209"/>
    </row>
    <row r="132" ht="12.75">
      <c r="L132" s="209"/>
    </row>
    <row r="133" ht="12.75">
      <c r="L133" s="209"/>
    </row>
    <row r="134" ht="12.75">
      <c r="L134" s="209"/>
    </row>
    <row r="135" ht="12.75">
      <c r="L135" s="209"/>
    </row>
    <row r="136" ht="12.75">
      <c r="L136" s="209"/>
    </row>
    <row r="137" ht="12.75">
      <c r="L137" s="209"/>
    </row>
    <row r="138" ht="12.75">
      <c r="L138" s="209"/>
    </row>
    <row r="139" ht="12.75">
      <c r="L139" s="209"/>
    </row>
    <row r="140" ht="12.75">
      <c r="L140" s="209"/>
    </row>
    <row r="141" ht="12.75">
      <c r="L141" s="209"/>
    </row>
    <row r="142" ht="12.75">
      <c r="L142" s="209"/>
    </row>
    <row r="143" ht="12.75">
      <c r="L143" s="209"/>
    </row>
    <row r="144" ht="12.75">
      <c r="L144" s="209"/>
    </row>
    <row r="145" ht="12.75">
      <c r="L145" s="209"/>
    </row>
    <row r="146" ht="12.75">
      <c r="L146" s="209"/>
    </row>
    <row r="147" ht="12.75">
      <c r="L147" s="209"/>
    </row>
    <row r="148" ht="12.75">
      <c r="L148" s="209"/>
    </row>
    <row r="149" ht="12.75">
      <c r="L149" s="209"/>
    </row>
    <row r="150" ht="12.75">
      <c r="L150" s="209"/>
    </row>
    <row r="151" ht="12.75">
      <c r="L151" s="209"/>
    </row>
    <row r="152" ht="12.75">
      <c r="L152" s="209"/>
    </row>
    <row r="153" ht="12.75">
      <c r="L153" s="209"/>
    </row>
    <row r="154" ht="12.75">
      <c r="L154" s="209"/>
    </row>
    <row r="155" ht="12.75">
      <c r="L155" s="209"/>
    </row>
    <row r="156" ht="12.75">
      <c r="L156" s="209"/>
    </row>
    <row r="157" ht="12.75">
      <c r="L157" s="209"/>
    </row>
    <row r="158" ht="12.75">
      <c r="L158" s="209"/>
    </row>
    <row r="159" ht="12.75">
      <c r="L159" s="209"/>
    </row>
    <row r="160" ht="12.75">
      <c r="L160" s="209"/>
    </row>
    <row r="161" ht="12.75">
      <c r="L161" s="209"/>
    </row>
    <row r="162" ht="12.75">
      <c r="L162" s="209"/>
    </row>
    <row r="163" ht="12.75">
      <c r="L163" s="209"/>
    </row>
    <row r="164" ht="12.75">
      <c r="L164" s="209"/>
    </row>
    <row r="165" ht="12.75">
      <c r="L165" s="209"/>
    </row>
    <row r="166" ht="12.75">
      <c r="L166" s="209"/>
    </row>
    <row r="167" ht="12.75">
      <c r="L167" s="209"/>
    </row>
    <row r="168" ht="12.75">
      <c r="L168" s="209"/>
    </row>
    <row r="169" ht="12.75">
      <c r="L169" s="209"/>
    </row>
    <row r="170" ht="12.75">
      <c r="L170" s="209"/>
    </row>
    <row r="171" ht="12.75">
      <c r="L171" s="209"/>
    </row>
    <row r="172" ht="12.75">
      <c r="L172" s="209"/>
    </row>
    <row r="173" ht="12.75">
      <c r="L173" s="209"/>
    </row>
    <row r="174" ht="12.75">
      <c r="L174" s="209"/>
    </row>
    <row r="175" ht="12.75">
      <c r="L175" s="209"/>
    </row>
    <row r="176" ht="12.75">
      <c r="L176" s="209"/>
    </row>
    <row r="177" ht="12.75">
      <c r="L177" s="209"/>
    </row>
    <row r="178" ht="12.75">
      <c r="L178" s="209"/>
    </row>
    <row r="179" ht="12.75">
      <c r="L179" s="209"/>
    </row>
    <row r="180" ht="12.75">
      <c r="L180" s="209"/>
    </row>
    <row r="181" ht="12.75">
      <c r="L181" s="209"/>
    </row>
    <row r="182" ht="12.75">
      <c r="L182" s="209"/>
    </row>
    <row r="183" ht="12.75">
      <c r="L183" s="209"/>
    </row>
    <row r="184" ht="12.75">
      <c r="L184" s="209"/>
    </row>
    <row r="185" ht="12.75">
      <c r="L185" s="209"/>
    </row>
    <row r="186" ht="12.75">
      <c r="L186" s="209"/>
    </row>
    <row r="187" ht="12.75">
      <c r="L187" s="209"/>
    </row>
    <row r="188" ht="12.75">
      <c r="L188" s="209"/>
    </row>
    <row r="189" ht="12.75">
      <c r="L189" s="209"/>
    </row>
    <row r="190" ht="12.75">
      <c r="L190" s="209"/>
    </row>
    <row r="191" ht="12.75">
      <c r="L191" s="209"/>
    </row>
    <row r="192" ht="12.75">
      <c r="L192" s="209"/>
    </row>
    <row r="193" ht="12.75">
      <c r="L193" s="209"/>
    </row>
    <row r="194" ht="12.75">
      <c r="L194" s="209"/>
    </row>
    <row r="195" ht="12.75">
      <c r="L195" s="209"/>
    </row>
    <row r="196" ht="12.75">
      <c r="L196" s="209"/>
    </row>
    <row r="197" ht="12.75">
      <c r="L197" s="209"/>
    </row>
    <row r="198" ht="12.75">
      <c r="L198" s="209"/>
    </row>
    <row r="199" ht="12.75">
      <c r="L199" s="209"/>
    </row>
    <row r="200" ht="12.75">
      <c r="L200" s="209"/>
    </row>
    <row r="201" ht="12.75">
      <c r="L201" s="209"/>
    </row>
    <row r="202" ht="12.75">
      <c r="L202" s="209"/>
    </row>
    <row r="203" ht="12.75">
      <c r="L203" s="209"/>
    </row>
    <row r="204" ht="12.75">
      <c r="L204" s="209"/>
    </row>
    <row r="205" ht="12.75">
      <c r="L205" s="209"/>
    </row>
    <row r="206" ht="12.75">
      <c r="L206" s="209"/>
    </row>
    <row r="207" ht="12.75">
      <c r="L207" s="209"/>
    </row>
    <row r="208" ht="12.75">
      <c r="L208" s="209"/>
    </row>
    <row r="209" ht="12.75">
      <c r="L209" s="209"/>
    </row>
    <row r="210" ht="12.75">
      <c r="L210" s="209"/>
    </row>
    <row r="211" ht="12.75">
      <c r="L211" s="209"/>
    </row>
    <row r="212" ht="12.75">
      <c r="L212" s="209"/>
    </row>
    <row r="213" ht="12.75">
      <c r="L213" s="209"/>
    </row>
    <row r="214" ht="12.75">
      <c r="L214" s="209"/>
    </row>
    <row r="215" ht="12.75">
      <c r="L215" s="209"/>
    </row>
    <row r="216" ht="12.75">
      <c r="L216" s="209"/>
    </row>
    <row r="217" ht="12.75">
      <c r="L217" s="209"/>
    </row>
    <row r="218" ht="12.75">
      <c r="L218" s="209"/>
    </row>
    <row r="219" ht="12.75">
      <c r="L219" s="209"/>
    </row>
    <row r="220" ht="12.75">
      <c r="L220" s="209"/>
    </row>
    <row r="221" ht="12.75">
      <c r="L221" s="209"/>
    </row>
    <row r="222" ht="12.75">
      <c r="L222" s="209"/>
    </row>
    <row r="223" ht="12.75">
      <c r="L223" s="209"/>
    </row>
    <row r="224" ht="12.75">
      <c r="L224" s="209"/>
    </row>
    <row r="225" ht="12.75">
      <c r="L225" s="209"/>
    </row>
    <row r="226" ht="12.75">
      <c r="L226" s="209"/>
    </row>
    <row r="227" ht="12.75">
      <c r="L227" s="209"/>
    </row>
    <row r="228" ht="12.75">
      <c r="L228" s="209"/>
    </row>
    <row r="229" ht="12.75">
      <c r="L229" s="209"/>
    </row>
    <row r="230" ht="12.75">
      <c r="L230" s="209"/>
    </row>
    <row r="231" ht="12.75">
      <c r="L231" s="209"/>
    </row>
    <row r="232" ht="12.75">
      <c r="L232" s="209"/>
    </row>
    <row r="233" ht="12.75">
      <c r="L233" s="209"/>
    </row>
    <row r="234" ht="12.75">
      <c r="L234" s="209"/>
    </row>
    <row r="235" ht="12.75">
      <c r="L235" s="209"/>
    </row>
    <row r="236" ht="12.75">
      <c r="L236" s="209"/>
    </row>
    <row r="237" ht="12.75">
      <c r="L237" s="209"/>
    </row>
    <row r="238" ht="12.75">
      <c r="L238" s="209"/>
    </row>
    <row r="239" ht="12.75">
      <c r="L239" s="209"/>
    </row>
    <row r="240" ht="12.75">
      <c r="L240" s="209"/>
    </row>
    <row r="241" ht="12.75">
      <c r="L241" s="209"/>
    </row>
    <row r="242" ht="12.75">
      <c r="L242" s="209"/>
    </row>
    <row r="243" ht="12.75">
      <c r="L243" s="209"/>
    </row>
    <row r="244" ht="12.75">
      <c r="L244" s="209"/>
    </row>
    <row r="245" ht="12.75">
      <c r="L245" s="209"/>
    </row>
    <row r="246" ht="12.75">
      <c r="L246" s="209"/>
    </row>
    <row r="247" ht="12.75">
      <c r="L247" s="209"/>
    </row>
    <row r="248" ht="12.75">
      <c r="L248" s="209"/>
    </row>
    <row r="249" ht="12.75">
      <c r="L249" s="209"/>
    </row>
    <row r="250" ht="12.75">
      <c r="L250" s="209"/>
    </row>
    <row r="251" ht="12.75">
      <c r="L251" s="209"/>
    </row>
    <row r="252" ht="12.75">
      <c r="L252" s="209"/>
    </row>
    <row r="253" ht="12.75">
      <c r="L253" s="209"/>
    </row>
    <row r="254" ht="12.75">
      <c r="L254" s="209"/>
    </row>
    <row r="255" ht="12.75">
      <c r="L255" s="209"/>
    </row>
    <row r="256" ht="12.75">
      <c r="L256" s="209"/>
    </row>
    <row r="257" ht="12.75">
      <c r="L257" s="209"/>
    </row>
    <row r="258" ht="12.75">
      <c r="L258" s="209"/>
    </row>
    <row r="259" ht="12.75">
      <c r="L259" s="209"/>
    </row>
    <row r="260" ht="12.75">
      <c r="L260" s="209"/>
    </row>
    <row r="261" ht="12.75">
      <c r="L261" s="209"/>
    </row>
    <row r="262" ht="12.75">
      <c r="L262" s="209"/>
    </row>
    <row r="263" ht="12.75">
      <c r="L263" s="209"/>
    </row>
    <row r="264" ht="12.75">
      <c r="L264" s="209"/>
    </row>
    <row r="265" ht="12.75">
      <c r="L265" s="209"/>
    </row>
    <row r="266" ht="12.75">
      <c r="L266" s="209"/>
    </row>
    <row r="267" ht="12.75">
      <c r="L267" s="209"/>
    </row>
    <row r="268" ht="12.75">
      <c r="L268" s="209"/>
    </row>
    <row r="269" ht="12.75">
      <c r="L269" s="209"/>
    </row>
    <row r="270" ht="12.75">
      <c r="L270" s="209"/>
    </row>
    <row r="271" ht="12.75">
      <c r="L271" s="209"/>
    </row>
    <row r="272" ht="12.75">
      <c r="L272" s="209"/>
    </row>
    <row r="273" ht="12.75">
      <c r="L273" s="209"/>
    </row>
    <row r="274" ht="12.75">
      <c r="L274" s="209"/>
    </row>
    <row r="275" ht="12.75">
      <c r="L275" s="209"/>
    </row>
    <row r="276" ht="12.75">
      <c r="L276" s="209"/>
    </row>
    <row r="277" ht="12.75">
      <c r="L277" s="209"/>
    </row>
    <row r="278" ht="12.75">
      <c r="L278" s="209"/>
    </row>
    <row r="279" ht="12.75">
      <c r="L279" s="209"/>
    </row>
    <row r="280" ht="12.75">
      <c r="L280" s="209"/>
    </row>
    <row r="281" ht="12.75">
      <c r="L281" s="209"/>
    </row>
    <row r="282" ht="12.75">
      <c r="L282" s="209"/>
    </row>
    <row r="283" ht="12.75">
      <c r="L283" s="209"/>
    </row>
    <row r="284" ht="12.75">
      <c r="L284" s="209"/>
    </row>
    <row r="285" ht="12.75">
      <c r="L285" s="209"/>
    </row>
    <row r="286" ht="12.75">
      <c r="L286" s="209"/>
    </row>
    <row r="287" ht="12.75">
      <c r="L287" s="209"/>
    </row>
    <row r="288" ht="12.75">
      <c r="L288" s="209"/>
    </row>
    <row r="289" ht="12.75">
      <c r="L289" s="209"/>
    </row>
    <row r="290" ht="12.75">
      <c r="L290" s="209"/>
    </row>
    <row r="291" ht="12.75">
      <c r="L291" s="209"/>
    </row>
    <row r="292" ht="12.75">
      <c r="L292" s="209"/>
    </row>
    <row r="293" ht="12.75">
      <c r="L293" s="209"/>
    </row>
    <row r="294" ht="12.75">
      <c r="L294" s="209"/>
    </row>
    <row r="295" ht="12.75">
      <c r="L295" s="209"/>
    </row>
    <row r="296" ht="12.75">
      <c r="L296" s="209"/>
    </row>
    <row r="297" ht="12.75">
      <c r="L297" s="209"/>
    </row>
    <row r="298" ht="12.75">
      <c r="L298" s="209"/>
    </row>
    <row r="299" ht="12.75">
      <c r="L299" s="209"/>
    </row>
    <row r="300" ht="12.75">
      <c r="L300" s="209"/>
    </row>
    <row r="301" ht="12.75">
      <c r="L301" s="209"/>
    </row>
    <row r="302" ht="12.75">
      <c r="L302" s="209"/>
    </row>
    <row r="303" ht="12.75">
      <c r="L303" s="209"/>
    </row>
    <row r="304" ht="12.75">
      <c r="L304" s="209"/>
    </row>
    <row r="305" ht="12.75">
      <c r="L305" s="209"/>
    </row>
    <row r="306" ht="12.75">
      <c r="L306" s="209"/>
    </row>
    <row r="307" ht="12.75">
      <c r="L307" s="209"/>
    </row>
    <row r="308" ht="12.75">
      <c r="L308" s="209"/>
    </row>
    <row r="309" ht="12.75">
      <c r="L309" s="209"/>
    </row>
    <row r="310" ht="12.75">
      <c r="L310" s="209"/>
    </row>
    <row r="311" ht="12.75">
      <c r="L311" s="209"/>
    </row>
    <row r="312" ht="12.75">
      <c r="L312" s="209"/>
    </row>
    <row r="313" ht="12.75">
      <c r="L313" s="209"/>
    </row>
    <row r="314" ht="12.75">
      <c r="L314" s="209"/>
    </row>
    <row r="315" ht="12.75">
      <c r="L315" s="209"/>
    </row>
    <row r="316" ht="12.75">
      <c r="L316" s="209"/>
    </row>
    <row r="317" ht="12.75">
      <c r="L317" s="209"/>
    </row>
    <row r="318" ht="12.75">
      <c r="L318" s="209"/>
    </row>
    <row r="319" ht="12.75">
      <c r="L319" s="209"/>
    </row>
    <row r="320" ht="12.75">
      <c r="L320" s="209"/>
    </row>
    <row r="321" ht="12.75">
      <c r="L321" s="209"/>
    </row>
    <row r="322" ht="12.75">
      <c r="L322" s="209"/>
    </row>
    <row r="323" ht="12.75">
      <c r="L323" s="209"/>
    </row>
    <row r="324" ht="12.75">
      <c r="L324" s="209"/>
    </row>
    <row r="325" ht="12.75">
      <c r="L325" s="209"/>
    </row>
    <row r="326" ht="12.75">
      <c r="L326" s="209"/>
    </row>
    <row r="327" ht="12.75">
      <c r="L327" s="209"/>
    </row>
    <row r="328" ht="12.75">
      <c r="L328" s="209"/>
    </row>
    <row r="329" ht="12.75">
      <c r="L329" s="209"/>
    </row>
    <row r="330" ht="12.75">
      <c r="L330" s="209"/>
    </row>
    <row r="331" ht="12.75">
      <c r="L331" s="209"/>
    </row>
    <row r="332" ht="12.75">
      <c r="L332" s="209"/>
    </row>
    <row r="333" ht="12.75">
      <c r="L333" s="209"/>
    </row>
    <row r="334" ht="12.75">
      <c r="L334" s="209"/>
    </row>
    <row r="335" ht="12.75">
      <c r="L335" s="209"/>
    </row>
    <row r="336" ht="12.75">
      <c r="L336" s="209"/>
    </row>
    <row r="337" ht="12.75">
      <c r="L337" s="209"/>
    </row>
    <row r="338" ht="12.75">
      <c r="L338" s="209"/>
    </row>
    <row r="339" ht="12.75">
      <c r="L339" s="209"/>
    </row>
    <row r="340" ht="12.75">
      <c r="L340" s="209"/>
    </row>
    <row r="341" ht="12.75">
      <c r="L341" s="209"/>
    </row>
    <row r="342" ht="12.75">
      <c r="L342" s="209"/>
    </row>
    <row r="343" ht="12.75">
      <c r="L343" s="209"/>
    </row>
    <row r="344" ht="12.75">
      <c r="L344" s="209"/>
    </row>
    <row r="345" ht="12.75">
      <c r="L345" s="209"/>
    </row>
    <row r="346" ht="12.75">
      <c r="L346" s="209"/>
    </row>
    <row r="347" ht="12.75">
      <c r="L347" s="209"/>
    </row>
    <row r="348" ht="12.75">
      <c r="L348" s="209"/>
    </row>
    <row r="349" ht="12.75">
      <c r="L349" s="209"/>
    </row>
    <row r="350" ht="12.75">
      <c r="L350" s="209"/>
    </row>
    <row r="351" ht="12.75">
      <c r="L351" s="209"/>
    </row>
    <row r="352" ht="12.75">
      <c r="L352" s="209"/>
    </row>
    <row r="353" ht="12.75">
      <c r="L353" s="209"/>
    </row>
    <row r="354" ht="12.75">
      <c r="L354" s="209"/>
    </row>
    <row r="355" ht="12.75">
      <c r="L355" s="209"/>
    </row>
    <row r="356" ht="12.75">
      <c r="L356" s="209"/>
    </row>
    <row r="357" ht="12.75">
      <c r="L357" s="209"/>
    </row>
    <row r="358" ht="12.75">
      <c r="L358" s="209"/>
    </row>
    <row r="359" ht="12.75">
      <c r="L359" s="209"/>
    </row>
    <row r="360" ht="12.75">
      <c r="L360" s="209"/>
    </row>
    <row r="361" ht="12.75">
      <c r="L361" s="209"/>
    </row>
    <row r="362" ht="12.75">
      <c r="L362" s="209"/>
    </row>
    <row r="363" ht="12.75">
      <c r="L363" s="209"/>
    </row>
    <row r="364" ht="12.75">
      <c r="L364" s="209"/>
    </row>
    <row r="365" ht="12.75">
      <c r="L365" s="209"/>
    </row>
    <row r="366" ht="12.75">
      <c r="L366" s="209"/>
    </row>
    <row r="367" ht="12.75">
      <c r="L367" s="209"/>
    </row>
    <row r="368" ht="12.75">
      <c r="L368" s="209"/>
    </row>
    <row r="369" ht="12.75">
      <c r="L369" s="209"/>
    </row>
    <row r="370" ht="12.75">
      <c r="L370" s="209"/>
    </row>
    <row r="371" ht="12.75">
      <c r="L371" s="209"/>
    </row>
    <row r="372" ht="12.75">
      <c r="L372" s="209"/>
    </row>
    <row r="373" ht="12.75">
      <c r="L373" s="209"/>
    </row>
    <row r="374" ht="12.75">
      <c r="L374" s="209"/>
    </row>
    <row r="375" ht="12.75">
      <c r="L375" s="209"/>
    </row>
    <row r="376" ht="12.75">
      <c r="L376" s="209"/>
    </row>
    <row r="377" ht="12.75">
      <c r="L377" s="209"/>
    </row>
    <row r="378" ht="12.75">
      <c r="L378" s="209"/>
    </row>
    <row r="379" ht="12.75">
      <c r="L379" s="209"/>
    </row>
    <row r="380" ht="12.75">
      <c r="L380" s="209"/>
    </row>
    <row r="381" ht="12.75">
      <c r="L381" s="209"/>
    </row>
    <row r="382" ht="12.75">
      <c r="L382" s="209"/>
    </row>
    <row r="383" ht="12.75">
      <c r="L383" s="209"/>
    </row>
    <row r="384" ht="12.75">
      <c r="L384" s="209"/>
    </row>
    <row r="385" ht="12.75">
      <c r="L385" s="209"/>
    </row>
    <row r="386" ht="12.75">
      <c r="L386" s="209"/>
    </row>
    <row r="387" ht="12.75">
      <c r="L387" s="209"/>
    </row>
    <row r="388" ht="12.75">
      <c r="L388" s="209"/>
    </row>
    <row r="389" ht="12.75">
      <c r="L389" s="209"/>
    </row>
    <row r="390" ht="12.75">
      <c r="L390" s="209"/>
    </row>
    <row r="391" ht="12.75">
      <c r="L391" s="209"/>
    </row>
    <row r="392" ht="12.75">
      <c r="L392" s="209"/>
    </row>
    <row r="393" ht="12.75">
      <c r="L393" s="209"/>
    </row>
    <row r="394" ht="12.75">
      <c r="L394" s="209"/>
    </row>
    <row r="395" ht="12.75">
      <c r="L395" s="209"/>
    </row>
    <row r="396" ht="12.75">
      <c r="L396" s="209"/>
    </row>
    <row r="397" ht="12.75">
      <c r="L397" s="209"/>
    </row>
    <row r="398" ht="12.75">
      <c r="L398" s="209"/>
    </row>
    <row r="399" ht="12.75">
      <c r="L399" s="209"/>
    </row>
    <row r="400" ht="12.75">
      <c r="L400" s="209"/>
    </row>
    <row r="401" ht="12.75">
      <c r="L401" s="209"/>
    </row>
    <row r="402" ht="12.75">
      <c r="L402" s="209"/>
    </row>
    <row r="403" ht="12.75">
      <c r="L403" s="209"/>
    </row>
    <row r="404" ht="12.75">
      <c r="L404" s="209"/>
    </row>
    <row r="405" ht="12.75">
      <c r="L405" s="209"/>
    </row>
    <row r="406" ht="12.75">
      <c r="L406" s="209"/>
    </row>
    <row r="407" ht="12.75">
      <c r="L407" s="209"/>
    </row>
    <row r="408" ht="12.75">
      <c r="L408" s="209"/>
    </row>
    <row r="409" ht="12.75">
      <c r="L409" s="209"/>
    </row>
    <row r="410" ht="12.75">
      <c r="L410" s="209"/>
    </row>
    <row r="411" ht="12.75">
      <c r="L411" s="209"/>
    </row>
    <row r="412" ht="12.75">
      <c r="L412" s="209"/>
    </row>
    <row r="413" ht="12.75">
      <c r="L413" s="209"/>
    </row>
    <row r="414" ht="12.75">
      <c r="L414" s="209"/>
    </row>
    <row r="415" ht="12.75">
      <c r="L415" s="209"/>
    </row>
    <row r="416" ht="12.75">
      <c r="L416" s="209"/>
    </row>
    <row r="417" ht="12.75">
      <c r="L417" s="209"/>
    </row>
    <row r="418" ht="12.75">
      <c r="L418" s="209"/>
    </row>
    <row r="419" ht="12.75">
      <c r="L419" s="209"/>
    </row>
    <row r="420" ht="12.75">
      <c r="L420" s="209"/>
    </row>
    <row r="421" ht="12.75">
      <c r="L421" s="209"/>
    </row>
    <row r="422" ht="12.75">
      <c r="L422" s="209"/>
    </row>
    <row r="423" ht="12.75">
      <c r="L423" s="209"/>
    </row>
    <row r="424" ht="12.75">
      <c r="L424" s="209"/>
    </row>
    <row r="425" ht="12.75">
      <c r="L425" s="209"/>
    </row>
    <row r="426" ht="12.75">
      <c r="L426" s="209"/>
    </row>
    <row r="427" ht="12.75">
      <c r="L427" s="209"/>
    </row>
    <row r="428" ht="12.75">
      <c r="L428" s="209"/>
    </row>
    <row r="429" ht="12.75">
      <c r="L429" s="209"/>
    </row>
    <row r="430" ht="12.75">
      <c r="L430" s="209"/>
    </row>
    <row r="431" ht="12.75">
      <c r="L431" s="209"/>
    </row>
    <row r="432" ht="12.75">
      <c r="L432" s="209"/>
    </row>
    <row r="433" ht="12.75">
      <c r="L433" s="209"/>
    </row>
    <row r="434" ht="12.75">
      <c r="L434" s="209"/>
    </row>
    <row r="435" ht="12.75">
      <c r="L435" s="209"/>
    </row>
    <row r="436" ht="12.75">
      <c r="L436" s="209"/>
    </row>
    <row r="437" ht="12.75">
      <c r="L437" s="209"/>
    </row>
    <row r="438" ht="12.75">
      <c r="L438" s="209"/>
    </row>
    <row r="439" ht="12.75">
      <c r="L439" s="209"/>
    </row>
    <row r="440" ht="12.75">
      <c r="L440" s="209"/>
    </row>
    <row r="441" ht="12.75">
      <c r="L441" s="209"/>
    </row>
    <row r="442" ht="12.75">
      <c r="L442" s="209"/>
    </row>
    <row r="443" ht="12.75">
      <c r="L443" s="209"/>
    </row>
    <row r="444" ht="12.75">
      <c r="L444" s="209"/>
    </row>
    <row r="445" ht="12.75">
      <c r="L445" s="209"/>
    </row>
    <row r="446" ht="12.75">
      <c r="L446" s="209"/>
    </row>
    <row r="447" ht="12.75">
      <c r="L447" s="209"/>
    </row>
    <row r="448" ht="12.75">
      <c r="L448" s="209"/>
    </row>
    <row r="449" ht="12.75">
      <c r="L449" s="209"/>
    </row>
    <row r="450" ht="12.75">
      <c r="L450" s="209"/>
    </row>
    <row r="451" ht="12.75">
      <c r="L451" s="209"/>
    </row>
    <row r="452" ht="12.75">
      <c r="L452" s="209"/>
    </row>
    <row r="453" ht="12.75">
      <c r="L453" s="209"/>
    </row>
    <row r="454" ht="12.75">
      <c r="L454" s="209"/>
    </row>
    <row r="455" ht="12.75">
      <c r="L455" s="209"/>
    </row>
    <row r="456" ht="12.75">
      <c r="L456" s="209"/>
    </row>
    <row r="457" ht="12.75">
      <c r="L457" s="209"/>
    </row>
    <row r="458" ht="12.75">
      <c r="L458" s="209"/>
    </row>
    <row r="459" ht="12.75">
      <c r="L459" s="209"/>
    </row>
    <row r="460" ht="12.75">
      <c r="L460" s="209"/>
    </row>
    <row r="461" ht="12.75">
      <c r="L461" s="209"/>
    </row>
    <row r="462" ht="12.75">
      <c r="L462" s="209"/>
    </row>
    <row r="463" ht="12.75">
      <c r="L463" s="209"/>
    </row>
    <row r="464" ht="12.75">
      <c r="L464" s="209"/>
    </row>
    <row r="465" ht="12.75">
      <c r="L465" s="209"/>
    </row>
    <row r="466" ht="12.75">
      <c r="L466" s="209"/>
    </row>
    <row r="467" ht="12.75">
      <c r="L467" s="209"/>
    </row>
    <row r="468" ht="12.75">
      <c r="L468" s="209"/>
    </row>
    <row r="469" ht="12.75">
      <c r="L469" s="209"/>
    </row>
    <row r="470" ht="12.75">
      <c r="L470" s="209"/>
    </row>
    <row r="471" ht="12.75">
      <c r="L471" s="209"/>
    </row>
    <row r="472" ht="12.75">
      <c r="L472" s="209"/>
    </row>
    <row r="473" ht="12.75">
      <c r="L473" s="209"/>
    </row>
    <row r="474" ht="12.75">
      <c r="L474" s="209"/>
    </row>
    <row r="475" ht="12.75">
      <c r="L475" s="209"/>
    </row>
    <row r="476" ht="12.75">
      <c r="L476" s="209"/>
    </row>
    <row r="477" ht="12.75">
      <c r="L477" s="209"/>
    </row>
    <row r="478" ht="12.75">
      <c r="L478" s="209"/>
    </row>
    <row r="479" ht="12.75">
      <c r="L479" s="209"/>
    </row>
    <row r="480" ht="12.75">
      <c r="L480" s="209"/>
    </row>
    <row r="481" ht="12.75">
      <c r="L481" s="209"/>
    </row>
    <row r="482" ht="12.75">
      <c r="L482" s="209"/>
    </row>
    <row r="483" ht="12.75">
      <c r="L483" s="209"/>
    </row>
    <row r="484" ht="12.75">
      <c r="L484" s="209"/>
    </row>
    <row r="485" ht="12.75">
      <c r="L485" s="209"/>
    </row>
    <row r="486" ht="12.75">
      <c r="L486" s="209"/>
    </row>
    <row r="487" ht="12.75">
      <c r="L487" s="209"/>
    </row>
    <row r="488" ht="12.75">
      <c r="L488" s="209"/>
    </row>
    <row r="489" ht="12.75">
      <c r="L489" s="209"/>
    </row>
    <row r="490" ht="12.75">
      <c r="L490" s="209"/>
    </row>
    <row r="491" ht="12.75">
      <c r="L491" s="209"/>
    </row>
    <row r="492" ht="12.75">
      <c r="L492" s="209"/>
    </row>
    <row r="493" ht="12.75">
      <c r="L493" s="209"/>
    </row>
    <row r="494" ht="12.75">
      <c r="L494" s="209"/>
    </row>
    <row r="495" ht="12.75">
      <c r="L495" s="209"/>
    </row>
    <row r="496" ht="12.75">
      <c r="L496" s="209"/>
    </row>
    <row r="497" ht="12.75">
      <c r="L497" s="209"/>
    </row>
    <row r="498" ht="12.75">
      <c r="L498" s="209"/>
    </row>
    <row r="499" ht="12.75">
      <c r="L499" s="209"/>
    </row>
    <row r="500" ht="12.75">
      <c r="L500" s="209"/>
    </row>
    <row r="501" ht="12.75">
      <c r="L501" s="209"/>
    </row>
    <row r="502" ht="12.75">
      <c r="L502" s="209"/>
    </row>
    <row r="503" ht="12.75">
      <c r="L503" s="209"/>
    </row>
    <row r="504" ht="12.75">
      <c r="L504" s="209"/>
    </row>
    <row r="505" ht="12.75">
      <c r="L505" s="209"/>
    </row>
    <row r="506" ht="12.75">
      <c r="L506" s="209"/>
    </row>
    <row r="507" ht="12.75">
      <c r="L507" s="209"/>
    </row>
    <row r="508" ht="12.75">
      <c r="L508" s="209"/>
    </row>
    <row r="509" ht="12.75">
      <c r="L509" s="209"/>
    </row>
    <row r="510" ht="12.75">
      <c r="L510" s="209"/>
    </row>
    <row r="511" ht="12.75">
      <c r="L511" s="209"/>
    </row>
    <row r="512" ht="12.75">
      <c r="L512" s="209"/>
    </row>
    <row r="513" ht="12.75">
      <c r="L513" s="209"/>
    </row>
    <row r="514" ht="12.75">
      <c r="L514" s="209"/>
    </row>
    <row r="515" ht="12.75">
      <c r="L515" s="209"/>
    </row>
    <row r="516" ht="12.75">
      <c r="L516" s="209"/>
    </row>
    <row r="517" ht="12.75">
      <c r="L517" s="209"/>
    </row>
    <row r="518" ht="12.75">
      <c r="L518" s="209"/>
    </row>
    <row r="519" ht="12.75">
      <c r="L519" s="209"/>
    </row>
    <row r="520" ht="12.75">
      <c r="L520" s="209"/>
    </row>
    <row r="521" ht="12.75">
      <c r="L521" s="209"/>
    </row>
    <row r="522" ht="12.75">
      <c r="L522" s="209"/>
    </row>
    <row r="523" ht="12.75">
      <c r="L523" s="209"/>
    </row>
    <row r="524" ht="12.75">
      <c r="L524" s="209"/>
    </row>
    <row r="525" ht="12.75">
      <c r="L525" s="209"/>
    </row>
    <row r="526" ht="12.75">
      <c r="L526" s="209"/>
    </row>
    <row r="527" ht="12.75">
      <c r="L527" s="209"/>
    </row>
    <row r="528" ht="12.75">
      <c r="L528" s="209"/>
    </row>
    <row r="529" ht="12.75">
      <c r="L529" s="209"/>
    </row>
    <row r="530" ht="12.75">
      <c r="L530" s="209"/>
    </row>
    <row r="531" ht="12.75">
      <c r="L531" s="209"/>
    </row>
    <row r="532" ht="12.75">
      <c r="L532" s="209"/>
    </row>
    <row r="533" ht="12.75">
      <c r="L533" s="209"/>
    </row>
    <row r="534" ht="12.75">
      <c r="L534" s="209"/>
    </row>
    <row r="535" ht="12.75">
      <c r="L535" s="209"/>
    </row>
    <row r="536" ht="12.75">
      <c r="L536" s="209"/>
    </row>
    <row r="537" ht="12.75">
      <c r="L537" s="209"/>
    </row>
    <row r="538" ht="12.75">
      <c r="L538" s="209"/>
    </row>
    <row r="539" ht="12.75">
      <c r="L539" s="209"/>
    </row>
    <row r="540" ht="12.75">
      <c r="L540" s="209"/>
    </row>
    <row r="541" ht="12.75">
      <c r="L541" s="209"/>
    </row>
    <row r="542" ht="12.75">
      <c r="L542" s="209"/>
    </row>
    <row r="543" ht="12.75">
      <c r="L543" s="209"/>
    </row>
    <row r="544" ht="12.75">
      <c r="L544" s="209"/>
    </row>
    <row r="545" ht="12.75">
      <c r="L545" s="209"/>
    </row>
    <row r="546" ht="12.75">
      <c r="L546" s="209"/>
    </row>
    <row r="547" ht="12.75">
      <c r="L547" s="209"/>
    </row>
    <row r="548" ht="12.75">
      <c r="L548" s="209"/>
    </row>
    <row r="549" ht="12.75">
      <c r="L549" s="209"/>
    </row>
    <row r="550" ht="12.75">
      <c r="L550" s="209"/>
    </row>
    <row r="551" ht="12.75">
      <c r="L551" s="209"/>
    </row>
    <row r="552" ht="12.75">
      <c r="L552" s="209"/>
    </row>
    <row r="553" ht="12.75">
      <c r="L553" s="209"/>
    </row>
    <row r="554" ht="12.75">
      <c r="L554" s="209"/>
    </row>
    <row r="555" ht="12.75">
      <c r="L555" s="209"/>
    </row>
    <row r="556" ht="12.75">
      <c r="L556" s="209"/>
    </row>
    <row r="557" ht="12.75">
      <c r="L557" s="209"/>
    </row>
    <row r="558" ht="12.75">
      <c r="L558" s="209"/>
    </row>
    <row r="559" ht="12.75">
      <c r="L559" s="209"/>
    </row>
    <row r="560" ht="12.75">
      <c r="L560" s="209"/>
    </row>
    <row r="561" ht="12.75">
      <c r="L561" s="209"/>
    </row>
    <row r="562" ht="12.75">
      <c r="L562" s="209"/>
    </row>
    <row r="563" ht="12.75">
      <c r="L563" s="209"/>
    </row>
    <row r="564" ht="12.75">
      <c r="L564" s="209"/>
    </row>
    <row r="565" ht="12.75">
      <c r="L565" s="209"/>
    </row>
    <row r="566" ht="12.75">
      <c r="L566" s="209"/>
    </row>
    <row r="567" ht="12.75">
      <c r="L567" s="209"/>
    </row>
    <row r="568" ht="12.75">
      <c r="L568" s="209"/>
    </row>
    <row r="569" ht="12.75">
      <c r="L569" s="209"/>
    </row>
    <row r="570" ht="12.75">
      <c r="L570" s="209"/>
    </row>
    <row r="571" ht="12.75">
      <c r="L571" s="209"/>
    </row>
    <row r="572" ht="12.75">
      <c r="L572" s="209"/>
    </row>
    <row r="573" ht="12.75">
      <c r="L573" s="209"/>
    </row>
    <row r="574" ht="12.75">
      <c r="L574" s="209"/>
    </row>
    <row r="575" ht="12.75">
      <c r="L575" s="209"/>
    </row>
    <row r="576" ht="12.75">
      <c r="L576" s="209"/>
    </row>
    <row r="577" ht="12.75">
      <c r="L577" s="209"/>
    </row>
    <row r="578" ht="12.75">
      <c r="L578" s="209"/>
    </row>
    <row r="579" ht="12.75">
      <c r="L579" s="209"/>
    </row>
    <row r="580" ht="12.75">
      <c r="L580" s="209"/>
    </row>
    <row r="581" ht="12.75">
      <c r="L581" s="209"/>
    </row>
    <row r="582" ht="12.75">
      <c r="L582" s="209"/>
    </row>
    <row r="583" ht="12.75">
      <c r="L583" s="209"/>
    </row>
    <row r="584" ht="12.75">
      <c r="L584" s="209"/>
    </row>
    <row r="585" ht="12.75">
      <c r="L585" s="209"/>
    </row>
    <row r="586" ht="12.75">
      <c r="L586" s="209"/>
    </row>
    <row r="587" ht="12.75">
      <c r="L587" s="209"/>
    </row>
    <row r="588" ht="12.75">
      <c r="L588" s="209"/>
    </row>
    <row r="589" ht="12.75">
      <c r="L589" s="209"/>
    </row>
    <row r="590" ht="12.75">
      <c r="L590" s="209"/>
    </row>
    <row r="591" ht="12.75">
      <c r="L591" s="209"/>
    </row>
    <row r="592" ht="12.75">
      <c r="L592" s="209"/>
    </row>
    <row r="593" ht="12.75">
      <c r="L593" s="209"/>
    </row>
    <row r="594" ht="12.75">
      <c r="L594" s="209"/>
    </row>
    <row r="595" ht="12.75">
      <c r="L595" s="209"/>
    </row>
    <row r="596" ht="12.75">
      <c r="L596" s="209"/>
    </row>
    <row r="597" ht="12.75">
      <c r="L597" s="209"/>
    </row>
    <row r="598" ht="12.75">
      <c r="L598" s="209"/>
    </row>
    <row r="599" ht="12.75">
      <c r="L599" s="209"/>
    </row>
    <row r="600" ht="12.75">
      <c r="L600" s="209"/>
    </row>
    <row r="601" ht="12.75">
      <c r="L601" s="209"/>
    </row>
    <row r="602" ht="12.75">
      <c r="L602" s="209"/>
    </row>
    <row r="603" ht="12.75">
      <c r="L603" s="209"/>
    </row>
    <row r="604" ht="12.75">
      <c r="L604" s="209"/>
    </row>
    <row r="605" ht="12.75">
      <c r="L605" s="209"/>
    </row>
    <row r="606" ht="12.75">
      <c r="L606" s="209"/>
    </row>
    <row r="607" ht="12.75">
      <c r="L607" s="209"/>
    </row>
    <row r="608" ht="12.75">
      <c r="L608" s="209"/>
    </row>
    <row r="609" ht="12.75">
      <c r="L609" s="209"/>
    </row>
    <row r="610" ht="12.75">
      <c r="L610" s="209"/>
    </row>
    <row r="611" ht="12.75">
      <c r="L611" s="209"/>
    </row>
    <row r="612" ht="12.75">
      <c r="L612" s="209"/>
    </row>
    <row r="613" ht="12.75">
      <c r="L613" s="209"/>
    </row>
    <row r="614" ht="12.75">
      <c r="L614" s="209"/>
    </row>
    <row r="615" ht="12.75">
      <c r="L615" s="209"/>
    </row>
    <row r="616" ht="12.75">
      <c r="L616" s="209"/>
    </row>
    <row r="617" ht="12.75">
      <c r="L617" s="209"/>
    </row>
    <row r="618" ht="12.75">
      <c r="L618" s="209"/>
    </row>
    <row r="619" ht="12.75">
      <c r="L619" s="209"/>
    </row>
    <row r="620" ht="12.75">
      <c r="L620" s="209"/>
    </row>
    <row r="621" ht="12.75">
      <c r="L621" s="209"/>
    </row>
    <row r="622" ht="12.75">
      <c r="L622" s="209"/>
    </row>
    <row r="623" ht="12.75">
      <c r="L623" s="209"/>
    </row>
    <row r="624" ht="12.75">
      <c r="L624" s="209"/>
    </row>
    <row r="625" ht="12.75">
      <c r="L625" s="209"/>
    </row>
    <row r="626" ht="12.75">
      <c r="L626" s="209"/>
    </row>
    <row r="627" ht="12.75">
      <c r="L627" s="209"/>
    </row>
    <row r="628" ht="12.75">
      <c r="L628" s="209"/>
    </row>
    <row r="629" ht="12.75">
      <c r="L629" s="209"/>
    </row>
    <row r="630" ht="12.75">
      <c r="L630" s="209"/>
    </row>
    <row r="631" ht="12.75">
      <c r="L631" s="209"/>
    </row>
    <row r="632" ht="12.75">
      <c r="L632" s="209"/>
    </row>
    <row r="633" ht="12.75">
      <c r="L633" s="209"/>
    </row>
    <row r="634" ht="12.75">
      <c r="L634" s="209"/>
    </row>
    <row r="635" ht="12.75">
      <c r="L635" s="209"/>
    </row>
    <row r="636" ht="12.75">
      <c r="L636" s="209"/>
    </row>
    <row r="637" ht="12.75">
      <c r="L637" s="209"/>
    </row>
    <row r="638" ht="12.75">
      <c r="L638" s="209"/>
    </row>
    <row r="639" ht="12.75">
      <c r="L639" s="209"/>
    </row>
    <row r="640" ht="12.75">
      <c r="L640" s="209"/>
    </row>
    <row r="641" ht="12.75">
      <c r="L641" s="209"/>
    </row>
    <row r="642" ht="12.75">
      <c r="L642" s="209"/>
    </row>
    <row r="643" ht="12.75">
      <c r="L643" s="209"/>
    </row>
    <row r="644" ht="12.75">
      <c r="L644" s="209"/>
    </row>
    <row r="645" ht="12.75">
      <c r="L645" s="209"/>
    </row>
    <row r="646" ht="12.75">
      <c r="L646" s="209"/>
    </row>
    <row r="647" ht="12.75">
      <c r="L647" s="209"/>
    </row>
    <row r="648" ht="12.75">
      <c r="L648" s="209"/>
    </row>
    <row r="649" ht="12.75">
      <c r="L649" s="209"/>
    </row>
    <row r="650" ht="12.75">
      <c r="L650" s="209"/>
    </row>
    <row r="651" ht="12.75">
      <c r="L651" s="209"/>
    </row>
    <row r="652" ht="12.75">
      <c r="L652" s="209"/>
    </row>
    <row r="653" ht="12.75">
      <c r="L653" s="209"/>
    </row>
    <row r="654" ht="12.75">
      <c r="L654" s="209"/>
    </row>
    <row r="655" ht="12.75">
      <c r="L655" s="209"/>
    </row>
    <row r="656" ht="12.75">
      <c r="L656" s="209"/>
    </row>
    <row r="657" ht="12.75">
      <c r="L657" s="209"/>
    </row>
    <row r="658" ht="12.75">
      <c r="L658" s="209"/>
    </row>
    <row r="659" ht="12.75">
      <c r="L659" s="209"/>
    </row>
    <row r="660" ht="12.75">
      <c r="L660" s="209"/>
    </row>
    <row r="661" ht="12.75">
      <c r="L661" s="209"/>
    </row>
    <row r="662" ht="12.75">
      <c r="L662" s="209"/>
    </row>
    <row r="663" ht="12.75">
      <c r="L663" s="209"/>
    </row>
    <row r="664" ht="12.75">
      <c r="L664" s="209"/>
    </row>
    <row r="665" ht="12.75">
      <c r="L665" s="209"/>
    </row>
    <row r="666" ht="12.75">
      <c r="L666" s="209"/>
    </row>
    <row r="667" ht="12.75">
      <c r="L667" s="209"/>
    </row>
    <row r="668" ht="12.75">
      <c r="L668" s="209"/>
    </row>
    <row r="669" ht="12.75">
      <c r="L669" s="209"/>
    </row>
    <row r="670" ht="12.75">
      <c r="L670" s="209"/>
    </row>
    <row r="671" ht="12.75">
      <c r="L671" s="209"/>
    </row>
    <row r="672" ht="12.75">
      <c r="L672" s="209"/>
    </row>
    <row r="673" ht="12.75">
      <c r="L673" s="209"/>
    </row>
    <row r="674" ht="12.75">
      <c r="L674" s="209"/>
    </row>
    <row r="675" ht="12.75">
      <c r="L675" s="209"/>
    </row>
    <row r="676" ht="12.75">
      <c r="L676" s="209"/>
    </row>
    <row r="677" ht="12.75">
      <c r="L677" s="209"/>
    </row>
    <row r="678" ht="12.75">
      <c r="L678" s="209"/>
    </row>
    <row r="679" ht="12.75">
      <c r="L679" s="209"/>
    </row>
    <row r="680" ht="12.75">
      <c r="L680" s="209"/>
    </row>
    <row r="681" ht="12.75">
      <c r="L681" s="209"/>
    </row>
    <row r="682" ht="12.75">
      <c r="L682" s="209"/>
    </row>
    <row r="683" ht="12.75">
      <c r="L683" s="209"/>
    </row>
    <row r="684" ht="12.75">
      <c r="L684" s="209"/>
    </row>
    <row r="685" ht="12.75">
      <c r="L685" s="209"/>
    </row>
    <row r="686" ht="12.75">
      <c r="L686" s="209"/>
    </row>
    <row r="687" ht="12.75">
      <c r="L687" s="209"/>
    </row>
    <row r="688" ht="12.75">
      <c r="L688" s="209"/>
    </row>
    <row r="689" ht="12.75">
      <c r="L689" s="209"/>
    </row>
    <row r="690" ht="12.75">
      <c r="L690" s="209"/>
    </row>
    <row r="691" ht="12.75">
      <c r="L691" s="209"/>
    </row>
    <row r="692" ht="12.75">
      <c r="L692" s="209"/>
    </row>
    <row r="693" ht="12.75">
      <c r="L693" s="209"/>
    </row>
    <row r="694" ht="12.75">
      <c r="L694" s="209"/>
    </row>
    <row r="695" ht="12.75">
      <c r="L695" s="209"/>
    </row>
    <row r="696" ht="12.75">
      <c r="L696" s="209"/>
    </row>
    <row r="697" ht="12.75">
      <c r="L697" s="209"/>
    </row>
    <row r="698" ht="12.75">
      <c r="L698" s="209"/>
    </row>
    <row r="699" ht="12.75">
      <c r="L699" s="209"/>
    </row>
    <row r="700" ht="12.75">
      <c r="L700" s="209"/>
    </row>
    <row r="701" ht="12.75">
      <c r="L701" s="209"/>
    </row>
    <row r="702" ht="12.75">
      <c r="L702" s="209"/>
    </row>
    <row r="703" ht="12.75">
      <c r="L703" s="209"/>
    </row>
    <row r="704" ht="12.75">
      <c r="L704" s="209"/>
    </row>
    <row r="705" ht="12.75">
      <c r="L705" s="209"/>
    </row>
    <row r="706" ht="12.75">
      <c r="L706" s="209"/>
    </row>
    <row r="707" ht="12.75">
      <c r="L707" s="209"/>
    </row>
    <row r="708" ht="12.75">
      <c r="L708" s="209"/>
    </row>
    <row r="709" ht="12.75">
      <c r="L709" s="209"/>
    </row>
    <row r="710" ht="12.75">
      <c r="L710" s="209"/>
    </row>
    <row r="711" ht="12.75">
      <c r="L711" s="209"/>
    </row>
    <row r="712" ht="12.75">
      <c r="L712" s="209"/>
    </row>
    <row r="713" ht="12.75">
      <c r="L713" s="209"/>
    </row>
    <row r="714" ht="12.75">
      <c r="L714" s="209"/>
    </row>
    <row r="715" ht="12.75">
      <c r="L715" s="209"/>
    </row>
    <row r="716" ht="12.75">
      <c r="L716" s="209"/>
    </row>
    <row r="717" ht="12.75">
      <c r="L717" s="209"/>
    </row>
    <row r="718" ht="12.75">
      <c r="L718" s="209"/>
    </row>
    <row r="719" ht="12.75">
      <c r="L719" s="209"/>
    </row>
    <row r="720" ht="12.75">
      <c r="L720" s="209"/>
    </row>
    <row r="721" ht="12.75">
      <c r="L721" s="209"/>
    </row>
    <row r="722" ht="12.75">
      <c r="L722" s="209"/>
    </row>
    <row r="723" ht="12.75">
      <c r="L723" s="209"/>
    </row>
    <row r="724" ht="12.75">
      <c r="L724" s="209"/>
    </row>
    <row r="725" ht="12.75">
      <c r="L725" s="209"/>
    </row>
    <row r="726" ht="12.75">
      <c r="L726" s="209"/>
    </row>
    <row r="727" ht="12.75">
      <c r="L727" s="209"/>
    </row>
    <row r="728" ht="12.75">
      <c r="L728" s="209"/>
    </row>
    <row r="729" ht="12.75">
      <c r="L729" s="209"/>
    </row>
    <row r="730" ht="12.75">
      <c r="L730" s="209"/>
    </row>
    <row r="731" ht="12.75">
      <c r="L731" s="209"/>
    </row>
    <row r="732" ht="12.75">
      <c r="L732" s="209"/>
    </row>
    <row r="733" ht="12.75">
      <c r="L733" s="209"/>
    </row>
    <row r="734" ht="12.75">
      <c r="L734" s="209"/>
    </row>
    <row r="735" ht="12.75">
      <c r="L735" s="209"/>
    </row>
    <row r="736" ht="12.75">
      <c r="L736" s="209"/>
    </row>
    <row r="737" ht="12.75">
      <c r="L737" s="209"/>
    </row>
    <row r="738" ht="12.75">
      <c r="L738" s="209"/>
    </row>
    <row r="739" ht="12.75">
      <c r="L739" s="209"/>
    </row>
    <row r="740" ht="12.75">
      <c r="L740" s="209"/>
    </row>
    <row r="741" ht="12.75">
      <c r="L741" s="209"/>
    </row>
    <row r="742" ht="12.75">
      <c r="L742" s="209"/>
    </row>
    <row r="743" ht="12.75">
      <c r="L743" s="209"/>
    </row>
    <row r="744" ht="12.75">
      <c r="L744" s="209"/>
    </row>
    <row r="745" ht="12.75">
      <c r="L745" s="209"/>
    </row>
    <row r="746" ht="12.75">
      <c r="L746" s="209"/>
    </row>
    <row r="747" ht="12.75">
      <c r="L747" s="209"/>
    </row>
    <row r="748" ht="12.75">
      <c r="L748" s="209"/>
    </row>
    <row r="749" ht="12.75">
      <c r="L749" s="209"/>
    </row>
    <row r="750" ht="12.75">
      <c r="L750" s="209"/>
    </row>
    <row r="751" ht="12.75">
      <c r="L751" s="209"/>
    </row>
    <row r="752" ht="12.75">
      <c r="L752" s="209"/>
    </row>
    <row r="753" ht="12.75">
      <c r="L753" s="209"/>
    </row>
    <row r="754" ht="12.75">
      <c r="L754" s="209"/>
    </row>
    <row r="755" ht="12.75">
      <c r="L755" s="209"/>
    </row>
    <row r="756" ht="12.75">
      <c r="L756" s="209"/>
    </row>
    <row r="757" ht="12.75">
      <c r="L757" s="209"/>
    </row>
    <row r="758" ht="12.75">
      <c r="L758" s="209"/>
    </row>
    <row r="759" ht="12.75">
      <c r="L759" s="209"/>
    </row>
    <row r="760" ht="12.75">
      <c r="L760" s="209"/>
    </row>
    <row r="761" ht="12.75">
      <c r="L761" s="209"/>
    </row>
    <row r="762" ht="12.75">
      <c r="L762" s="209"/>
    </row>
    <row r="763" ht="12.75">
      <c r="L763" s="209"/>
    </row>
    <row r="764" ht="12.75">
      <c r="L764" s="209"/>
    </row>
    <row r="765" ht="12.75">
      <c r="L765" s="209"/>
    </row>
    <row r="766" ht="12.75">
      <c r="L766" s="209"/>
    </row>
    <row r="767" ht="12.75">
      <c r="L767" s="209"/>
    </row>
    <row r="768" ht="12.75">
      <c r="L768" s="209"/>
    </row>
    <row r="769" ht="12.75">
      <c r="L769" s="209"/>
    </row>
    <row r="770" ht="12.75">
      <c r="L770" s="209"/>
    </row>
    <row r="771" ht="12.75">
      <c r="L771" s="209"/>
    </row>
    <row r="772" ht="12.75">
      <c r="L772" s="209"/>
    </row>
    <row r="773" ht="12.75">
      <c r="L773" s="209"/>
    </row>
    <row r="774" ht="12.75">
      <c r="L774" s="209"/>
    </row>
    <row r="775" ht="12.75">
      <c r="L775" s="209"/>
    </row>
    <row r="776" ht="12.75">
      <c r="L776" s="209"/>
    </row>
    <row r="777" ht="12.75">
      <c r="L777" s="209"/>
    </row>
    <row r="778" ht="12.75">
      <c r="L778" s="209"/>
    </row>
    <row r="779" ht="12.75">
      <c r="L779" s="209"/>
    </row>
    <row r="780" ht="12.75">
      <c r="L780" s="209"/>
    </row>
    <row r="781" ht="12.75">
      <c r="L781" s="209"/>
    </row>
    <row r="782" ht="12.75">
      <c r="L782" s="209"/>
    </row>
    <row r="783" ht="12.75">
      <c r="L783" s="209"/>
    </row>
    <row r="784" ht="12.75">
      <c r="L784" s="209"/>
    </row>
    <row r="785" ht="12.75">
      <c r="L785" s="209"/>
    </row>
    <row r="786" ht="12.75">
      <c r="L786" s="209"/>
    </row>
    <row r="787" ht="12.75">
      <c r="L787" s="209"/>
    </row>
    <row r="788" ht="12.75">
      <c r="L788" s="209"/>
    </row>
    <row r="789" ht="12.75">
      <c r="L789" s="209"/>
    </row>
    <row r="790" ht="12.75">
      <c r="L790" s="209"/>
    </row>
    <row r="791" ht="12.75">
      <c r="L791" s="209"/>
    </row>
    <row r="792" ht="12.75">
      <c r="L792" s="209"/>
    </row>
    <row r="793" ht="12.75">
      <c r="L793" s="209"/>
    </row>
    <row r="794" ht="12.75">
      <c r="L794" s="209"/>
    </row>
    <row r="795" ht="12.75">
      <c r="L795" s="209"/>
    </row>
    <row r="796" ht="12.75">
      <c r="L796" s="209"/>
    </row>
    <row r="797" ht="12.75">
      <c r="L797" s="209"/>
    </row>
    <row r="798" ht="12.75">
      <c r="L798" s="209"/>
    </row>
    <row r="799" ht="12.75">
      <c r="L799" s="209"/>
    </row>
    <row r="800" ht="12.75">
      <c r="L800" s="209"/>
    </row>
    <row r="801" ht="12.75">
      <c r="L801" s="209"/>
    </row>
    <row r="802" ht="12.75">
      <c r="L802" s="209"/>
    </row>
    <row r="803" ht="12.75">
      <c r="L803" s="209"/>
    </row>
    <row r="804" ht="12.75">
      <c r="L804" s="209"/>
    </row>
    <row r="805" ht="12.75">
      <c r="L805" s="209"/>
    </row>
    <row r="806" ht="12.75">
      <c r="L806" s="209"/>
    </row>
    <row r="807" ht="12.75">
      <c r="L807" s="209"/>
    </row>
    <row r="808" ht="12.75">
      <c r="L808" s="209"/>
    </row>
    <row r="809" ht="12.75">
      <c r="L809" s="209"/>
    </row>
    <row r="810" ht="12.75">
      <c r="L810" s="209"/>
    </row>
    <row r="811" ht="12.75">
      <c r="L811" s="209"/>
    </row>
    <row r="812" ht="12.75">
      <c r="L812" s="209"/>
    </row>
    <row r="813" ht="12.75">
      <c r="L813" s="209"/>
    </row>
    <row r="814" ht="12.75">
      <c r="L814" s="209"/>
    </row>
    <row r="815" ht="12.75">
      <c r="L815" s="209"/>
    </row>
    <row r="816" ht="12.75">
      <c r="L816" s="209"/>
    </row>
    <row r="817" ht="12.75">
      <c r="L817" s="209"/>
    </row>
    <row r="818" ht="12.75">
      <c r="L818" s="209"/>
    </row>
    <row r="819" ht="12.75">
      <c r="L819" s="209"/>
    </row>
    <row r="820" ht="12.75">
      <c r="L820" s="209"/>
    </row>
    <row r="821" ht="12.75">
      <c r="L821" s="209"/>
    </row>
    <row r="822" ht="12.75">
      <c r="L822" s="209"/>
    </row>
    <row r="823" ht="12.75">
      <c r="L823" s="209"/>
    </row>
    <row r="824" ht="12.75">
      <c r="L824" s="209"/>
    </row>
    <row r="825" ht="12.75">
      <c r="L825" s="209"/>
    </row>
    <row r="826" ht="12.75">
      <c r="L826" s="209"/>
    </row>
    <row r="827" ht="12.75">
      <c r="L827" s="209"/>
    </row>
    <row r="828" ht="12.75">
      <c r="L828" s="209"/>
    </row>
    <row r="829" ht="12.75">
      <c r="L829" s="209"/>
    </row>
    <row r="830" ht="12.75">
      <c r="L830" s="209"/>
    </row>
    <row r="831" ht="12.75">
      <c r="L831" s="209"/>
    </row>
    <row r="832" ht="12.75">
      <c r="L832" s="209"/>
    </row>
    <row r="833" ht="12.75">
      <c r="L833" s="209"/>
    </row>
    <row r="834" ht="12.75">
      <c r="L834" s="209"/>
    </row>
    <row r="835" ht="12.75">
      <c r="L835" s="209"/>
    </row>
    <row r="836" ht="12.75">
      <c r="L836" s="209"/>
    </row>
    <row r="837" ht="12.75">
      <c r="L837" s="209"/>
    </row>
    <row r="838" ht="12.75">
      <c r="L838" s="209"/>
    </row>
    <row r="839" ht="12.75">
      <c r="L839" s="209"/>
    </row>
    <row r="840" ht="12.75">
      <c r="L840" s="209"/>
    </row>
    <row r="841" ht="12.75">
      <c r="L841" s="209"/>
    </row>
    <row r="842" ht="12.75">
      <c r="L842" s="209"/>
    </row>
    <row r="843" ht="12.75">
      <c r="L843" s="209"/>
    </row>
    <row r="844" ht="12.75">
      <c r="L844" s="209"/>
    </row>
    <row r="845" ht="12.75">
      <c r="L845" s="209"/>
    </row>
    <row r="846" ht="12.75">
      <c r="L846" s="209"/>
    </row>
    <row r="847" ht="12.75">
      <c r="L847" s="209"/>
    </row>
    <row r="848" ht="12.75">
      <c r="L848" s="209"/>
    </row>
    <row r="849" ht="12.75">
      <c r="L849" s="209"/>
    </row>
    <row r="850" ht="12.75">
      <c r="L850" s="209"/>
    </row>
    <row r="851" ht="12.75">
      <c r="L851" s="209"/>
    </row>
    <row r="852" ht="12.75">
      <c r="L852" s="209"/>
    </row>
    <row r="853" ht="12.75">
      <c r="L853" s="209"/>
    </row>
    <row r="854" ht="12.75">
      <c r="L854" s="209"/>
    </row>
    <row r="855" ht="12.75">
      <c r="L855" s="209"/>
    </row>
    <row r="856" ht="12.75">
      <c r="L856" s="209"/>
    </row>
    <row r="857" ht="12.75">
      <c r="L857" s="209"/>
    </row>
    <row r="858" ht="12.75">
      <c r="L858" s="209"/>
    </row>
    <row r="859" ht="12.75">
      <c r="L859" s="209"/>
    </row>
    <row r="860" ht="12.75">
      <c r="L860" s="209"/>
    </row>
    <row r="861" ht="12.75">
      <c r="L861" s="209"/>
    </row>
    <row r="862" ht="12.75">
      <c r="L862" s="209"/>
    </row>
    <row r="863" ht="12.75">
      <c r="L863" s="209"/>
    </row>
    <row r="864" ht="12.75">
      <c r="L864" s="209"/>
    </row>
    <row r="865" ht="12.75">
      <c r="L865" s="210"/>
    </row>
    <row r="866" ht="12.75">
      <c r="L866" s="210"/>
    </row>
    <row r="867" ht="12.75">
      <c r="L867" s="210"/>
    </row>
    <row r="868" ht="12.75">
      <c r="L868" s="210"/>
    </row>
    <row r="869" ht="12.75">
      <c r="L869" s="210"/>
    </row>
    <row r="870" ht="12.75">
      <c r="L870" s="210"/>
    </row>
    <row r="871" ht="12.75">
      <c r="L871" s="210"/>
    </row>
    <row r="872" ht="12.75">
      <c r="L872" s="210"/>
    </row>
    <row r="873" ht="12.75">
      <c r="L873" s="210"/>
    </row>
    <row r="874" ht="12.75">
      <c r="L874" s="210"/>
    </row>
    <row r="875" ht="12.75">
      <c r="L875" s="210"/>
    </row>
    <row r="876" ht="12.75">
      <c r="L876" s="210"/>
    </row>
    <row r="877" ht="12.75">
      <c r="L877" s="210"/>
    </row>
    <row r="878" ht="12.75">
      <c r="L878" s="210"/>
    </row>
    <row r="879" ht="12.75">
      <c r="L879" s="210"/>
    </row>
    <row r="880" ht="12.75">
      <c r="L880" s="210"/>
    </row>
    <row r="881" ht="12.75">
      <c r="L881" s="210"/>
    </row>
    <row r="882" ht="12.75">
      <c r="L882" s="210"/>
    </row>
    <row r="883" ht="12.75">
      <c r="L883" s="210"/>
    </row>
    <row r="884" ht="12.75">
      <c r="L884" s="210"/>
    </row>
    <row r="885" ht="12.75">
      <c r="L885" s="210"/>
    </row>
    <row r="886" ht="12.75">
      <c r="L886" s="210"/>
    </row>
    <row r="887" ht="12.75">
      <c r="L887" s="210"/>
    </row>
    <row r="888" ht="12.75">
      <c r="L888" s="210"/>
    </row>
    <row r="889" ht="12.75">
      <c r="L889" s="210"/>
    </row>
    <row r="890" ht="12.75">
      <c r="L890" s="210"/>
    </row>
    <row r="891" ht="12.75">
      <c r="L891" s="210"/>
    </row>
    <row r="892" ht="12.75">
      <c r="L892" s="210"/>
    </row>
    <row r="893" ht="12.75">
      <c r="L893" s="210"/>
    </row>
    <row r="894" ht="12.75">
      <c r="L894" s="210"/>
    </row>
    <row r="895" ht="12.75">
      <c r="L895" s="210"/>
    </row>
    <row r="896" ht="12.75">
      <c r="L896" s="210"/>
    </row>
    <row r="897" ht="12.75">
      <c r="L897" s="210"/>
    </row>
    <row r="898" ht="12.75">
      <c r="L898" s="210"/>
    </row>
    <row r="899" ht="12.75">
      <c r="L899" s="210"/>
    </row>
    <row r="900" ht="12.75">
      <c r="L900" s="210"/>
    </row>
    <row r="901" ht="12.75">
      <c r="L901" s="210"/>
    </row>
    <row r="902" ht="12.75">
      <c r="L902" s="210"/>
    </row>
    <row r="903" ht="12.75">
      <c r="L903" s="210"/>
    </row>
    <row r="904" ht="12.75">
      <c r="L904" s="210"/>
    </row>
    <row r="905" ht="12.75">
      <c r="L905" s="210"/>
    </row>
    <row r="906" ht="12.75">
      <c r="L906" s="210"/>
    </row>
    <row r="907" ht="12.75">
      <c r="L907" s="210"/>
    </row>
    <row r="908" ht="12.75">
      <c r="L908" s="210"/>
    </row>
    <row r="909" ht="12.75">
      <c r="L909" s="210"/>
    </row>
    <row r="910" ht="12.75">
      <c r="L910" s="210"/>
    </row>
    <row r="911" ht="12.75">
      <c r="L911" s="210"/>
    </row>
    <row r="912" ht="12.75">
      <c r="L912" s="210"/>
    </row>
    <row r="913" ht="12.75">
      <c r="L913" s="210"/>
    </row>
    <row r="914" ht="12.75">
      <c r="L914" s="210"/>
    </row>
    <row r="915" ht="12.75">
      <c r="L915" s="210"/>
    </row>
    <row r="916" ht="12.75">
      <c r="L916" s="210"/>
    </row>
    <row r="917" ht="12.75">
      <c r="L917" s="210"/>
    </row>
    <row r="918" ht="12.75">
      <c r="L918" s="210"/>
    </row>
    <row r="919" ht="12.75">
      <c r="L919" s="210"/>
    </row>
    <row r="920" ht="12.75">
      <c r="L920" s="210"/>
    </row>
    <row r="921" ht="12.75">
      <c r="L921" s="210"/>
    </row>
    <row r="922" ht="12.75">
      <c r="L922" s="210"/>
    </row>
    <row r="923" ht="12.75">
      <c r="L923" s="210"/>
    </row>
    <row r="924" ht="12.75">
      <c r="L924" s="210"/>
    </row>
    <row r="925" ht="12.75">
      <c r="L925" s="210"/>
    </row>
    <row r="926" ht="12.75">
      <c r="L926" s="210"/>
    </row>
    <row r="927" ht="12.75">
      <c r="L927" s="210"/>
    </row>
    <row r="928" ht="12.75">
      <c r="L928" s="210"/>
    </row>
    <row r="929" ht="12.75">
      <c r="L929" s="210"/>
    </row>
    <row r="930" ht="12.75">
      <c r="L930" s="210"/>
    </row>
    <row r="931" ht="12.75">
      <c r="L931" s="210"/>
    </row>
    <row r="932" ht="12.75">
      <c r="L932" s="210"/>
    </row>
    <row r="933" ht="12.75">
      <c r="L933" s="210"/>
    </row>
    <row r="934" ht="12.75">
      <c r="L934" s="210"/>
    </row>
    <row r="935" ht="12.75">
      <c r="L935" s="210"/>
    </row>
    <row r="936" ht="12.75">
      <c r="L936" s="210"/>
    </row>
    <row r="937" ht="12.75">
      <c r="L937" s="210"/>
    </row>
    <row r="938" ht="12.75">
      <c r="L938" s="210"/>
    </row>
    <row r="939" ht="12.75">
      <c r="L939" s="210"/>
    </row>
    <row r="940" ht="12.75">
      <c r="L940" s="210"/>
    </row>
    <row r="941" ht="12.75">
      <c r="L941" s="210"/>
    </row>
    <row r="942" ht="12.75">
      <c r="L942" s="210"/>
    </row>
    <row r="943" ht="12.75">
      <c r="L943" s="210"/>
    </row>
    <row r="944" ht="12.75">
      <c r="L944" s="210"/>
    </row>
    <row r="945" ht="12.75">
      <c r="L945" s="210"/>
    </row>
    <row r="946" ht="12.75">
      <c r="L946" s="210"/>
    </row>
    <row r="947" ht="12.75">
      <c r="L947" s="210"/>
    </row>
    <row r="948" ht="12.75">
      <c r="L948" s="210"/>
    </row>
    <row r="949" ht="12.75">
      <c r="L949" s="210"/>
    </row>
    <row r="950" ht="12.75">
      <c r="L950" s="210"/>
    </row>
    <row r="951" ht="12.75">
      <c r="L951" s="210"/>
    </row>
    <row r="952" ht="12.75">
      <c r="L952" s="210"/>
    </row>
    <row r="953" ht="12.75">
      <c r="L953" s="210"/>
    </row>
    <row r="954" ht="12.75">
      <c r="L954" s="210"/>
    </row>
    <row r="955" ht="12.75">
      <c r="L955" s="210"/>
    </row>
    <row r="956" ht="12.75">
      <c r="L956" s="210"/>
    </row>
    <row r="957" ht="12.75">
      <c r="L957" s="210"/>
    </row>
    <row r="958" ht="12.75">
      <c r="L958" s="210"/>
    </row>
    <row r="959" ht="12.75">
      <c r="L959" s="210"/>
    </row>
    <row r="960" ht="12.75">
      <c r="L960" s="210"/>
    </row>
    <row r="961" ht="12.75">
      <c r="L961" s="210"/>
    </row>
    <row r="962" ht="12.75">
      <c r="L962" s="210"/>
    </row>
    <row r="963" ht="12.75">
      <c r="L963" s="210"/>
    </row>
    <row r="964" ht="12.75">
      <c r="L964" s="210"/>
    </row>
    <row r="965" ht="12.75">
      <c r="L965" s="210"/>
    </row>
    <row r="966" ht="12.75">
      <c r="L966" s="210"/>
    </row>
    <row r="967" ht="12.75">
      <c r="L967" s="210"/>
    </row>
    <row r="968" ht="12.75">
      <c r="L968" s="210"/>
    </row>
    <row r="969" ht="12.75">
      <c r="L969" s="210"/>
    </row>
    <row r="970" ht="12.75">
      <c r="L970" s="210"/>
    </row>
    <row r="971" ht="12.75">
      <c r="L971" s="210"/>
    </row>
    <row r="972" ht="12.75">
      <c r="L972" s="210"/>
    </row>
    <row r="973" ht="12.75">
      <c r="L973" s="210"/>
    </row>
    <row r="974" ht="12.75">
      <c r="L974" s="210"/>
    </row>
    <row r="975" ht="12.75">
      <c r="L975" s="210"/>
    </row>
    <row r="976" ht="12.75">
      <c r="L976" s="210"/>
    </row>
    <row r="977" ht="12.75">
      <c r="L977" s="210"/>
    </row>
    <row r="978" ht="12.75">
      <c r="L978" s="210"/>
    </row>
    <row r="979" ht="12.75">
      <c r="L979" s="210"/>
    </row>
    <row r="980" ht="12.75">
      <c r="L980" s="210"/>
    </row>
    <row r="981" ht="12.75">
      <c r="L981" s="210"/>
    </row>
    <row r="982" ht="12.75">
      <c r="L982" s="210"/>
    </row>
    <row r="983" ht="12.75">
      <c r="L983" s="210"/>
    </row>
    <row r="984" ht="12.75">
      <c r="L984" s="210"/>
    </row>
    <row r="985" ht="12.75">
      <c r="L985" s="210"/>
    </row>
    <row r="986" ht="12.75">
      <c r="L986" s="210"/>
    </row>
    <row r="987" ht="12.75">
      <c r="L987" s="210"/>
    </row>
    <row r="988" ht="12.75">
      <c r="L988" s="210"/>
    </row>
    <row r="989" ht="12.75">
      <c r="L989" s="210"/>
    </row>
    <row r="990" ht="12.75">
      <c r="L990" s="210"/>
    </row>
    <row r="991" ht="12.75">
      <c r="L991" s="210"/>
    </row>
    <row r="992" ht="12.75">
      <c r="L992" s="210"/>
    </row>
    <row r="993" ht="12.75">
      <c r="L993" s="210"/>
    </row>
    <row r="994" ht="12.75">
      <c r="L994" s="210"/>
    </row>
    <row r="995" ht="12.75">
      <c r="L995" s="210"/>
    </row>
    <row r="996" ht="12.75">
      <c r="L996" s="210"/>
    </row>
    <row r="997" ht="12.75">
      <c r="L997" s="210"/>
    </row>
    <row r="998" ht="12.75">
      <c r="L998" s="210"/>
    </row>
    <row r="999" ht="12.75">
      <c r="L999" s="210"/>
    </row>
    <row r="1000" ht="12.75">
      <c r="L1000" s="210"/>
    </row>
    <row r="1001" ht="12.75">
      <c r="L1001" s="210"/>
    </row>
    <row r="1002" ht="12.75">
      <c r="L1002" s="210"/>
    </row>
    <row r="1003" ht="12.75">
      <c r="L1003" s="210"/>
    </row>
    <row r="1004" ht="12.75">
      <c r="L1004" s="210"/>
    </row>
    <row r="1005" ht="12.75">
      <c r="L1005" s="210"/>
    </row>
    <row r="1006" ht="12.75">
      <c r="L1006" s="210"/>
    </row>
    <row r="1007" ht="12.75">
      <c r="L1007" s="210"/>
    </row>
    <row r="1008" ht="12.75">
      <c r="L1008" s="210"/>
    </row>
    <row r="1009" ht="12.75">
      <c r="L1009" s="210"/>
    </row>
    <row r="1010" ht="12.75">
      <c r="L1010" s="210"/>
    </row>
    <row r="1011" ht="12.75">
      <c r="L1011" s="210"/>
    </row>
    <row r="1012" ht="12.75">
      <c r="L1012" s="210"/>
    </row>
    <row r="1013" ht="12.75">
      <c r="L1013" s="210"/>
    </row>
    <row r="1014" ht="12.75">
      <c r="L1014" s="210"/>
    </row>
    <row r="1015" ht="12.75">
      <c r="L1015" s="210"/>
    </row>
    <row r="1016" ht="12.75">
      <c r="L1016" s="210"/>
    </row>
    <row r="1017" ht="12.75">
      <c r="L1017" s="210"/>
    </row>
    <row r="1018" ht="12.75">
      <c r="L1018" s="210"/>
    </row>
    <row r="1019" ht="12.75">
      <c r="L1019" s="210"/>
    </row>
    <row r="1020" ht="12.75">
      <c r="L1020" s="210"/>
    </row>
    <row r="1021" ht="12.75">
      <c r="L1021" s="210"/>
    </row>
    <row r="1022" ht="12.75">
      <c r="L1022" s="210"/>
    </row>
    <row r="1023" ht="12.75">
      <c r="L1023" s="210"/>
    </row>
    <row r="1024" ht="12.75">
      <c r="L1024" s="210"/>
    </row>
    <row r="1025" ht="12.75">
      <c r="L1025" s="210"/>
    </row>
    <row r="1026" ht="12.75">
      <c r="L1026" s="210"/>
    </row>
    <row r="1027" ht="12.75">
      <c r="L1027" s="210"/>
    </row>
    <row r="1028" ht="12.75">
      <c r="L1028" s="210"/>
    </row>
    <row r="1029" ht="12.75">
      <c r="L1029" s="210"/>
    </row>
    <row r="1030" ht="12.75">
      <c r="L1030" s="210"/>
    </row>
    <row r="1031" ht="12.75">
      <c r="L1031" s="210"/>
    </row>
    <row r="1032" ht="12.75">
      <c r="L1032" s="210"/>
    </row>
    <row r="1033" ht="12.75">
      <c r="L1033" s="210"/>
    </row>
    <row r="1034" ht="12.75">
      <c r="L1034" s="210"/>
    </row>
    <row r="1035" ht="12.75">
      <c r="L1035" s="210"/>
    </row>
    <row r="1036" ht="12.75">
      <c r="L1036" s="210"/>
    </row>
    <row r="1037" ht="12.75">
      <c r="L1037" s="210"/>
    </row>
    <row r="1038" ht="12.75">
      <c r="L1038" s="210"/>
    </row>
    <row r="1039" ht="12.75">
      <c r="L1039" s="210"/>
    </row>
    <row r="1040" ht="12.75">
      <c r="L1040" s="210"/>
    </row>
    <row r="1041" ht="12.75">
      <c r="L1041" s="210"/>
    </row>
    <row r="1042" ht="12.75">
      <c r="L1042" s="210"/>
    </row>
    <row r="1043" ht="12.75">
      <c r="L1043" s="210"/>
    </row>
    <row r="1044" ht="12.75">
      <c r="L1044" s="210"/>
    </row>
    <row r="1045" ht="12.75">
      <c r="L1045" s="210"/>
    </row>
    <row r="1046" ht="12.75">
      <c r="L1046" s="210"/>
    </row>
    <row r="1047" ht="12.75">
      <c r="L1047" s="210"/>
    </row>
    <row r="1048" ht="12.75">
      <c r="L1048" s="210"/>
    </row>
    <row r="1049" ht="12.75">
      <c r="L1049" s="210"/>
    </row>
    <row r="1050" ht="12.75">
      <c r="L1050" s="210"/>
    </row>
    <row r="1051" ht="12.75">
      <c r="L1051" s="210"/>
    </row>
    <row r="1052" ht="12.75">
      <c r="L1052" s="210"/>
    </row>
    <row r="1053" ht="12.75">
      <c r="L1053" s="210"/>
    </row>
    <row r="1054" ht="12.75">
      <c r="L1054" s="210"/>
    </row>
    <row r="1055" ht="12.75">
      <c r="L1055" s="210"/>
    </row>
    <row r="1056" ht="12.75">
      <c r="L1056" s="210"/>
    </row>
    <row r="1057" ht="12.75">
      <c r="L1057" s="210"/>
    </row>
    <row r="1058" ht="12.75">
      <c r="L1058" s="210"/>
    </row>
    <row r="1059" ht="12.75">
      <c r="L1059" s="210"/>
    </row>
    <row r="1060" ht="12.75">
      <c r="L1060" s="210"/>
    </row>
    <row r="1061" ht="12.75">
      <c r="L1061" s="210"/>
    </row>
    <row r="1062" ht="12.75">
      <c r="L1062" s="210"/>
    </row>
    <row r="1063" ht="12.75">
      <c r="L1063" s="210"/>
    </row>
    <row r="1064" ht="12.75">
      <c r="L1064" s="210"/>
    </row>
    <row r="1065" ht="12.75">
      <c r="L1065" s="210"/>
    </row>
  </sheetData>
  <printOptions/>
  <pageMargins left="0.6692913385826772" right="0.35433070866141736" top="0.984251968503937" bottom="0.984251968503937" header="0.3937007874015748" footer="0.1968503937007874"/>
  <pageSetup horizontalDpi="120" verticalDpi="120" orientation="landscape" paperSize="5" scale="60" r:id="rId1"/>
  <headerFooter alignWithMargins="0">
    <oddHeader>&amp;CALCALDIA MUNICIPIO DE PUERTO CARREÑO
ANALISIS FINANCIERO 2006
&amp;R&amp;N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00"/>
  <sheetViews>
    <sheetView tabSelected="1" workbookViewId="0" topLeftCell="A55">
      <selection activeCell="I81" sqref="I81"/>
    </sheetView>
  </sheetViews>
  <sheetFormatPr defaultColWidth="11.421875" defaultRowHeight="12.75"/>
  <cols>
    <col min="1" max="1" width="2.57421875" style="0" customWidth="1"/>
    <col min="2" max="2" width="6.00390625" style="0" customWidth="1"/>
    <col min="3" max="3" width="35.7109375" style="0" customWidth="1"/>
    <col min="4" max="4" width="13.421875" style="0" customWidth="1"/>
    <col min="5" max="5" width="12.8515625" style="0" customWidth="1"/>
    <col min="6" max="7" width="14.8515625" style="0" customWidth="1"/>
    <col min="8" max="8" width="12.140625" style="0" bestFit="1" customWidth="1"/>
    <col min="9" max="9" width="16.57421875" style="0" bestFit="1" customWidth="1"/>
  </cols>
  <sheetData>
    <row r="1" spans="2:7" s="6" customFormat="1" ht="12.75">
      <c r="B1" s="45" t="s">
        <v>0</v>
      </c>
      <c r="C1" s="46" t="s">
        <v>1</v>
      </c>
      <c r="D1" s="47" t="s">
        <v>5</v>
      </c>
      <c r="E1" s="47" t="s">
        <v>10</v>
      </c>
      <c r="F1" s="47" t="s">
        <v>11</v>
      </c>
      <c r="G1" s="47" t="s">
        <v>12</v>
      </c>
    </row>
    <row r="2" spans="2:7" s="6" customFormat="1" ht="12.75">
      <c r="B2" s="7"/>
      <c r="C2" s="48"/>
      <c r="D2" s="49" t="s">
        <v>312</v>
      </c>
      <c r="E2" s="49" t="s">
        <v>17</v>
      </c>
      <c r="F2" s="49" t="s">
        <v>18</v>
      </c>
      <c r="G2" s="49" t="s">
        <v>19</v>
      </c>
    </row>
    <row r="3" spans="2:7" s="18" customFormat="1" ht="12.75">
      <c r="B3" s="13">
        <v>1</v>
      </c>
      <c r="C3" s="14" t="s">
        <v>20</v>
      </c>
      <c r="D3" s="16">
        <f>SUM(D5+D34)</f>
        <v>3844706372.4883795</v>
      </c>
      <c r="E3" s="381">
        <f>SUM(E5+E34)</f>
        <v>2811395605.802938</v>
      </c>
      <c r="F3" s="16">
        <f>SUM(F5+F34)</f>
        <v>0</v>
      </c>
      <c r="G3" s="381">
        <f>SUM(G5+G34)</f>
        <v>1033310766.4678221</v>
      </c>
    </row>
    <row r="4" spans="2:7" ht="12.75">
      <c r="B4" s="19"/>
      <c r="C4" s="20"/>
      <c r="D4" s="22"/>
      <c r="E4" s="22"/>
      <c r="F4" s="22"/>
      <c r="G4" s="22"/>
    </row>
    <row r="5" spans="2:7" s="28" customFormat="1" ht="12.75">
      <c r="B5" s="24">
        <v>1.1</v>
      </c>
      <c r="C5" s="25" t="s">
        <v>21</v>
      </c>
      <c r="D5" s="26">
        <f>SUM(D6+D12)</f>
        <v>720334064.5707604</v>
      </c>
      <c r="E5" s="381">
        <f>SUM(E6+E12)</f>
        <v>150757731.1029383</v>
      </c>
      <c r="F5" s="26">
        <f>SUM(F6+F12)</f>
        <v>0</v>
      </c>
      <c r="G5" s="381">
        <f>SUM(G6+G12)</f>
        <v>569576333.4678221</v>
      </c>
    </row>
    <row r="6" spans="2:7" ht="12.75">
      <c r="B6" s="13" t="s">
        <v>22</v>
      </c>
      <c r="C6" s="14" t="s">
        <v>23</v>
      </c>
      <c r="D6" s="16">
        <f>SUM(D7:D10)</f>
        <v>233160533.46782207</v>
      </c>
      <c r="E6" s="16">
        <f>SUM(E7:E10)</f>
        <v>35112000</v>
      </c>
      <c r="F6" s="16">
        <f>SUM(F7:F10)</f>
        <v>0</v>
      </c>
      <c r="G6" s="16">
        <f>SUM(G7:G10)</f>
        <v>198048533.46782207</v>
      </c>
    </row>
    <row r="7" spans="2:7" ht="12.75">
      <c r="B7" s="19">
        <v>11101</v>
      </c>
      <c r="C7" s="20" t="s">
        <v>24</v>
      </c>
      <c r="D7" s="22">
        <f>SUM('ANALISIS INGRESOS'!T8)</f>
        <v>195595733.46782207</v>
      </c>
      <c r="E7" s="22"/>
      <c r="F7" s="22"/>
      <c r="G7" s="22">
        <f>+D7</f>
        <v>195595733.46782207</v>
      </c>
    </row>
    <row r="8" spans="2:7" ht="12.75">
      <c r="B8" s="19">
        <v>11102</v>
      </c>
      <c r="C8" s="20" t="s">
        <v>25</v>
      </c>
      <c r="D8" s="22">
        <f>SUM('ANALISIS INGRESOS'!T9)</f>
        <v>35112000</v>
      </c>
      <c r="E8" s="22">
        <f>+D8</f>
        <v>35112000</v>
      </c>
      <c r="F8" s="22"/>
      <c r="G8" s="22"/>
    </row>
    <row r="9" spans="2:7" ht="12.75">
      <c r="B9" s="19">
        <v>11103</v>
      </c>
      <c r="C9" s="20" t="s">
        <v>26</v>
      </c>
      <c r="D9" s="22">
        <f>SUM('ANALISIS INGRESOS'!T10)</f>
        <v>1575000</v>
      </c>
      <c r="E9" s="22"/>
      <c r="F9" s="22"/>
      <c r="G9" s="22">
        <f>+D9</f>
        <v>1575000</v>
      </c>
    </row>
    <row r="10" spans="2:7" ht="12.75">
      <c r="B10" s="19">
        <v>11104</v>
      </c>
      <c r="C10" s="20" t="s">
        <v>27</v>
      </c>
      <c r="D10" s="22">
        <f>SUM('ANALISIS INGRESOS'!T11)</f>
        <v>877800</v>
      </c>
      <c r="E10" s="22"/>
      <c r="F10" s="22"/>
      <c r="G10" s="22">
        <f>+D10</f>
        <v>877800</v>
      </c>
    </row>
    <row r="11" spans="2:7" ht="12.75">
      <c r="B11" s="19"/>
      <c r="C11" s="256"/>
      <c r="D11" s="22"/>
      <c r="E11" s="22"/>
      <c r="F11" s="22"/>
      <c r="G11" s="22"/>
    </row>
    <row r="12" spans="2:7" ht="12.75">
      <c r="B12" s="13" t="s">
        <v>28</v>
      </c>
      <c r="C12" s="14" t="s">
        <v>29</v>
      </c>
      <c r="D12" s="16">
        <f>SUM(D13:D32)</f>
        <v>487173531.1029383</v>
      </c>
      <c r="E12" s="16">
        <f>SUM(E13:E32)</f>
        <v>115645731.1029383</v>
      </c>
      <c r="F12" s="16">
        <f>SUM(F13:F32)</f>
        <v>0</v>
      </c>
      <c r="G12" s="16">
        <f>SUM(G13:G32)</f>
        <v>371527800</v>
      </c>
    </row>
    <row r="13" spans="2:7" ht="12.75">
      <c r="B13" s="19"/>
      <c r="C13" s="20" t="s">
        <v>30</v>
      </c>
      <c r="D13" s="22">
        <f>SUM('ANALISIS INGRESOS'!T14)</f>
        <v>227850000</v>
      </c>
      <c r="E13" s="22"/>
      <c r="F13" s="22"/>
      <c r="G13" s="22">
        <f>+D13</f>
        <v>227850000</v>
      </c>
    </row>
    <row r="14" spans="2:7" ht="12.75">
      <c r="B14" s="19"/>
      <c r="C14" s="20" t="s">
        <v>31</v>
      </c>
      <c r="D14" s="22">
        <f>SUM('ANALISIS INGRESOS'!T15)</f>
        <v>27825000</v>
      </c>
      <c r="E14" s="22"/>
      <c r="F14" s="22"/>
      <c r="G14" s="22">
        <f>+D14</f>
        <v>27825000</v>
      </c>
    </row>
    <row r="15" spans="2:6" ht="12.75">
      <c r="B15" s="19"/>
      <c r="C15" s="20" t="s">
        <v>32</v>
      </c>
      <c r="D15" s="22">
        <f>SUM('ANALISIS INGRESOS'!T16)</f>
        <v>6300000</v>
      </c>
      <c r="E15" s="22">
        <f>+D15</f>
        <v>6300000</v>
      </c>
      <c r="F15" s="22"/>
    </row>
    <row r="16" spans="2:7" ht="12.75">
      <c r="B16" s="19"/>
      <c r="C16" s="20" t="s">
        <v>33</v>
      </c>
      <c r="D16" s="22">
        <f>SUM('ANALISIS INGRESOS'!T17)</f>
        <v>87150000</v>
      </c>
      <c r="F16" s="22"/>
      <c r="G16" s="22">
        <f>+D16</f>
        <v>87150000</v>
      </c>
    </row>
    <row r="17" spans="2:7" ht="12.75">
      <c r="B17" s="19"/>
      <c r="C17" s="20" t="s">
        <v>34</v>
      </c>
      <c r="D17" s="22">
        <f>SUM('ANALISIS INGRESOS'!T18)</f>
        <v>3268692</v>
      </c>
      <c r="E17" s="22">
        <f>+D17</f>
        <v>3268692</v>
      </c>
      <c r="F17" s="22"/>
      <c r="G17" s="22"/>
    </row>
    <row r="18" spans="2:7" ht="12.75">
      <c r="B18" s="19"/>
      <c r="C18" s="20" t="s">
        <v>35</v>
      </c>
      <c r="D18" s="22">
        <f>SUM('ANALISIS INGRESOS'!T19)</f>
        <v>0</v>
      </c>
      <c r="E18" s="22">
        <f>+D18</f>
        <v>0</v>
      </c>
      <c r="F18" s="22"/>
      <c r="G18" s="22"/>
    </row>
    <row r="19" spans="2:7" ht="12.75">
      <c r="B19" s="19"/>
      <c r="C19" s="20" t="s">
        <v>36</v>
      </c>
      <c r="D19" s="22">
        <f>SUM('ANALISIS INGRESOS'!T20)</f>
        <v>0</v>
      </c>
      <c r="E19" s="22">
        <f>+D19</f>
        <v>0</v>
      </c>
      <c r="F19" s="22"/>
      <c r="G19" s="22"/>
    </row>
    <row r="20" spans="2:7" ht="12.75">
      <c r="B20" s="19"/>
      <c r="C20" s="20" t="s">
        <v>37</v>
      </c>
      <c r="D20" s="22">
        <f>SUM('ANALISIS INGRESOS'!T21)</f>
        <v>409549.9670836107</v>
      </c>
      <c r="E20" s="22">
        <f>+D20</f>
        <v>409549.9670836107</v>
      </c>
      <c r="F20" s="22"/>
      <c r="G20" s="22"/>
    </row>
    <row r="21" spans="2:7" ht="12.75">
      <c r="B21" s="19"/>
      <c r="C21" s="20" t="s">
        <v>38</v>
      </c>
      <c r="D21" s="22">
        <f>SUM('ANALISIS INGRESOS'!T22)</f>
        <v>1050000</v>
      </c>
      <c r="E21" s="22"/>
      <c r="F21" s="22"/>
      <c r="G21" s="22">
        <f aca="true" t="shared" si="0" ref="G21:G29">+D21</f>
        <v>1050000</v>
      </c>
    </row>
    <row r="22" spans="2:7" ht="12.75">
      <c r="B22" s="19"/>
      <c r="C22" s="20" t="s">
        <v>39</v>
      </c>
      <c r="D22" s="22">
        <f>SUM('ANALISIS INGRESOS'!T23)</f>
        <v>1575000</v>
      </c>
      <c r="E22" s="22"/>
      <c r="F22" s="22"/>
      <c r="G22" s="22">
        <f t="shared" si="0"/>
        <v>1575000</v>
      </c>
    </row>
    <row r="23" spans="2:7" ht="12.75">
      <c r="B23" s="19"/>
      <c r="C23" s="20" t="s">
        <v>40</v>
      </c>
      <c r="D23" s="22">
        <f>SUM('ANALISIS INGRESOS'!T24)</f>
        <v>0</v>
      </c>
      <c r="E23" s="22"/>
      <c r="F23" s="22"/>
      <c r="G23" s="22">
        <f t="shared" si="0"/>
        <v>0</v>
      </c>
    </row>
    <row r="24" spans="2:7" ht="12.75">
      <c r="B24" s="19"/>
      <c r="C24" s="20" t="s">
        <v>41</v>
      </c>
      <c r="D24" s="22">
        <f>SUM('ANALISIS INGRESOS'!T25)</f>
        <v>877800</v>
      </c>
      <c r="E24" s="22"/>
      <c r="F24" s="22"/>
      <c r="G24" s="22">
        <f t="shared" si="0"/>
        <v>877800</v>
      </c>
    </row>
    <row r="25" spans="2:7" ht="12.75">
      <c r="B25" s="19"/>
      <c r="C25" s="20" t="s">
        <v>42</v>
      </c>
      <c r="D25" s="22">
        <f>SUM('ANALISIS INGRESOS'!T26)</f>
        <v>25200000</v>
      </c>
      <c r="E25" s="22"/>
      <c r="F25" s="22"/>
      <c r="G25" s="22">
        <f t="shared" si="0"/>
        <v>25200000</v>
      </c>
    </row>
    <row r="26" spans="2:7" ht="12.75">
      <c r="B26" s="19"/>
      <c r="C26" s="20" t="s">
        <v>43</v>
      </c>
      <c r="D26" s="22">
        <f>SUM('ANALISIS INGRESOS'!T27)</f>
        <v>0</v>
      </c>
      <c r="E26" s="22"/>
      <c r="F26" s="22"/>
      <c r="G26" s="22">
        <f t="shared" si="0"/>
        <v>0</v>
      </c>
    </row>
    <row r="27" spans="2:7" ht="12.75">
      <c r="B27" s="19"/>
      <c r="C27" s="20" t="s">
        <v>44</v>
      </c>
      <c r="D27" s="22">
        <f>SUM('ANALISIS INGRESOS'!T28)</f>
        <v>0</v>
      </c>
      <c r="E27" s="22"/>
      <c r="F27" s="22"/>
      <c r="G27" s="22">
        <f t="shared" si="0"/>
        <v>0</v>
      </c>
    </row>
    <row r="28" spans="2:7" ht="12.75">
      <c r="B28" s="19"/>
      <c r="C28" s="20" t="s">
        <v>45</v>
      </c>
      <c r="D28" s="22">
        <f>SUM('ANALISIS INGRESOS'!T29)</f>
        <v>0</v>
      </c>
      <c r="E28" s="22"/>
      <c r="F28" s="22"/>
      <c r="G28" s="22">
        <f t="shared" si="0"/>
        <v>0</v>
      </c>
    </row>
    <row r="29" spans="2:7" ht="12.75">
      <c r="B29" s="19"/>
      <c r="C29" s="20" t="s">
        <v>46</v>
      </c>
      <c r="D29" s="22">
        <f>SUM('ANALISIS INGRESOS'!T30)</f>
        <v>0</v>
      </c>
      <c r="E29" s="22"/>
      <c r="F29" s="22"/>
      <c r="G29" s="22">
        <f t="shared" si="0"/>
        <v>0</v>
      </c>
    </row>
    <row r="30" spans="2:7" ht="12.75">
      <c r="B30" s="19"/>
      <c r="C30" s="20" t="s">
        <v>47</v>
      </c>
      <c r="D30" s="22">
        <f>SUM('ANALISIS INGRESOS'!T31)</f>
        <v>0</v>
      </c>
      <c r="E30" s="22"/>
      <c r="F30" s="22"/>
      <c r="G30" s="22" t="s">
        <v>267</v>
      </c>
    </row>
    <row r="31" spans="2:7" ht="12.75">
      <c r="B31" s="19"/>
      <c r="C31" s="20" t="s">
        <v>266</v>
      </c>
      <c r="D31" s="22">
        <f>SUM('ANALISIS INGRESOS'!T33)</f>
        <v>51573970.39022976</v>
      </c>
      <c r="E31" s="22">
        <f>+D31</f>
        <v>51573970.39022976</v>
      </c>
      <c r="F31" s="22"/>
      <c r="G31" s="22"/>
    </row>
    <row r="32" spans="2:7" ht="12.75">
      <c r="B32" s="19"/>
      <c r="C32" s="20" t="s">
        <v>279</v>
      </c>
      <c r="D32" s="22">
        <f>SUM('ANALISIS INGRESOS'!T34)</f>
        <v>54093518.74562493</v>
      </c>
      <c r="E32" s="22">
        <f>+D32</f>
        <v>54093518.74562493</v>
      </c>
      <c r="F32" s="21"/>
      <c r="G32" s="21"/>
    </row>
    <row r="33" spans="2:7" ht="12.75">
      <c r="B33" s="19"/>
      <c r="C33" s="20"/>
      <c r="D33" s="22"/>
      <c r="E33" s="22"/>
      <c r="F33" s="21"/>
      <c r="G33" s="21"/>
    </row>
    <row r="34" spans="2:7" s="28" customFormat="1" ht="12.75">
      <c r="B34" s="24">
        <v>1.2</v>
      </c>
      <c r="C34" s="25" t="s">
        <v>48</v>
      </c>
      <c r="D34" s="26">
        <f>SUM(D35+D56+D60+D68)</f>
        <v>3124372307.917619</v>
      </c>
      <c r="E34" s="381">
        <f>SUM(E35+E56+E60+E68)</f>
        <v>2660637874.7</v>
      </c>
      <c r="F34" s="26">
        <f>SUM(F35+F56+F60+F68)</f>
        <v>0</v>
      </c>
      <c r="G34" s="381">
        <f>SUM(G35+G56+G60+G68)</f>
        <v>463734433</v>
      </c>
    </row>
    <row r="35" spans="2:7" ht="12.75">
      <c r="B35" s="13" t="s">
        <v>49</v>
      </c>
      <c r="C35" s="14" t="s">
        <v>50</v>
      </c>
      <c r="D35" s="16">
        <f>SUM(D36:D48)</f>
        <v>39110433.21761927</v>
      </c>
      <c r="E35" s="16">
        <f>SUM(E36:E48)</f>
        <v>0</v>
      </c>
      <c r="F35" s="16">
        <f>SUM(F36:F48)</f>
        <v>0</v>
      </c>
      <c r="G35" s="16">
        <f>SUM(G36:G48)</f>
        <v>39110433</v>
      </c>
    </row>
    <row r="36" spans="2:7" ht="12.75">
      <c r="B36" s="19"/>
      <c r="C36" s="20" t="s">
        <v>51</v>
      </c>
      <c r="D36" s="22">
        <f>SUM('ANALISIS INGRESOS'!T38)</f>
        <v>0</v>
      </c>
      <c r="E36" s="22"/>
      <c r="F36" s="22"/>
      <c r="G36" s="22">
        <f aca="true" t="shared" si="1" ref="G36:G43">+D36</f>
        <v>0</v>
      </c>
    </row>
    <row r="37" spans="2:7" ht="12.75">
      <c r="B37" s="19"/>
      <c r="C37" s="20" t="s">
        <v>52</v>
      </c>
      <c r="D37" s="22">
        <f>SUM('ANALISIS INGRESOS'!T39)</f>
        <v>8400000</v>
      </c>
      <c r="E37" s="22"/>
      <c r="F37" s="22"/>
      <c r="G37" s="22">
        <f t="shared" si="1"/>
        <v>8400000</v>
      </c>
    </row>
    <row r="38" spans="2:7" ht="12.75">
      <c r="B38" s="19"/>
      <c r="C38" s="20" t="s">
        <v>53</v>
      </c>
      <c r="D38" s="22">
        <f>SUM('ANALISIS INGRESOS'!T40)</f>
        <v>0</v>
      </c>
      <c r="E38" s="22"/>
      <c r="F38" s="22"/>
      <c r="G38" s="22">
        <f t="shared" si="1"/>
        <v>0</v>
      </c>
    </row>
    <row r="39" spans="2:7" ht="12.75">
      <c r="B39" s="19"/>
      <c r="C39" s="20" t="s">
        <v>313</v>
      </c>
      <c r="D39" s="22">
        <f>SUM('ANALISIS INGRESOS'!T41)</f>
        <v>15580950</v>
      </c>
      <c r="E39" s="22"/>
      <c r="F39" s="22"/>
      <c r="G39" s="22">
        <f t="shared" si="1"/>
        <v>15580950</v>
      </c>
    </row>
    <row r="40" spans="2:7" ht="12.75">
      <c r="B40" s="19"/>
      <c r="C40" s="20" t="s">
        <v>55</v>
      </c>
      <c r="D40" s="22">
        <f>SUM('ANALISIS INGRESOS'!T42)</f>
        <v>257670</v>
      </c>
      <c r="E40" s="22"/>
      <c r="F40" s="22"/>
      <c r="G40" s="22">
        <f t="shared" si="1"/>
        <v>257670</v>
      </c>
    </row>
    <row r="41" spans="2:7" ht="12.75">
      <c r="B41" s="19"/>
      <c r="C41" s="20" t="s">
        <v>56</v>
      </c>
      <c r="D41" s="22">
        <f>SUM('ANALISIS INGRESOS'!T43)</f>
        <v>272160</v>
      </c>
      <c r="E41" s="22"/>
      <c r="F41" s="22"/>
      <c r="G41" s="22">
        <f t="shared" si="1"/>
        <v>272160</v>
      </c>
    </row>
    <row r="42" spans="2:7" ht="12.75">
      <c r="B42" s="19"/>
      <c r="C42" s="20" t="s">
        <v>57</v>
      </c>
      <c r="D42" s="22">
        <f>SUM('ANALISIS INGRESOS'!T44)</f>
        <v>6825000</v>
      </c>
      <c r="E42" s="22"/>
      <c r="F42" s="22"/>
      <c r="G42" s="22">
        <f t="shared" si="1"/>
        <v>6825000</v>
      </c>
    </row>
    <row r="43" spans="2:7" ht="12.75">
      <c r="B43" s="19"/>
      <c r="C43" s="20" t="s">
        <v>58</v>
      </c>
      <c r="D43" s="22">
        <f>SUM('ANALISIS INGRESOS'!T45)</f>
        <v>408240</v>
      </c>
      <c r="E43" s="22"/>
      <c r="F43" s="22"/>
      <c r="G43" s="22">
        <f t="shared" si="1"/>
        <v>408240</v>
      </c>
    </row>
    <row r="44" spans="2:7" ht="12.75">
      <c r="B44" s="19"/>
      <c r="C44" s="20" t="s">
        <v>59</v>
      </c>
      <c r="D44" s="22">
        <f>SUM('ANALISIS INGRESOS'!T46)</f>
        <v>0</v>
      </c>
      <c r="E44" s="22">
        <f>+D44</f>
        <v>0</v>
      </c>
      <c r="F44" s="22"/>
      <c r="G44" s="22"/>
    </row>
    <row r="45" spans="2:7" ht="12.75">
      <c r="B45" s="19"/>
      <c r="C45" s="20" t="s">
        <v>60</v>
      </c>
      <c r="D45" s="22">
        <f>SUM('ANALISIS INGRESOS'!T47)</f>
        <v>5040000</v>
      </c>
      <c r="E45" s="22"/>
      <c r="F45" s="22"/>
      <c r="G45" s="22">
        <f>+D45</f>
        <v>5040000</v>
      </c>
    </row>
    <row r="46" spans="2:7" ht="12.75">
      <c r="B46" s="19"/>
      <c r="C46" s="20" t="s">
        <v>61</v>
      </c>
      <c r="D46" s="22">
        <f>SUM('ANALISIS INGRESOS'!T48)</f>
        <v>0</v>
      </c>
      <c r="E46" s="22"/>
      <c r="F46" s="22"/>
      <c r="G46" s="22">
        <f>+D46</f>
        <v>0</v>
      </c>
    </row>
    <row r="47" spans="2:7" ht="12.75">
      <c r="B47" s="19"/>
      <c r="C47" s="20" t="s">
        <v>204</v>
      </c>
      <c r="D47" s="22">
        <f>SUM('ANALISIS INGRESOS'!T49)+1</f>
        <v>2126413.2176192724</v>
      </c>
      <c r="E47" s="22"/>
      <c r="F47" s="22"/>
      <c r="G47" s="22">
        <v>2126413</v>
      </c>
    </row>
    <row r="48" spans="2:7" ht="12.75">
      <c r="B48" s="19"/>
      <c r="C48" s="51" t="s">
        <v>284</v>
      </c>
      <c r="D48" s="22">
        <f>SUM('ANALISIS INGRESOS'!T50)</f>
        <v>200000</v>
      </c>
      <c r="E48" s="53"/>
      <c r="F48" s="22"/>
      <c r="G48" s="22">
        <f>+D48</f>
        <v>200000</v>
      </c>
    </row>
    <row r="49" spans="2:7" ht="12.75">
      <c r="B49" s="239"/>
      <c r="C49" s="170"/>
      <c r="D49" s="287"/>
      <c r="E49" s="287"/>
      <c r="F49" s="271"/>
      <c r="G49" s="271"/>
    </row>
    <row r="50" spans="2:7" ht="12.75">
      <c r="B50" s="57"/>
      <c r="C50" s="51"/>
      <c r="D50" s="53"/>
      <c r="E50" s="53"/>
      <c r="F50" s="53"/>
      <c r="G50" s="53"/>
    </row>
    <row r="51" spans="2:7" ht="12.75">
      <c r="B51" s="57"/>
      <c r="C51" s="51"/>
      <c r="D51" s="53"/>
      <c r="E51" s="53"/>
      <c r="F51" s="53"/>
      <c r="G51" s="53"/>
    </row>
    <row r="52" spans="2:7" ht="12.75">
      <c r="B52" s="240"/>
      <c r="C52" s="170"/>
      <c r="D52" s="287"/>
      <c r="E52" s="287"/>
      <c r="F52" s="287"/>
      <c r="G52" s="287"/>
    </row>
    <row r="53" spans="2:7" ht="12.75">
      <c r="B53" s="19"/>
      <c r="C53" s="285" t="s">
        <v>1</v>
      </c>
      <c r="D53" s="286" t="s">
        <v>5</v>
      </c>
      <c r="E53" s="286" t="s">
        <v>10</v>
      </c>
      <c r="F53" s="286" t="s">
        <v>11</v>
      </c>
      <c r="G53" s="286" t="s">
        <v>12</v>
      </c>
    </row>
    <row r="54" spans="2:7" ht="12.75">
      <c r="B54" s="19"/>
      <c r="C54" s="48"/>
      <c r="D54" s="49" t="s">
        <v>312</v>
      </c>
      <c r="E54" s="49" t="s">
        <v>17</v>
      </c>
      <c r="F54" s="49" t="s">
        <v>18</v>
      </c>
      <c r="G54" s="49" t="s">
        <v>19</v>
      </c>
    </row>
    <row r="55" spans="2:7" ht="12.75">
      <c r="B55" s="19"/>
      <c r="D55" s="281"/>
      <c r="E55" s="282"/>
      <c r="F55" s="22"/>
      <c r="G55" s="22"/>
    </row>
    <row r="56" spans="2:7" ht="12.75">
      <c r="B56" s="13" t="s">
        <v>63</v>
      </c>
      <c r="C56" s="14" t="s">
        <v>64</v>
      </c>
      <c r="D56" s="15">
        <f>SUM(D57:D58)</f>
        <v>0</v>
      </c>
      <c r="E56" s="15">
        <f>SUM(E57:E58)</f>
        <v>0</v>
      </c>
      <c r="F56" s="15">
        <f>SUM(F57:F58)</f>
        <v>0</v>
      </c>
      <c r="G56" s="15">
        <f>SUM(G57:G58)</f>
        <v>0</v>
      </c>
    </row>
    <row r="57" spans="2:7" ht="12.75">
      <c r="B57" s="19"/>
      <c r="C57" s="20" t="s">
        <v>65</v>
      </c>
      <c r="D57" s="21">
        <f>SUM('ANALISIS INGRESOS'!T53)</f>
        <v>0</v>
      </c>
      <c r="E57" s="21"/>
      <c r="F57" s="21"/>
      <c r="G57" s="22">
        <f>+D57</f>
        <v>0</v>
      </c>
    </row>
    <row r="58" spans="2:7" ht="12.75">
      <c r="B58" s="19"/>
      <c r="C58" s="20" t="s">
        <v>66</v>
      </c>
      <c r="D58" s="21">
        <f>SUM('ANALISIS INGRESOS'!T54)</f>
        <v>0</v>
      </c>
      <c r="E58" s="283">
        <f>+D58</f>
        <v>0</v>
      </c>
      <c r="F58" s="21"/>
      <c r="G58" s="22"/>
    </row>
    <row r="59" spans="2:7" ht="12.75">
      <c r="B59" s="19"/>
      <c r="C59" s="20"/>
      <c r="D59" s="283"/>
      <c r="E59" s="283"/>
      <c r="F59" s="283"/>
      <c r="G59" s="284"/>
    </row>
    <row r="60" spans="2:7" ht="12.75">
      <c r="B60" s="13" t="s">
        <v>67</v>
      </c>
      <c r="C60" s="14" t="s">
        <v>282</v>
      </c>
      <c r="D60" s="16">
        <f>SUM(D61:D66)</f>
        <v>3016308024</v>
      </c>
      <c r="E60" s="16">
        <f>SUM(E61:E66)</f>
        <v>2591684024</v>
      </c>
      <c r="F60" s="16">
        <f>SUM(F61:F66)</f>
        <v>0</v>
      </c>
      <c r="G60" s="16">
        <f>SUM(G61:G66)</f>
        <v>424624000</v>
      </c>
    </row>
    <row r="61" spans="2:7" ht="12.75">
      <c r="B61" s="19"/>
      <c r="C61" s="20" t="s">
        <v>69</v>
      </c>
      <c r="D61" s="22">
        <f>SUM('ANALISIS INGRESOS'!T57)</f>
        <v>228483534</v>
      </c>
      <c r="E61" s="22">
        <f>+D61</f>
        <v>228483534</v>
      </c>
      <c r="F61" s="21"/>
      <c r="G61" s="21"/>
    </row>
    <row r="62" spans="2:7" ht="12.75">
      <c r="B62" s="19"/>
      <c r="C62" s="20" t="s">
        <v>70</v>
      </c>
      <c r="D62" s="22">
        <f>SUM('ANALISIS INGRESOS'!T58)</f>
        <v>424624000</v>
      </c>
      <c r="E62" s="22"/>
      <c r="F62" s="22"/>
      <c r="G62" s="22">
        <f>D62</f>
        <v>424624000</v>
      </c>
    </row>
    <row r="63" spans="2:7" ht="12.75">
      <c r="B63" s="19"/>
      <c r="C63" s="20" t="s">
        <v>71</v>
      </c>
      <c r="D63" s="22">
        <v>370083307</v>
      </c>
      <c r="E63" s="22">
        <f>+D63</f>
        <v>370083307</v>
      </c>
      <c r="F63" s="22"/>
      <c r="G63" s="22"/>
    </row>
    <row r="64" spans="2:7" ht="12.75">
      <c r="B64" s="19"/>
      <c r="C64" s="51" t="s">
        <v>265</v>
      </c>
      <c r="D64" s="22">
        <f>SUM('ANALISIS INGRESOS'!T60)</f>
        <v>963954090</v>
      </c>
      <c r="E64" s="22">
        <f>+D64</f>
        <v>963954090</v>
      </c>
      <c r="F64" s="22"/>
      <c r="G64" s="22"/>
    </row>
    <row r="65" spans="2:7" ht="12.75">
      <c r="B65" s="19"/>
      <c r="C65" s="20" t="s">
        <v>72</v>
      </c>
      <c r="D65" s="22">
        <f>SUM('ANALISIS INGRESOS'!T61)</f>
        <v>982701258</v>
      </c>
      <c r="E65" s="22">
        <f>+D65</f>
        <v>982701258</v>
      </c>
      <c r="F65" s="22"/>
      <c r="G65" s="22"/>
    </row>
    <row r="66" spans="2:7" ht="12.75">
      <c r="B66" s="19"/>
      <c r="C66" s="20" t="s">
        <v>73</v>
      </c>
      <c r="D66" s="22">
        <f>SUM('ANALISIS INGRESOS'!T62)</f>
        <v>46461835</v>
      </c>
      <c r="E66" s="22">
        <f>+D66</f>
        <v>46461835</v>
      </c>
      <c r="F66" s="22"/>
      <c r="G66" s="22"/>
    </row>
    <row r="67" spans="2:7" ht="12.75">
      <c r="B67" s="19"/>
      <c r="C67" s="20"/>
      <c r="D67" s="22"/>
      <c r="E67" s="22"/>
      <c r="F67" s="22"/>
      <c r="G67" s="22"/>
    </row>
    <row r="68" spans="2:7" s="18" customFormat="1" ht="12.75">
      <c r="B68" s="13">
        <v>2</v>
      </c>
      <c r="C68" s="14" t="s">
        <v>74</v>
      </c>
      <c r="D68" s="15">
        <f>SUM(D69:D69)</f>
        <v>68953850.7</v>
      </c>
      <c r="E68" s="15">
        <f>SUM(E69:E69)</f>
        <v>68953850.7</v>
      </c>
      <c r="F68" s="15">
        <f>SUM(F69:F69)</f>
        <v>0</v>
      </c>
      <c r="G68" s="15">
        <f>SUM(G69:G69)</f>
        <v>0</v>
      </c>
    </row>
    <row r="69" spans="2:7" ht="12.75">
      <c r="B69" s="19"/>
      <c r="C69" s="20" t="s">
        <v>75</v>
      </c>
      <c r="D69" s="22">
        <f>SUM('ANALISIS INGRESOS'!T70)</f>
        <v>68953850.7</v>
      </c>
      <c r="E69" s="21">
        <f>+D69</f>
        <v>68953850.7</v>
      </c>
      <c r="F69" s="21"/>
      <c r="G69" s="22"/>
    </row>
    <row r="70" spans="2:7" ht="12.75">
      <c r="B70" s="19"/>
      <c r="C70" s="20"/>
      <c r="D70" s="21"/>
      <c r="E70" s="21"/>
      <c r="F70" s="21"/>
      <c r="G70" s="21"/>
    </row>
    <row r="71" spans="2:7" ht="12.75">
      <c r="B71" s="19"/>
      <c r="C71" s="20"/>
      <c r="D71" s="22"/>
      <c r="E71" s="22"/>
      <c r="F71" s="22"/>
      <c r="G71" s="22"/>
    </row>
    <row r="72" spans="2:7" s="18" customFormat="1" ht="12.75">
      <c r="B72" s="13">
        <v>3</v>
      </c>
      <c r="C72" s="14" t="s">
        <v>76</v>
      </c>
      <c r="D72" s="15">
        <f>SUM(D73:D76)</f>
        <v>12633594.528996786</v>
      </c>
      <c r="E72" s="382">
        <f>SUM(E73:E76)</f>
        <v>0</v>
      </c>
      <c r="F72" s="15">
        <f>SUM(F73:F76)</f>
        <v>12633594.528996786</v>
      </c>
      <c r="G72" s="15">
        <f>SUM(G73:G76)</f>
        <v>0</v>
      </c>
    </row>
    <row r="73" spans="2:7" ht="12.75">
      <c r="B73" s="19"/>
      <c r="C73" s="20" t="s">
        <v>77</v>
      </c>
      <c r="D73" s="21"/>
      <c r="E73" s="21"/>
      <c r="F73" s="21"/>
      <c r="G73" s="21"/>
    </row>
    <row r="74" spans="2:7" ht="12.75">
      <c r="B74" s="19"/>
      <c r="C74" s="20" t="s">
        <v>78</v>
      </c>
      <c r="D74" s="21">
        <f>SUM('ANALISIS INGRESOS'!T80)</f>
        <v>12633594.528996786</v>
      </c>
      <c r="E74" s="21"/>
      <c r="F74" s="21">
        <f>D74</f>
        <v>12633594.528996786</v>
      </c>
      <c r="G74" s="21"/>
    </row>
    <row r="75" spans="2:7" ht="12.75">
      <c r="B75" s="19"/>
      <c r="C75" s="20" t="s">
        <v>86</v>
      </c>
      <c r="D75" s="21">
        <f>SUM('ANALISIS INGRESOS'!T82)</f>
        <v>0</v>
      </c>
      <c r="E75" s="21"/>
      <c r="F75" s="21">
        <f>D75</f>
        <v>0</v>
      </c>
      <c r="G75" s="21"/>
    </row>
    <row r="76" spans="2:7" ht="12.75">
      <c r="B76" s="19"/>
      <c r="C76" s="20" t="s">
        <v>80</v>
      </c>
      <c r="D76" s="21">
        <f>SUM('ANALISIS INGRESOS'!T85)</f>
        <v>0</v>
      </c>
      <c r="E76" s="21"/>
      <c r="F76" s="21">
        <f>D76</f>
        <v>0</v>
      </c>
      <c r="G76" s="21"/>
    </row>
    <row r="77" spans="2:9" ht="12.75">
      <c r="B77" s="19"/>
      <c r="C77" s="20"/>
      <c r="D77" s="22"/>
      <c r="E77" s="21">
        <f>F77</f>
        <v>0</v>
      </c>
      <c r="F77" s="22"/>
      <c r="G77" s="22"/>
      <c r="I77" s="383">
        <v>3857339967</v>
      </c>
    </row>
    <row r="78" spans="2:9" s="37" customFormat="1" ht="12.75">
      <c r="B78" s="32"/>
      <c r="C78" s="33" t="s">
        <v>81</v>
      </c>
      <c r="D78" s="35">
        <f>SUM(D3+D72)</f>
        <v>3857339967.0173764</v>
      </c>
      <c r="E78" s="35">
        <f>SUM(E3+E72)</f>
        <v>2811395605.802938</v>
      </c>
      <c r="F78" s="35">
        <f>SUM(F3+F72)</f>
        <v>12633594.528996786</v>
      </c>
      <c r="G78" s="35">
        <f>SUM(G3+G68+G72)</f>
        <v>1033310766.4678221</v>
      </c>
      <c r="I78" s="56">
        <v>3623099751</v>
      </c>
    </row>
    <row r="79" spans="2:7" s="37" customFormat="1" ht="12.75" hidden="1">
      <c r="B79" s="38" t="s">
        <v>82</v>
      </c>
      <c r="C79" s="39"/>
      <c r="D79" s="42"/>
      <c r="E79" s="42"/>
      <c r="F79" s="42"/>
      <c r="G79" s="42"/>
    </row>
    <row r="80" spans="2:7" s="37" customFormat="1" ht="12.75" hidden="1">
      <c r="B80" s="44" t="s">
        <v>83</v>
      </c>
      <c r="C80" s="39"/>
      <c r="D80" s="42"/>
      <c r="E80" s="42"/>
      <c r="F80" s="42"/>
      <c r="G80" s="42"/>
    </row>
    <row r="81" spans="2:9" s="37" customFormat="1" ht="12.75">
      <c r="B81" s="44"/>
      <c r="C81" s="39"/>
      <c r="D81" s="42"/>
      <c r="E81" s="42"/>
      <c r="F81" s="42"/>
      <c r="G81" s="42"/>
      <c r="I81" s="56">
        <f>+I77-I78</f>
        <v>234240216</v>
      </c>
    </row>
    <row r="82" spans="2:9" s="37" customFormat="1" ht="14.25">
      <c r="B82" s="44"/>
      <c r="C82" s="39"/>
      <c r="D82" s="50" t="s">
        <v>87</v>
      </c>
      <c r="E82" s="42"/>
      <c r="F82" s="42"/>
      <c r="G82" s="42"/>
      <c r="I82" s="56">
        <v>12633595</v>
      </c>
    </row>
    <row r="83" spans="2:9" s="37" customFormat="1" ht="12.75">
      <c r="B83" s="44"/>
      <c r="C83" s="39"/>
      <c r="D83" s="42"/>
      <c r="E83" s="42"/>
      <c r="F83" s="42"/>
      <c r="G83" s="42"/>
      <c r="I83" s="56">
        <f>+I81-I82</f>
        <v>221606621</v>
      </c>
    </row>
    <row r="84" spans="2:9" s="37" customFormat="1" ht="12.75">
      <c r="B84" s="51" t="s">
        <v>315</v>
      </c>
      <c r="C84" s="52"/>
      <c r="D84" s="53"/>
      <c r="E84" s="53"/>
      <c r="F84" s="53"/>
      <c r="G84" s="53">
        <f>+G78*0.8</f>
        <v>826648613.1742578</v>
      </c>
      <c r="H84" s="54"/>
      <c r="I84" s="56">
        <f>+I78+I82+I83</f>
        <v>3857339967</v>
      </c>
    </row>
    <row r="85" spans="2:7" s="37" customFormat="1" ht="12.75">
      <c r="B85" s="55" t="s">
        <v>314</v>
      </c>
      <c r="C85" s="52"/>
      <c r="D85" s="53"/>
      <c r="E85" s="53"/>
      <c r="F85" s="53"/>
      <c r="G85" s="53">
        <f>SUM(PROYENOMINA!V44)</f>
        <v>75908170.80000001</v>
      </c>
    </row>
    <row r="86" spans="2:8" s="37" customFormat="1" ht="12.75">
      <c r="B86" s="51" t="s">
        <v>304</v>
      </c>
      <c r="C86" s="52"/>
      <c r="D86" s="53"/>
      <c r="E86" s="53"/>
      <c r="F86" s="53"/>
      <c r="G86" s="53">
        <f>+G78*0.015</f>
        <v>15499661.497017331</v>
      </c>
      <c r="H86" s="53"/>
    </row>
    <row r="87" spans="2:8" s="37" customFormat="1" ht="12.75">
      <c r="B87" s="51" t="s">
        <v>88</v>
      </c>
      <c r="C87" s="52"/>
      <c r="D87" s="53"/>
      <c r="E87" s="53"/>
      <c r="F87" s="53"/>
      <c r="G87" s="53">
        <f>+G85+G86</f>
        <v>91407832.29701734</v>
      </c>
      <c r="H87" s="54"/>
    </row>
    <row r="88" spans="2:7" s="37" customFormat="1" ht="12.75">
      <c r="B88" s="51" t="s">
        <v>89</v>
      </c>
      <c r="C88" s="52"/>
      <c r="D88" s="53"/>
      <c r="E88" s="53"/>
      <c r="F88" s="53"/>
      <c r="G88" s="53">
        <f>+(433700*1.05)*150</f>
        <v>68307750</v>
      </c>
    </row>
    <row r="89" spans="2:7" s="37" customFormat="1" ht="12.75">
      <c r="B89" s="55" t="s">
        <v>319</v>
      </c>
      <c r="C89" s="52"/>
      <c r="D89" s="53"/>
      <c r="E89" s="53"/>
      <c r="F89" s="53"/>
      <c r="G89" s="53">
        <f>SUM(E69:E69)+E8+E15+E17+E19+E20+E44+E31+E32+H91</f>
        <v>221606620.98228782</v>
      </c>
    </row>
    <row r="90" spans="2:7" s="37" customFormat="1" ht="12.75">
      <c r="B90" s="51" t="s">
        <v>316</v>
      </c>
      <c r="C90" s="52"/>
      <c r="D90" s="53"/>
      <c r="E90" s="53"/>
      <c r="F90" s="53"/>
      <c r="G90" s="53">
        <f>+G78*0.2</f>
        <v>206662153.29356444</v>
      </c>
    </row>
    <row r="91" spans="2:8" s="37" customFormat="1" ht="12.75">
      <c r="B91" s="51" t="s">
        <v>90</v>
      </c>
      <c r="C91" s="52"/>
      <c r="D91" s="53"/>
      <c r="E91" s="53"/>
      <c r="F91" s="53"/>
      <c r="G91" s="53">
        <f>SUM(F74:F76)-H91+1</f>
        <v>10738556.349647269</v>
      </c>
      <c r="H91" s="56">
        <f>F78*0.15</f>
        <v>1895039.179349518</v>
      </c>
    </row>
    <row r="92" spans="2:7" s="37" customFormat="1" ht="12.75">
      <c r="B92" s="51" t="s">
        <v>91</v>
      </c>
      <c r="C92" s="52"/>
      <c r="D92" s="53"/>
      <c r="E92" s="53"/>
      <c r="F92" s="53"/>
      <c r="G92" s="53">
        <f>+E58</f>
        <v>0</v>
      </c>
    </row>
    <row r="93" spans="2:7" s="37" customFormat="1" ht="12.75">
      <c r="B93" s="51" t="s">
        <v>164</v>
      </c>
      <c r="C93" s="52"/>
      <c r="D93" s="53"/>
      <c r="E93" s="53"/>
      <c r="F93" s="53"/>
      <c r="G93" s="53">
        <f>E61+E63+E64+E65+E66</f>
        <v>2591684024</v>
      </c>
    </row>
    <row r="94" spans="2:7" ht="12.75">
      <c r="B94" s="57" t="s">
        <v>92</v>
      </c>
      <c r="C94" s="51"/>
      <c r="D94" s="53"/>
      <c r="E94" s="53"/>
      <c r="F94" s="53"/>
      <c r="G94" s="237">
        <f>G90+G91+G92+G93</f>
        <v>2809084733.643212</v>
      </c>
    </row>
    <row r="95" spans="2:7" ht="12.75">
      <c r="B95" s="57"/>
      <c r="C95" s="51"/>
      <c r="D95" s="53"/>
      <c r="E95" s="53"/>
      <c r="F95" s="53"/>
      <c r="G95" s="53"/>
    </row>
    <row r="96" spans="2:7" ht="12.75">
      <c r="B96" s="51" t="s">
        <v>93</v>
      </c>
      <c r="C96" s="51"/>
      <c r="D96" s="53"/>
      <c r="E96" s="53"/>
      <c r="F96" s="53"/>
      <c r="G96" s="53">
        <f>+G84-G87-G88</f>
        <v>666933030.8772404</v>
      </c>
    </row>
    <row r="98" ht="12.75">
      <c r="G98" t="s">
        <v>267</v>
      </c>
    </row>
    <row r="100" ht="12.75">
      <c r="C100" s="37"/>
    </row>
  </sheetData>
  <printOptions/>
  <pageMargins left="0.11811023622047245" right="0.11811023622047245" top="1.7322834645669292" bottom="0.7874015748031497" header="0.3937007874015748" footer="0.1968503937007874"/>
  <pageSetup horizontalDpi="120" verticalDpi="120" orientation="portrait" scale="96" r:id="rId1"/>
  <headerFooter alignWithMargins="0">
    <oddHeader>&amp;CDEPARTAMENTO DE VICHADA
ALCALDIA MUNICIPIO DE PUERTO CARREÑO
INGRESOS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V62"/>
  <sheetViews>
    <sheetView workbookViewId="0" topLeftCell="A20">
      <selection activeCell="A37" sqref="A37"/>
    </sheetView>
  </sheetViews>
  <sheetFormatPr defaultColWidth="11.421875" defaultRowHeight="12.75"/>
  <cols>
    <col min="2" max="2" width="6.28125" style="0" customWidth="1"/>
    <col min="3" max="3" width="24.7109375" style="0" customWidth="1"/>
    <col min="4" max="4" width="8.8515625" style="0" customWidth="1"/>
    <col min="8" max="8" width="12.57421875" style="0" customWidth="1"/>
    <col min="13" max="13" width="12.57421875" style="0" bestFit="1" customWidth="1"/>
    <col min="15" max="16" width="12.8515625" style="0" customWidth="1"/>
    <col min="17" max="18" width="12.28125" style="0" customWidth="1"/>
    <col min="19" max="19" width="17.140625" style="0" customWidth="1"/>
    <col min="20" max="20" width="10.8515625" style="0" customWidth="1"/>
    <col min="21" max="21" width="10.140625" style="0" customWidth="1"/>
    <col min="22" max="22" width="14.00390625" style="0" customWidth="1"/>
    <col min="33" max="33" width="13.57421875" style="0" bestFit="1" customWidth="1"/>
  </cols>
  <sheetData>
    <row r="1" spans="2:74" s="112" customFormat="1" ht="12.75">
      <c r="B1" s="130"/>
      <c r="C1" s="64"/>
      <c r="D1" s="64"/>
      <c r="E1" s="110"/>
      <c r="F1" s="13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</row>
    <row r="2" spans="2:74" s="112" customFormat="1" ht="12.75">
      <c r="B2" s="130"/>
      <c r="C2" s="64"/>
      <c r="D2" s="64"/>
      <c r="E2" s="110"/>
      <c r="F2" s="131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</row>
    <row r="3" spans="2:74" s="112" customFormat="1" ht="12.75">
      <c r="B3" s="130"/>
      <c r="C3" s="64"/>
      <c r="D3" s="64"/>
      <c r="E3" s="110"/>
      <c r="F3" s="131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</row>
    <row r="4" spans="2:74" s="65" customFormat="1" ht="12.75">
      <c r="B4" s="58"/>
      <c r="C4" s="58"/>
      <c r="D4" s="59"/>
      <c r="E4" s="60"/>
      <c r="F4" s="61"/>
      <c r="G4" s="58"/>
      <c r="H4" s="58"/>
      <c r="I4" s="58"/>
      <c r="J4" s="62">
        <v>993591</v>
      </c>
      <c r="K4" s="62">
        <v>867400</v>
      </c>
      <c r="L4" s="63">
        <v>995949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4"/>
      <c r="AE4" s="64"/>
      <c r="AF4" s="64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2:74" s="71" customFormat="1" ht="12.75">
      <c r="B5" s="66" t="s">
        <v>94</v>
      </c>
      <c r="C5" s="67" t="s">
        <v>95</v>
      </c>
      <c r="D5" s="66" t="s">
        <v>96</v>
      </c>
      <c r="E5" s="68" t="s">
        <v>97</v>
      </c>
      <c r="F5" s="69" t="s">
        <v>98</v>
      </c>
      <c r="G5" s="68" t="s">
        <v>99</v>
      </c>
      <c r="H5" s="66" t="s">
        <v>100</v>
      </c>
      <c r="I5" s="67" t="s">
        <v>101</v>
      </c>
      <c r="J5" s="66" t="s">
        <v>102</v>
      </c>
      <c r="K5" s="67" t="s">
        <v>103</v>
      </c>
      <c r="L5" s="66" t="s">
        <v>104</v>
      </c>
      <c r="M5" s="67" t="s">
        <v>105</v>
      </c>
      <c r="N5" s="258" t="s">
        <v>106</v>
      </c>
      <c r="O5" s="66" t="s">
        <v>107</v>
      </c>
      <c r="P5" s="67"/>
      <c r="Q5" s="67"/>
      <c r="R5" s="67"/>
      <c r="S5" s="67" t="s">
        <v>95</v>
      </c>
      <c r="T5" s="66" t="s">
        <v>108</v>
      </c>
      <c r="U5" s="67" t="s">
        <v>109</v>
      </c>
      <c r="V5" s="66" t="s">
        <v>110</v>
      </c>
      <c r="W5" s="67" t="s">
        <v>111</v>
      </c>
      <c r="X5" s="303">
        <v>0.12</v>
      </c>
      <c r="Y5" s="66" t="s">
        <v>112</v>
      </c>
      <c r="Z5" s="67" t="s">
        <v>113</v>
      </c>
      <c r="AA5" s="66" t="s">
        <v>114</v>
      </c>
      <c r="AB5" s="67" t="s">
        <v>115</v>
      </c>
      <c r="AC5" s="66" t="s">
        <v>116</v>
      </c>
      <c r="AD5" s="67" t="s">
        <v>117</v>
      </c>
      <c r="AE5" s="66" t="s">
        <v>118</v>
      </c>
      <c r="AF5" s="67" t="s">
        <v>119</v>
      </c>
      <c r="AG5" s="66" t="s">
        <v>110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</row>
    <row r="6" spans="2:74" s="71" customFormat="1" ht="13.5" thickBot="1">
      <c r="B6" s="72" t="s">
        <v>120</v>
      </c>
      <c r="C6" s="73"/>
      <c r="D6" s="72" t="s">
        <v>121</v>
      </c>
      <c r="E6" s="74" t="s">
        <v>330</v>
      </c>
      <c r="F6" s="75"/>
      <c r="G6" s="74">
        <v>2009</v>
      </c>
      <c r="H6" s="72" t="s">
        <v>123</v>
      </c>
      <c r="I6" s="73" t="s">
        <v>124</v>
      </c>
      <c r="J6" s="76">
        <v>37110</v>
      </c>
      <c r="K6" s="77">
        <v>53086</v>
      </c>
      <c r="L6" s="72" t="s">
        <v>125</v>
      </c>
      <c r="M6" s="78" t="s">
        <v>126</v>
      </c>
      <c r="N6" s="259" t="s">
        <v>127</v>
      </c>
      <c r="O6" s="267" t="s">
        <v>128</v>
      </c>
      <c r="P6" s="336"/>
      <c r="Q6" s="336"/>
      <c r="R6" s="336"/>
      <c r="S6" s="73"/>
      <c r="T6" s="72" t="s">
        <v>129</v>
      </c>
      <c r="U6" s="78" t="s">
        <v>127</v>
      </c>
      <c r="V6" s="72" t="s">
        <v>130</v>
      </c>
      <c r="W6" s="78" t="s">
        <v>131</v>
      </c>
      <c r="X6" s="72" t="s">
        <v>300</v>
      </c>
      <c r="Y6" s="72" t="s">
        <v>132</v>
      </c>
      <c r="Z6" s="78" t="s">
        <v>133</v>
      </c>
      <c r="AA6" s="72" t="s">
        <v>134</v>
      </c>
      <c r="AB6" s="78" t="s">
        <v>135</v>
      </c>
      <c r="AC6" s="72" t="s">
        <v>136</v>
      </c>
      <c r="AD6" s="78"/>
      <c r="AE6" s="72"/>
      <c r="AF6" s="78" t="s">
        <v>137</v>
      </c>
      <c r="AG6" s="72" t="s">
        <v>138</v>
      </c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</row>
    <row r="7" spans="2:74" s="86" customFormat="1" ht="12.75">
      <c r="B7" s="79">
        <v>1</v>
      </c>
      <c r="C7" s="80" t="s">
        <v>139</v>
      </c>
      <c r="D7" s="79">
        <v>1</v>
      </c>
      <c r="E7" s="81">
        <v>2404425</v>
      </c>
      <c r="F7" s="82">
        <v>0.05</v>
      </c>
      <c r="G7" s="83">
        <f>+E7*(1+F7)</f>
        <v>2524646.25</v>
      </c>
      <c r="H7" s="84">
        <f aca="true" t="shared" si="0" ref="H7:H28">B7*G7*12</f>
        <v>30295755</v>
      </c>
      <c r="I7" s="126">
        <f>G7*6</f>
        <v>15147877.5</v>
      </c>
      <c r="J7" s="84">
        <f aca="true" t="shared" si="1" ref="J7:J15">(IF(+G7&lt;=+$J$4,+$J$6,0))*12*B7</f>
        <v>0</v>
      </c>
      <c r="K7" s="83">
        <f aca="true" t="shared" si="2" ref="K7:K13">(IF(+G7&lt;=+$K$4,+$K$6,0))*12</f>
        <v>0</v>
      </c>
      <c r="L7" s="84">
        <f aca="true" t="shared" si="3" ref="L7:L15">(IF(+G7&lt;=+$L$4,(G7*0.5),(G7*0.35)))*B7</f>
        <v>883626.1875</v>
      </c>
      <c r="M7" s="83">
        <f>(SUM(H7:L7)-I7)/24</f>
        <v>1299140.8828125</v>
      </c>
      <c r="N7" s="260">
        <f aca="true" t="shared" si="4" ref="N7:N28">(SUM(H7:M7)-I7)/24</f>
        <v>1353271.7529296875</v>
      </c>
      <c r="O7" s="84">
        <f aca="true" t="shared" si="5" ref="O7:O28">(SUM(H7:N7)-I7)/12</f>
        <v>2819316.151936849</v>
      </c>
      <c r="P7" s="83"/>
      <c r="Q7" s="83"/>
      <c r="R7" s="83"/>
      <c r="S7" s="80" t="s">
        <v>139</v>
      </c>
      <c r="T7" s="84">
        <f aca="true" t="shared" si="6" ref="T7:T28">H7/180</f>
        <v>168309.75</v>
      </c>
      <c r="U7" s="83">
        <f aca="true" t="shared" si="7" ref="U7:U28">((J7+K7+L7+M7)/12)*23/30</f>
        <v>139454.56282552084</v>
      </c>
      <c r="V7" s="84">
        <f aca="true" t="shared" si="8" ref="V7:V28">SUM(H7:U7)</f>
        <v>52106751.78800456</v>
      </c>
      <c r="W7" s="83">
        <f aca="true" t="shared" si="9" ref="W7:W28">(+V7-T7-I7)*8.33/100</f>
        <v>3064654.02601578</v>
      </c>
      <c r="X7" s="84">
        <f>W7*12%</f>
        <v>367758.4831218936</v>
      </c>
      <c r="Y7" s="84">
        <f>(+V7-O7-T7-K7-I7)*4/100</f>
        <v>1358849.9354427084</v>
      </c>
      <c r="Z7" s="83">
        <f aca="true" t="shared" si="10" ref="Z7:Z13">(+V7-O7-T7-K7-I7)*3/100</f>
        <v>1019137.4515820312</v>
      </c>
      <c r="AA7" s="84">
        <f aca="true" t="shared" si="11" ref="AA7:AA28">(+V7-O7-T7-K7-I7)*0.5/100</f>
        <v>169856.24193033855</v>
      </c>
      <c r="AB7" s="83">
        <f aca="true" t="shared" si="12" ref="AB7:AB28">+AA7</f>
        <v>169856.24193033855</v>
      </c>
      <c r="AC7" s="84">
        <f aca="true" t="shared" si="13" ref="AC7:AC28">+AB7*2</f>
        <v>339712.4838606771</v>
      </c>
      <c r="AD7" s="83">
        <f>(+H7+L7)*10.875/100</f>
        <v>3390757.704140625</v>
      </c>
      <c r="AE7" s="84">
        <f>(+H7+L7)*8/100</f>
        <v>2494350.495</v>
      </c>
      <c r="AF7" s="83">
        <f aca="true" t="shared" si="14" ref="AF7:AF28">(+H7+L7)*0.522/100</f>
        <v>162756.36979875</v>
      </c>
      <c r="AG7" s="84">
        <f aca="true" t="shared" si="15" ref="AG7:AG28">SUM(V7:AF7)</f>
        <v>64644441.2208277</v>
      </c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</row>
    <row r="8" spans="2:74" s="86" customFormat="1" ht="12.75">
      <c r="B8" s="79">
        <v>4</v>
      </c>
      <c r="C8" s="80" t="s">
        <v>140</v>
      </c>
      <c r="D8" s="79">
        <v>2</v>
      </c>
      <c r="E8" s="81">
        <v>1877288</v>
      </c>
      <c r="F8" s="82">
        <v>0.05</v>
      </c>
      <c r="G8" s="83">
        <f aca="true" t="shared" si="16" ref="G8:G28">+E8*(1+F8)</f>
        <v>1971152.4000000001</v>
      </c>
      <c r="H8" s="84">
        <f t="shared" si="0"/>
        <v>94615315.2</v>
      </c>
      <c r="I8" s="85"/>
      <c r="J8" s="84">
        <f t="shared" si="1"/>
        <v>0</v>
      </c>
      <c r="K8" s="83">
        <f t="shared" si="2"/>
        <v>0</v>
      </c>
      <c r="L8" s="84">
        <f t="shared" si="3"/>
        <v>2759613.36</v>
      </c>
      <c r="M8" s="83">
        <f aca="true" t="shared" si="17" ref="M8:M13">(H8+J8+K8+L8)/24</f>
        <v>4057288.69</v>
      </c>
      <c r="N8" s="260">
        <f t="shared" si="4"/>
        <v>4226342.385416667</v>
      </c>
      <c r="O8" s="84">
        <f t="shared" si="5"/>
        <v>8804879.969618056</v>
      </c>
      <c r="P8" s="83"/>
      <c r="Q8" s="83"/>
      <c r="R8" s="83"/>
      <c r="S8" s="80" t="s">
        <v>140</v>
      </c>
      <c r="T8" s="84">
        <f t="shared" si="6"/>
        <v>525640.64</v>
      </c>
      <c r="U8" s="83">
        <f t="shared" si="7"/>
        <v>435524.2976388888</v>
      </c>
      <c r="V8" s="84">
        <f t="shared" si="8"/>
        <v>115424604.54267362</v>
      </c>
      <c r="W8" s="83">
        <f t="shared" si="9"/>
        <v>9571083.693092711</v>
      </c>
      <c r="X8" s="84">
        <f aca="true" t="shared" si="18" ref="X8:X26">W8*12%</f>
        <v>1148530.0431711252</v>
      </c>
      <c r="Y8" s="84">
        <f aca="true" t="shared" si="19" ref="Y8:Y26">(+V8-O8-T8-K8-I8)*4/100</f>
        <v>4243763.357322223</v>
      </c>
      <c r="Z8" s="83">
        <f t="shared" si="10"/>
        <v>3182822.5179916667</v>
      </c>
      <c r="AA8" s="84">
        <f t="shared" si="11"/>
        <v>530470.4196652778</v>
      </c>
      <c r="AB8" s="83">
        <f t="shared" si="12"/>
        <v>530470.4196652778</v>
      </c>
      <c r="AC8" s="84">
        <f t="shared" si="13"/>
        <v>1060940.8393305556</v>
      </c>
      <c r="AD8" s="83">
        <f aca="true" t="shared" si="20" ref="AD8:AD28">(+H8+L8)*10.875/100</f>
        <v>10589523.4809</v>
      </c>
      <c r="AE8" s="84">
        <f aca="true" t="shared" si="21" ref="AE8:AE28">(+H8+L8)*8/100</f>
        <v>7789994.2848000005</v>
      </c>
      <c r="AF8" s="83">
        <f t="shared" si="14"/>
        <v>508297.1270832001</v>
      </c>
      <c r="AG8" s="84">
        <f t="shared" si="15"/>
        <v>154580500.72569564</v>
      </c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</row>
    <row r="9" spans="2:74" s="86" customFormat="1" ht="12.75" hidden="1">
      <c r="B9" s="79"/>
      <c r="C9" s="80"/>
      <c r="D9" s="79">
        <v>3</v>
      </c>
      <c r="E9" s="81"/>
      <c r="F9" s="82">
        <v>0.05</v>
      </c>
      <c r="G9" s="83">
        <f>+E9*(1+F9)</f>
        <v>0</v>
      </c>
      <c r="H9" s="84">
        <f t="shared" si="0"/>
        <v>0</v>
      </c>
      <c r="I9" s="85"/>
      <c r="J9" s="84">
        <f t="shared" si="1"/>
        <v>0</v>
      </c>
      <c r="K9" s="83">
        <f t="shared" si="2"/>
        <v>637032</v>
      </c>
      <c r="L9" s="84">
        <f t="shared" si="3"/>
        <v>0</v>
      </c>
      <c r="M9" s="83">
        <f t="shared" si="17"/>
        <v>26543</v>
      </c>
      <c r="N9" s="260">
        <f>(SUM(H9:M9)-I9)/24</f>
        <v>27648.958333333332</v>
      </c>
      <c r="O9" s="84">
        <f>(SUM(H9:N9)-I9)/12</f>
        <v>57601.99652777778</v>
      </c>
      <c r="P9" s="83"/>
      <c r="Q9" s="83"/>
      <c r="R9" s="83"/>
      <c r="S9" s="80" t="s">
        <v>140</v>
      </c>
      <c r="T9" s="84">
        <f>H9/180</f>
        <v>0</v>
      </c>
      <c r="U9" s="83">
        <f>((J9+K9+L9+M9)/12)*23/30</f>
        <v>42395.069444444445</v>
      </c>
      <c r="V9" s="84">
        <f>SUM(H9:U9)</f>
        <v>791221.0243055556</v>
      </c>
      <c r="W9" s="83">
        <f>(+V9-T9-I9)*8.33/100</f>
        <v>65908.71132465279</v>
      </c>
      <c r="X9" s="84">
        <f t="shared" si="18"/>
        <v>7909.045358958334</v>
      </c>
      <c r="Y9" s="84">
        <f>(+V9-O9-T9-K9-I9)*4/100</f>
        <v>3863.481111111115</v>
      </c>
      <c r="Z9" s="83">
        <f t="shared" si="10"/>
        <v>2897.610833333336</v>
      </c>
      <c r="AA9" s="84">
        <f>(+V9-O9-T9-K9-I9)*0.5/100</f>
        <v>482.93513888888936</v>
      </c>
      <c r="AB9" s="83">
        <f t="shared" si="12"/>
        <v>482.93513888888936</v>
      </c>
      <c r="AC9" s="84">
        <f t="shared" si="13"/>
        <v>965.8702777777787</v>
      </c>
      <c r="AD9" s="83">
        <f>(+H9+L9)*10.875/100</f>
        <v>0</v>
      </c>
      <c r="AE9" s="84">
        <f>(+H9+L9)*8/100</f>
        <v>0</v>
      </c>
      <c r="AF9" s="83">
        <f>(+H9+L9)*0.522/100</f>
        <v>0</v>
      </c>
      <c r="AG9" s="84">
        <f>SUM(V9:AF9)</f>
        <v>873731.6134891667</v>
      </c>
      <c r="AH9" s="87"/>
      <c r="AI9" s="87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</row>
    <row r="10" spans="2:74" s="86" customFormat="1" ht="12.75" hidden="1">
      <c r="B10" s="79"/>
      <c r="C10" s="80"/>
      <c r="D10" s="79">
        <v>4</v>
      </c>
      <c r="E10" s="81"/>
      <c r="F10" s="82">
        <v>0.05</v>
      </c>
      <c r="G10" s="83">
        <f>+E10*(1+F10)</f>
        <v>0</v>
      </c>
      <c r="H10" s="84">
        <f t="shared" si="0"/>
        <v>0</v>
      </c>
      <c r="I10" s="85"/>
      <c r="J10" s="84">
        <f t="shared" si="1"/>
        <v>0</v>
      </c>
      <c r="K10" s="83">
        <f t="shared" si="2"/>
        <v>637032</v>
      </c>
      <c r="L10" s="84">
        <f t="shared" si="3"/>
        <v>0</v>
      </c>
      <c r="M10" s="83">
        <f t="shared" si="17"/>
        <v>26543</v>
      </c>
      <c r="N10" s="260">
        <f>(SUM(H10:M10)-I10)/24</f>
        <v>27648.958333333332</v>
      </c>
      <c r="O10" s="84">
        <f>(SUM(H10:N10)-I10)/12</f>
        <v>57601.99652777778</v>
      </c>
      <c r="P10" s="83"/>
      <c r="Q10" s="83"/>
      <c r="R10" s="83"/>
      <c r="S10" s="80" t="s">
        <v>140</v>
      </c>
      <c r="T10" s="84">
        <f>H10/180</f>
        <v>0</v>
      </c>
      <c r="U10" s="83">
        <f>((J10+K10+L10+M10)/12)*23/30</f>
        <v>42395.069444444445</v>
      </c>
      <c r="V10" s="84">
        <f>SUM(H10:U10)</f>
        <v>791221.0243055556</v>
      </c>
      <c r="W10" s="83">
        <f>(+V10-T10-I10)*8.33/100</f>
        <v>65908.71132465279</v>
      </c>
      <c r="X10" s="84">
        <f t="shared" si="18"/>
        <v>7909.045358958334</v>
      </c>
      <c r="Y10" s="84">
        <f>(+V10-O10-T10-K10-I10)*4/100</f>
        <v>3863.481111111115</v>
      </c>
      <c r="Z10" s="83">
        <f t="shared" si="10"/>
        <v>2897.610833333336</v>
      </c>
      <c r="AA10" s="84">
        <f>(+V10-O10-T10-K10-I10)*0.5/100</f>
        <v>482.93513888888936</v>
      </c>
      <c r="AB10" s="83">
        <f t="shared" si="12"/>
        <v>482.93513888888936</v>
      </c>
      <c r="AC10" s="84">
        <f t="shared" si="13"/>
        <v>965.8702777777787</v>
      </c>
      <c r="AD10" s="83">
        <f>(+H10+L10)*10.875/100</f>
        <v>0</v>
      </c>
      <c r="AE10" s="84">
        <f>(+H10+L10)*8/100</f>
        <v>0</v>
      </c>
      <c r="AF10" s="83">
        <f>(+H10+L10)*0.522/100</f>
        <v>0</v>
      </c>
      <c r="AG10" s="84">
        <f>SUM(V10:AF10)</f>
        <v>873731.6134891667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</row>
    <row r="11" spans="2:74" s="86" customFormat="1" ht="12.75" hidden="1">
      <c r="B11" s="79"/>
      <c r="C11" s="80"/>
      <c r="D11" s="79">
        <v>5</v>
      </c>
      <c r="E11" s="81"/>
      <c r="F11" s="82">
        <v>0.05</v>
      </c>
      <c r="G11" s="83">
        <f>+E11*(1+F11)</f>
        <v>0</v>
      </c>
      <c r="H11" s="84">
        <f t="shared" si="0"/>
        <v>0</v>
      </c>
      <c r="I11" s="85"/>
      <c r="J11" s="84">
        <f t="shared" si="1"/>
        <v>0</v>
      </c>
      <c r="K11" s="83">
        <f t="shared" si="2"/>
        <v>637032</v>
      </c>
      <c r="L11" s="84">
        <f t="shared" si="3"/>
        <v>0</v>
      </c>
      <c r="M11" s="83">
        <f t="shared" si="17"/>
        <v>26543</v>
      </c>
      <c r="N11" s="260">
        <f>(SUM(H11:M11)-I11)/24</f>
        <v>27648.958333333332</v>
      </c>
      <c r="O11" s="84">
        <f>(SUM(H11:N11)-I11)/12</f>
        <v>57601.99652777778</v>
      </c>
      <c r="P11" s="83"/>
      <c r="Q11" s="83"/>
      <c r="R11" s="83"/>
      <c r="S11" s="80" t="s">
        <v>140</v>
      </c>
      <c r="T11" s="84">
        <f>H11/180</f>
        <v>0</v>
      </c>
      <c r="U11" s="83">
        <f>((J11+K11+L11+M11)/12)*23/30</f>
        <v>42395.069444444445</v>
      </c>
      <c r="V11" s="84">
        <f>SUM(H11:U11)</f>
        <v>791221.0243055556</v>
      </c>
      <c r="W11" s="83">
        <f>(+V11-T11-I11)*8.33/100</f>
        <v>65908.71132465279</v>
      </c>
      <c r="X11" s="84">
        <f t="shared" si="18"/>
        <v>7909.045358958334</v>
      </c>
      <c r="Y11" s="84">
        <f>(+V11-O11-T11-K11-I11)*4/100</f>
        <v>3863.481111111115</v>
      </c>
      <c r="Z11" s="83">
        <f t="shared" si="10"/>
        <v>2897.610833333336</v>
      </c>
      <c r="AA11" s="84">
        <f>(+V11-O11-T11-K11-I11)*0.5/100</f>
        <v>482.93513888888936</v>
      </c>
      <c r="AB11" s="83">
        <f t="shared" si="12"/>
        <v>482.93513888888936</v>
      </c>
      <c r="AC11" s="84">
        <f t="shared" si="13"/>
        <v>965.8702777777787</v>
      </c>
      <c r="AD11" s="83">
        <f>(+H11+L11)*10.875/100</f>
        <v>0</v>
      </c>
      <c r="AE11" s="84">
        <f>(+H11+L11)*8/100</f>
        <v>0</v>
      </c>
      <c r="AF11" s="83">
        <f>(+H11+L11)*0.522/100</f>
        <v>0</v>
      </c>
      <c r="AG11" s="84">
        <f>SUM(V11:AF11)</f>
        <v>873731.6134891667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</row>
    <row r="12" spans="2:74" s="86" customFormat="1" ht="12.75" hidden="1">
      <c r="B12" s="79"/>
      <c r="C12" s="80"/>
      <c r="D12" s="79">
        <v>6</v>
      </c>
      <c r="E12" s="81"/>
      <c r="F12" s="82">
        <v>0.05</v>
      </c>
      <c r="G12" s="83">
        <f>+E12*(1+F12)</f>
        <v>0</v>
      </c>
      <c r="H12" s="84">
        <f t="shared" si="0"/>
        <v>0</v>
      </c>
      <c r="I12" s="85"/>
      <c r="J12" s="84">
        <f t="shared" si="1"/>
        <v>0</v>
      </c>
      <c r="K12" s="83">
        <f t="shared" si="2"/>
        <v>637032</v>
      </c>
      <c r="L12" s="84">
        <f t="shared" si="3"/>
        <v>0</v>
      </c>
      <c r="M12" s="83">
        <f t="shared" si="17"/>
        <v>26543</v>
      </c>
      <c r="N12" s="260">
        <f>(SUM(H12:M12)-I12)/24</f>
        <v>27648.958333333332</v>
      </c>
      <c r="O12" s="84">
        <f>(SUM(H12:N12)-I12)/12</f>
        <v>57601.99652777778</v>
      </c>
      <c r="P12" s="83"/>
      <c r="Q12" s="83"/>
      <c r="R12" s="83"/>
      <c r="S12" s="80" t="s">
        <v>140</v>
      </c>
      <c r="T12" s="84">
        <f>H12/180</f>
        <v>0</v>
      </c>
      <c r="U12" s="83">
        <f>((J12+K12+L12+M12)/12)*23/30</f>
        <v>42395.069444444445</v>
      </c>
      <c r="V12" s="84">
        <f>SUM(H12:U12)</f>
        <v>791221.0243055556</v>
      </c>
      <c r="W12" s="83">
        <f>(+V12-T12-I12)*8.33/100</f>
        <v>65908.71132465279</v>
      </c>
      <c r="X12" s="84">
        <f t="shared" si="18"/>
        <v>7909.045358958334</v>
      </c>
      <c r="Y12" s="84">
        <f>(+V12-O12-T12-K12-I12)*4/100</f>
        <v>3863.481111111115</v>
      </c>
      <c r="Z12" s="83">
        <f t="shared" si="10"/>
        <v>2897.610833333336</v>
      </c>
      <c r="AA12" s="84">
        <f>(+V12-O12-T12-K12-I12)*0.5/100</f>
        <v>482.93513888888936</v>
      </c>
      <c r="AB12" s="83">
        <f t="shared" si="12"/>
        <v>482.93513888888936</v>
      </c>
      <c r="AC12" s="84">
        <f t="shared" si="13"/>
        <v>965.8702777777787</v>
      </c>
      <c r="AD12" s="83">
        <f>(+H12+L12)*10.875/100</f>
        <v>0</v>
      </c>
      <c r="AE12" s="84">
        <f>(+H12+L12)*8/100</f>
        <v>0</v>
      </c>
      <c r="AF12" s="83">
        <f>(+H12+L12)*0.522/100</f>
        <v>0</v>
      </c>
      <c r="AG12" s="84">
        <f>SUM(V12:AF12)</f>
        <v>873731.6134891667</v>
      </c>
      <c r="AH12" s="87"/>
      <c r="AI12" s="87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</row>
    <row r="13" spans="2:74" s="86" customFormat="1" ht="12.75" hidden="1">
      <c r="B13" s="79"/>
      <c r="C13" s="80"/>
      <c r="D13" s="79">
        <v>7</v>
      </c>
      <c r="E13" s="81"/>
      <c r="F13" s="82">
        <v>0.05</v>
      </c>
      <c r="G13" s="83">
        <f>+E13*(1+F13)</f>
        <v>0</v>
      </c>
      <c r="H13" s="84">
        <f t="shared" si="0"/>
        <v>0</v>
      </c>
      <c r="I13" s="85"/>
      <c r="J13" s="84">
        <f t="shared" si="1"/>
        <v>0</v>
      </c>
      <c r="K13" s="83">
        <f t="shared" si="2"/>
        <v>637032</v>
      </c>
      <c r="L13" s="84">
        <f t="shared" si="3"/>
        <v>0</v>
      </c>
      <c r="M13" s="83">
        <f t="shared" si="17"/>
        <v>26543</v>
      </c>
      <c r="N13" s="260">
        <f>(SUM(H13:M13)-I13)/24</f>
        <v>27648.958333333332</v>
      </c>
      <c r="O13" s="84">
        <f>(SUM(H13:N13)-I13)/12</f>
        <v>57601.99652777778</v>
      </c>
      <c r="P13" s="83"/>
      <c r="Q13" s="83"/>
      <c r="R13" s="83"/>
      <c r="S13" s="80" t="s">
        <v>140</v>
      </c>
      <c r="T13" s="84">
        <f>H13/180</f>
        <v>0</v>
      </c>
      <c r="U13" s="83">
        <f>((J13+K13+L13+M13)/12)*23/30</f>
        <v>42395.069444444445</v>
      </c>
      <c r="V13" s="84">
        <f>SUM(H13:U13)</f>
        <v>791221.0243055556</v>
      </c>
      <c r="W13" s="83">
        <f>(+V13-T13-I13)*8.33/100</f>
        <v>65908.71132465279</v>
      </c>
      <c r="X13" s="84">
        <f t="shared" si="18"/>
        <v>7909.045358958334</v>
      </c>
      <c r="Y13" s="84">
        <f>(+V13-O13-T13-K13-I13)*4/100</f>
        <v>3863.481111111115</v>
      </c>
      <c r="Z13" s="83">
        <f t="shared" si="10"/>
        <v>2897.610833333336</v>
      </c>
      <c r="AA13" s="84">
        <f>(+V13-O13-T13-K13-I13)*0.5/100</f>
        <v>482.93513888888936</v>
      </c>
      <c r="AB13" s="83">
        <f t="shared" si="12"/>
        <v>482.93513888888936</v>
      </c>
      <c r="AC13" s="84">
        <f t="shared" si="13"/>
        <v>965.8702777777787</v>
      </c>
      <c r="AD13" s="83">
        <f>(+H13+L13)*10.875/100</f>
        <v>0</v>
      </c>
      <c r="AE13" s="84">
        <f>(+H13+L13)*8/100</f>
        <v>0</v>
      </c>
      <c r="AF13" s="83">
        <f>(+H13+L13)*0.522/100</f>
        <v>0</v>
      </c>
      <c r="AG13" s="84">
        <f>SUM(V13:AF13)</f>
        <v>873731.6134891667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</row>
    <row r="14" spans="2:74" s="86" customFormat="1" ht="12.75">
      <c r="B14" s="79">
        <v>1</v>
      </c>
      <c r="C14" s="80" t="s">
        <v>141</v>
      </c>
      <c r="D14" s="79">
        <v>8</v>
      </c>
      <c r="E14" s="81">
        <v>1599458</v>
      </c>
      <c r="F14" s="82">
        <v>0.05</v>
      </c>
      <c r="G14" s="83">
        <f t="shared" si="16"/>
        <v>1679430.9000000001</v>
      </c>
      <c r="H14" s="84">
        <f t="shared" si="0"/>
        <v>20153170.8</v>
      </c>
      <c r="I14" s="85"/>
      <c r="J14" s="84">
        <f t="shared" si="1"/>
        <v>0</v>
      </c>
      <c r="K14" s="83">
        <f aca="true" t="shared" si="22" ref="K14:K20">(IF(+G14&lt;=+$K$4,+$K$6,0))*12</f>
        <v>0</v>
      </c>
      <c r="L14" s="84">
        <f t="shared" si="3"/>
        <v>587800.8150000001</v>
      </c>
      <c r="M14" s="83">
        <f aca="true" t="shared" si="23" ref="M14:M19">(H14+J14+K14+L14)/24</f>
        <v>864207.1506250001</v>
      </c>
      <c r="N14" s="260">
        <f t="shared" si="4"/>
        <v>900215.7819010419</v>
      </c>
      <c r="O14" s="84">
        <f t="shared" si="5"/>
        <v>1875449.5456271705</v>
      </c>
      <c r="P14" s="83"/>
      <c r="Q14" s="83"/>
      <c r="R14" s="83"/>
      <c r="S14" s="80" t="s">
        <v>141</v>
      </c>
      <c r="T14" s="84">
        <f t="shared" si="6"/>
        <v>111962.06</v>
      </c>
      <c r="U14" s="83">
        <f t="shared" si="7"/>
        <v>92767.17558159723</v>
      </c>
      <c r="V14" s="84">
        <f t="shared" si="8"/>
        <v>24585573.32873481</v>
      </c>
      <c r="W14" s="83">
        <f t="shared" si="9"/>
        <v>2038651.81868561</v>
      </c>
      <c r="X14" s="84">
        <f t="shared" si="18"/>
        <v>244638.2182422732</v>
      </c>
      <c r="Y14" s="84">
        <f t="shared" si="19"/>
        <v>903926.4689243058</v>
      </c>
      <c r="Z14" s="83">
        <f aca="true" t="shared" si="24" ref="Z14:Z28">(+V14-O14-T14-K14-I14)*3/100</f>
        <v>677944.8516932294</v>
      </c>
      <c r="AA14" s="84">
        <f t="shared" si="11"/>
        <v>112990.80861553822</v>
      </c>
      <c r="AB14" s="83">
        <f t="shared" si="12"/>
        <v>112990.80861553822</v>
      </c>
      <c r="AC14" s="84">
        <f t="shared" si="13"/>
        <v>225981.61723107644</v>
      </c>
      <c r="AD14" s="83">
        <f t="shared" si="20"/>
        <v>2255580.66313125</v>
      </c>
      <c r="AE14" s="84">
        <f t="shared" si="21"/>
        <v>1659277.7292000002</v>
      </c>
      <c r="AF14" s="83">
        <f t="shared" si="14"/>
        <v>108267.87183030002</v>
      </c>
      <c r="AG14" s="84">
        <f t="shared" si="15"/>
        <v>32925824.18490393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</row>
    <row r="15" spans="2:74" s="86" customFormat="1" ht="12.75">
      <c r="B15" s="79">
        <v>1</v>
      </c>
      <c r="C15" s="80" t="s">
        <v>142</v>
      </c>
      <c r="D15" s="79">
        <v>9</v>
      </c>
      <c r="E15" s="81">
        <v>1556772</v>
      </c>
      <c r="F15" s="82">
        <v>0.05</v>
      </c>
      <c r="G15" s="83">
        <f t="shared" si="16"/>
        <v>1634610.6</v>
      </c>
      <c r="H15" s="84">
        <f t="shared" si="0"/>
        <v>19615327.200000003</v>
      </c>
      <c r="I15" s="85"/>
      <c r="J15" s="84">
        <f t="shared" si="1"/>
        <v>0</v>
      </c>
      <c r="K15" s="83">
        <f t="shared" si="22"/>
        <v>0</v>
      </c>
      <c r="L15" s="84">
        <f t="shared" si="3"/>
        <v>572113.71</v>
      </c>
      <c r="M15" s="83">
        <f t="shared" si="23"/>
        <v>841143.3712500002</v>
      </c>
      <c r="N15" s="260">
        <f t="shared" si="4"/>
        <v>876191.0117187501</v>
      </c>
      <c r="O15" s="84">
        <f t="shared" si="5"/>
        <v>1825397.9410807295</v>
      </c>
      <c r="P15" s="83"/>
      <c r="Q15" s="83"/>
      <c r="R15" s="83"/>
      <c r="S15" s="80" t="s">
        <v>142</v>
      </c>
      <c r="T15" s="84">
        <f t="shared" si="6"/>
        <v>108974.04000000002</v>
      </c>
      <c r="U15" s="83">
        <f t="shared" si="7"/>
        <v>90291.42463541668</v>
      </c>
      <c r="V15" s="84">
        <f t="shared" si="8"/>
        <v>23929438.6986849</v>
      </c>
      <c r="W15" s="83">
        <f t="shared" si="9"/>
        <v>1984244.7060684522</v>
      </c>
      <c r="X15" s="84">
        <f t="shared" si="18"/>
        <v>238109.36472821425</v>
      </c>
      <c r="Y15" s="84">
        <f t="shared" si="19"/>
        <v>879802.6687041669</v>
      </c>
      <c r="Z15" s="83">
        <f t="shared" si="24"/>
        <v>659852.0015281251</v>
      </c>
      <c r="AA15" s="84">
        <f t="shared" si="11"/>
        <v>109975.33358802086</v>
      </c>
      <c r="AB15" s="83">
        <f t="shared" si="12"/>
        <v>109975.33358802086</v>
      </c>
      <c r="AC15" s="84">
        <f t="shared" si="13"/>
        <v>219950.66717604172</v>
      </c>
      <c r="AD15" s="83">
        <f t="shared" si="20"/>
        <v>2195384.1989625003</v>
      </c>
      <c r="AE15" s="84">
        <f t="shared" si="21"/>
        <v>1614995.2728000004</v>
      </c>
      <c r="AF15" s="83">
        <f t="shared" si="14"/>
        <v>105378.44155020002</v>
      </c>
      <c r="AG15" s="84">
        <f t="shared" si="15"/>
        <v>32047106.68737864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</row>
    <row r="16" spans="2:74" s="86" customFormat="1" ht="12.75">
      <c r="B16" s="79">
        <v>1</v>
      </c>
      <c r="C16" s="80" t="s">
        <v>143</v>
      </c>
      <c r="D16" s="79">
        <v>10</v>
      </c>
      <c r="E16" s="81">
        <v>1168010</v>
      </c>
      <c r="F16" s="82">
        <v>0.05</v>
      </c>
      <c r="G16" s="83">
        <f t="shared" si="16"/>
        <v>1226410.5</v>
      </c>
      <c r="H16" s="84">
        <f t="shared" si="0"/>
        <v>14716926</v>
      </c>
      <c r="I16" s="85"/>
      <c r="J16" s="84"/>
      <c r="K16" s="83">
        <f t="shared" si="22"/>
        <v>0</v>
      </c>
      <c r="L16" s="84">
        <f>(IF(+G16&lt;=+$L$4,(G16*0.5),(G16*0.35)))*B16</f>
        <v>429243.675</v>
      </c>
      <c r="M16" s="83">
        <f t="shared" si="23"/>
        <v>631090.4031250001</v>
      </c>
      <c r="N16" s="260">
        <f t="shared" si="4"/>
        <v>657385.8365885416</v>
      </c>
      <c r="O16" s="84">
        <f t="shared" si="5"/>
        <v>1369553.8262261285</v>
      </c>
      <c r="P16" s="83"/>
      <c r="Q16" s="83"/>
      <c r="R16" s="83"/>
      <c r="S16" s="80" t="s">
        <v>143</v>
      </c>
      <c r="T16" s="84">
        <f t="shared" si="6"/>
        <v>81760.7</v>
      </c>
      <c r="U16" s="83">
        <f t="shared" si="7"/>
        <v>67743.56610243054</v>
      </c>
      <c r="V16" s="84">
        <f t="shared" si="8"/>
        <v>17953704.0070421</v>
      </c>
      <c r="W16" s="83">
        <f t="shared" si="9"/>
        <v>1488732.877476607</v>
      </c>
      <c r="X16" s="84">
        <f t="shared" si="18"/>
        <v>178647.94529719284</v>
      </c>
      <c r="Y16" s="84">
        <f t="shared" si="19"/>
        <v>660095.5792326388</v>
      </c>
      <c r="Z16" s="83">
        <f t="shared" si="24"/>
        <v>495071.68442447914</v>
      </c>
      <c r="AA16" s="84">
        <f t="shared" si="11"/>
        <v>82511.94740407985</v>
      </c>
      <c r="AB16" s="83">
        <f t="shared" si="12"/>
        <v>82511.94740407985</v>
      </c>
      <c r="AC16" s="84">
        <f t="shared" si="13"/>
        <v>165023.8948081597</v>
      </c>
      <c r="AD16" s="83">
        <f t="shared" si="20"/>
        <v>1647145.9521562501</v>
      </c>
      <c r="AE16" s="84">
        <f t="shared" si="21"/>
        <v>1211693.574</v>
      </c>
      <c r="AF16" s="83">
        <f t="shared" si="14"/>
        <v>79063.0057035</v>
      </c>
      <c r="AG16" s="84">
        <f t="shared" si="15"/>
        <v>24044202.414949086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</row>
    <row r="17" spans="2:74" s="86" customFormat="1" ht="12.75" hidden="1">
      <c r="B17" s="79">
        <v>0</v>
      </c>
      <c r="C17" s="80" t="s">
        <v>144</v>
      </c>
      <c r="D17" s="79">
        <v>11</v>
      </c>
      <c r="E17" s="81">
        <v>720160</v>
      </c>
      <c r="F17" s="82">
        <v>0.05</v>
      </c>
      <c r="G17" s="83">
        <f>+E17*(1+F17)</f>
        <v>756168</v>
      </c>
      <c r="H17" s="84">
        <f t="shared" si="0"/>
        <v>0</v>
      </c>
      <c r="I17" s="85"/>
      <c r="J17" s="84"/>
      <c r="K17" s="83">
        <f t="shared" si="22"/>
        <v>637032</v>
      </c>
      <c r="L17" s="84">
        <f>(IF(+G17&lt;=+$L$4,(G17*0.5),(G17*0.35)))*B17</f>
        <v>0</v>
      </c>
      <c r="M17" s="83">
        <f t="shared" si="23"/>
        <v>26543</v>
      </c>
      <c r="N17" s="260">
        <f>(SUM(H17:M17)-I17)/24</f>
        <v>27648.958333333332</v>
      </c>
      <c r="O17" s="84">
        <f>(SUM(H17:N17)-I17)/12</f>
        <v>57601.99652777778</v>
      </c>
      <c r="P17" s="83"/>
      <c r="Q17" s="83"/>
      <c r="R17" s="83"/>
      <c r="S17" s="80" t="s">
        <v>143</v>
      </c>
      <c r="T17" s="84">
        <f>H17/180</f>
        <v>0</v>
      </c>
      <c r="U17" s="83">
        <f>((J17+K17+L17+M17)/12)*23/30</f>
        <v>42395.069444444445</v>
      </c>
      <c r="V17" s="84">
        <f>SUM(H17:U17)</f>
        <v>791221.0243055556</v>
      </c>
      <c r="W17" s="83">
        <f>(+V17-T17-I17)*8.33/100</f>
        <v>65908.71132465279</v>
      </c>
      <c r="X17" s="84">
        <f t="shared" si="18"/>
        <v>7909.045358958334</v>
      </c>
      <c r="Y17" s="84">
        <f>(+V17-O17-T17-K17-I17)*4/100</f>
        <v>3863.481111111115</v>
      </c>
      <c r="Z17" s="83">
        <f>(+V17-O17-T17-K17-I17)*3/100</f>
        <v>2897.610833333336</v>
      </c>
      <c r="AA17" s="84">
        <f>(+V17-O17-T17-K17-I17)*0.5/100</f>
        <v>482.93513888888936</v>
      </c>
      <c r="AB17" s="83">
        <f t="shared" si="12"/>
        <v>482.93513888888936</v>
      </c>
      <c r="AC17" s="84">
        <f t="shared" si="13"/>
        <v>965.8702777777787</v>
      </c>
      <c r="AD17" s="83">
        <f>(+H17+L17)*10.875/100</f>
        <v>0</v>
      </c>
      <c r="AE17" s="84">
        <f>(+H17+L17)*8/100</f>
        <v>0</v>
      </c>
      <c r="AF17" s="83">
        <f>(+H17+L17)*0.522/100</f>
        <v>0</v>
      </c>
      <c r="AG17" s="84">
        <f>SUM(V17:AF17)</f>
        <v>873731.6134891667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</row>
    <row r="18" spans="2:74" s="86" customFormat="1" ht="12.75" hidden="1">
      <c r="B18" s="79"/>
      <c r="C18" s="80"/>
      <c r="D18" s="79">
        <v>12</v>
      </c>
      <c r="E18" s="81"/>
      <c r="F18" s="82">
        <v>0.05</v>
      </c>
      <c r="G18" s="83">
        <f>+E18*(1+F18)</f>
        <v>0</v>
      </c>
      <c r="H18" s="84">
        <f t="shared" si="0"/>
        <v>0</v>
      </c>
      <c r="I18" s="85"/>
      <c r="J18" s="84"/>
      <c r="K18" s="83">
        <f t="shared" si="22"/>
        <v>637032</v>
      </c>
      <c r="L18" s="84">
        <f>(IF(+G18&lt;=+$L$4,(G18*0.5),(G18*0.35)))*B18</f>
        <v>0</v>
      </c>
      <c r="M18" s="83">
        <f t="shared" si="23"/>
        <v>26543</v>
      </c>
      <c r="N18" s="260">
        <f>(SUM(H18:M18)-I18)/24</f>
        <v>27648.958333333332</v>
      </c>
      <c r="O18" s="84">
        <f>(SUM(H18:N18)-I18)/12</f>
        <v>57601.99652777778</v>
      </c>
      <c r="P18" s="83"/>
      <c r="Q18" s="83"/>
      <c r="R18" s="83"/>
      <c r="S18" s="80" t="s">
        <v>143</v>
      </c>
      <c r="T18" s="84">
        <f>H18/180</f>
        <v>0</v>
      </c>
      <c r="U18" s="83">
        <f>((J18+K18+L18+M18)/12)*23/30</f>
        <v>42395.069444444445</v>
      </c>
      <c r="V18" s="84">
        <f>SUM(H18:U18)</f>
        <v>791221.0243055556</v>
      </c>
      <c r="W18" s="83">
        <f>(+V18-T18-I18)*8.33/100</f>
        <v>65908.71132465279</v>
      </c>
      <c r="X18" s="84">
        <f t="shared" si="18"/>
        <v>7909.045358958334</v>
      </c>
      <c r="Y18" s="84">
        <f>(+V18-O18-T18-K18-I18)*4/100</f>
        <v>3863.481111111115</v>
      </c>
      <c r="Z18" s="83">
        <f>(+V18-O18-T18-K18-I18)*3/100</f>
        <v>2897.610833333336</v>
      </c>
      <c r="AA18" s="84">
        <f>(+V18-O18-T18-K18-I18)*0.5/100</f>
        <v>482.93513888888936</v>
      </c>
      <c r="AB18" s="83">
        <f t="shared" si="12"/>
        <v>482.93513888888936</v>
      </c>
      <c r="AC18" s="84">
        <f t="shared" si="13"/>
        <v>965.8702777777787</v>
      </c>
      <c r="AD18" s="83">
        <f>(+H18+L18)*10.875/100</f>
        <v>0</v>
      </c>
      <c r="AE18" s="84">
        <f>(+H18+L18)*8/100</f>
        <v>0</v>
      </c>
      <c r="AF18" s="83">
        <f>(+H18+L18)*0.522/100</f>
        <v>0</v>
      </c>
      <c r="AG18" s="84">
        <f>SUM(V18:AF18)</f>
        <v>873731.6134891667</v>
      </c>
      <c r="AH18" s="87"/>
      <c r="AI18" s="87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</row>
    <row r="19" spans="2:74" s="86" customFormat="1" ht="12.75" hidden="1">
      <c r="B19" s="79"/>
      <c r="C19" s="80"/>
      <c r="D19" s="79">
        <v>13</v>
      </c>
      <c r="E19" s="81"/>
      <c r="F19" s="82">
        <v>0.05</v>
      </c>
      <c r="G19" s="83">
        <f>+E19*(1+F19)</f>
        <v>0</v>
      </c>
      <c r="H19" s="84">
        <f t="shared" si="0"/>
        <v>0</v>
      </c>
      <c r="I19" s="85"/>
      <c r="J19" s="84"/>
      <c r="K19" s="83">
        <f t="shared" si="22"/>
        <v>637032</v>
      </c>
      <c r="L19" s="84">
        <f>(IF(+G19&lt;=+$L$4,(G19*0.5),(G19*0.35)))*B19</f>
        <v>0</v>
      </c>
      <c r="M19" s="83">
        <f t="shared" si="23"/>
        <v>26543</v>
      </c>
      <c r="N19" s="260">
        <f>(SUM(H19:M19)-I19)/24</f>
        <v>27648.958333333332</v>
      </c>
      <c r="O19" s="84">
        <f>(SUM(H19:N19)-I19)/12</f>
        <v>57601.99652777778</v>
      </c>
      <c r="P19" s="83"/>
      <c r="Q19" s="83"/>
      <c r="R19" s="83"/>
      <c r="S19" s="80" t="s">
        <v>143</v>
      </c>
      <c r="T19" s="84">
        <f>H19/180</f>
        <v>0</v>
      </c>
      <c r="U19" s="83">
        <f>((J19+K19+L19+M19)/12)*23/30</f>
        <v>42395.069444444445</v>
      </c>
      <c r="V19" s="84">
        <f>SUM(H19:U19)</f>
        <v>791221.0243055556</v>
      </c>
      <c r="W19" s="83">
        <f>(+V19-T19-I19)*8.33/100</f>
        <v>65908.71132465279</v>
      </c>
      <c r="X19" s="84">
        <f t="shared" si="18"/>
        <v>7909.045358958334</v>
      </c>
      <c r="Y19" s="84">
        <f>(+V19-O19-T19-K19-I19)*4/100</f>
        <v>3863.481111111115</v>
      </c>
      <c r="Z19" s="83">
        <f>(+V19-O19-T19-K19-I19)*3/100</f>
        <v>2897.610833333336</v>
      </c>
      <c r="AA19" s="84">
        <f>(+V19-O19-T19-K19-I19)*0.5/100</f>
        <v>482.93513888888936</v>
      </c>
      <c r="AB19" s="83">
        <f t="shared" si="12"/>
        <v>482.93513888888936</v>
      </c>
      <c r="AC19" s="84">
        <f t="shared" si="13"/>
        <v>965.8702777777787</v>
      </c>
      <c r="AD19" s="83">
        <f>(+H19+L19)*10.875/100</f>
        <v>0</v>
      </c>
      <c r="AE19" s="84">
        <f>(+H19+L19)*8/100</f>
        <v>0</v>
      </c>
      <c r="AF19" s="83">
        <f>(+H19+L19)*0.522/100</f>
        <v>0</v>
      </c>
      <c r="AG19" s="84">
        <f>SUM(V19:AF19)</f>
        <v>873731.6134891667</v>
      </c>
      <c r="AH19" s="87"/>
      <c r="AI19" s="87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</row>
    <row r="20" spans="2:74" s="86" customFormat="1" ht="12.75">
      <c r="B20" s="79">
        <v>1</v>
      </c>
      <c r="C20" s="80" t="s">
        <v>145</v>
      </c>
      <c r="D20" s="88">
        <v>14</v>
      </c>
      <c r="E20" s="81">
        <v>824584</v>
      </c>
      <c r="F20" s="82">
        <v>0.05</v>
      </c>
      <c r="G20" s="83">
        <f t="shared" si="16"/>
        <v>865813.2000000001</v>
      </c>
      <c r="H20" s="84">
        <f t="shared" si="0"/>
        <v>10389758.4</v>
      </c>
      <c r="I20" s="85"/>
      <c r="J20" s="84">
        <f>(IF(+G20&lt;=+$J$4,+$J$6,0))*12*B20</f>
        <v>445320</v>
      </c>
      <c r="K20" s="83">
        <f t="shared" si="22"/>
        <v>637032</v>
      </c>
      <c r="L20" s="84">
        <f>(IF(+G20&lt;=+$L$4,(G20*0.5),(G20*0.35)))*B20</f>
        <v>432906.60000000003</v>
      </c>
      <c r="M20" s="83">
        <f>(SUM(H20:L20)-I20)/24</f>
        <v>496042.375</v>
      </c>
      <c r="N20" s="260">
        <f t="shared" si="4"/>
        <v>516710.8072916667</v>
      </c>
      <c r="O20" s="84">
        <f t="shared" si="5"/>
        <v>1076480.8485243055</v>
      </c>
      <c r="P20" s="83"/>
      <c r="Q20" s="83"/>
      <c r="R20" s="83"/>
      <c r="S20" s="80" t="s">
        <v>145</v>
      </c>
      <c r="T20" s="84">
        <f t="shared" si="6"/>
        <v>57720.880000000005</v>
      </c>
      <c r="U20" s="83">
        <f t="shared" si="7"/>
        <v>128499.78451388888</v>
      </c>
      <c r="V20" s="84">
        <f t="shared" si="8"/>
        <v>14180471.695329862</v>
      </c>
      <c r="W20" s="83">
        <f t="shared" si="9"/>
        <v>1176425.1429169774</v>
      </c>
      <c r="X20" s="84">
        <f t="shared" si="18"/>
        <v>141171.01715003728</v>
      </c>
      <c r="Y20" s="84">
        <f t="shared" si="19"/>
        <v>496369.5186722222</v>
      </c>
      <c r="Z20" s="83">
        <f t="shared" si="24"/>
        <v>372277.13900416665</v>
      </c>
      <c r="AA20" s="84">
        <f t="shared" si="11"/>
        <v>62046.18983402778</v>
      </c>
      <c r="AB20" s="83">
        <f t="shared" si="12"/>
        <v>62046.18983402778</v>
      </c>
      <c r="AC20" s="84">
        <f t="shared" si="13"/>
        <v>124092.37966805555</v>
      </c>
      <c r="AD20" s="83">
        <f t="shared" si="20"/>
        <v>1176964.81875</v>
      </c>
      <c r="AE20" s="84">
        <f t="shared" si="21"/>
        <v>865813.2</v>
      </c>
      <c r="AF20" s="83">
        <f t="shared" si="14"/>
        <v>56494.3113</v>
      </c>
      <c r="AG20" s="84">
        <f t="shared" si="15"/>
        <v>18714171.602459375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</row>
    <row r="21" spans="2:74" s="86" customFormat="1" ht="12.75" hidden="1">
      <c r="B21" s="79"/>
      <c r="C21" s="80"/>
      <c r="D21" s="79">
        <v>15</v>
      </c>
      <c r="E21" s="81"/>
      <c r="F21" s="82">
        <v>0.05</v>
      </c>
      <c r="G21" s="83">
        <f t="shared" si="16"/>
        <v>0</v>
      </c>
      <c r="H21" s="84">
        <f t="shared" si="0"/>
        <v>0</v>
      </c>
      <c r="I21" s="85"/>
      <c r="J21" s="84"/>
      <c r="K21" s="83">
        <f aca="true" t="shared" si="25" ref="K21:K26">(IF(+G21&lt;=+$K$4,+$K$6,0))*12*B21</f>
        <v>0</v>
      </c>
      <c r="L21" s="84">
        <f>B21*G21*0.5</f>
        <v>0</v>
      </c>
      <c r="M21" s="83">
        <f>(SUM(H21:L21)-I21)/24</f>
        <v>0</v>
      </c>
      <c r="N21" s="260">
        <f t="shared" si="4"/>
        <v>0</v>
      </c>
      <c r="O21" s="84">
        <f t="shared" si="5"/>
        <v>0</v>
      </c>
      <c r="P21" s="83"/>
      <c r="Q21" s="83"/>
      <c r="R21" s="83"/>
      <c r="S21" s="80"/>
      <c r="T21" s="84">
        <f t="shared" si="6"/>
        <v>0</v>
      </c>
      <c r="U21" s="83">
        <f t="shared" si="7"/>
        <v>0</v>
      </c>
      <c r="V21" s="84">
        <f t="shared" si="8"/>
        <v>0</v>
      </c>
      <c r="W21" s="83">
        <f t="shared" si="9"/>
        <v>0</v>
      </c>
      <c r="X21" s="84">
        <f t="shared" si="18"/>
        <v>0</v>
      </c>
      <c r="Y21" s="84">
        <f t="shared" si="19"/>
        <v>0</v>
      </c>
      <c r="Z21" s="83">
        <f t="shared" si="24"/>
        <v>0</v>
      </c>
      <c r="AA21" s="84">
        <f t="shared" si="11"/>
        <v>0</v>
      </c>
      <c r="AB21" s="83">
        <f t="shared" si="12"/>
        <v>0</v>
      </c>
      <c r="AC21" s="84">
        <f t="shared" si="13"/>
        <v>0</v>
      </c>
      <c r="AD21" s="83">
        <f t="shared" si="20"/>
        <v>0</v>
      </c>
      <c r="AE21" s="84">
        <f t="shared" si="21"/>
        <v>0</v>
      </c>
      <c r="AF21" s="83">
        <f t="shared" si="14"/>
        <v>0</v>
      </c>
      <c r="AG21" s="84">
        <f t="shared" si="15"/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</row>
    <row r="22" spans="2:74" s="86" customFormat="1" ht="12.75" hidden="1">
      <c r="B22" s="79">
        <v>0</v>
      </c>
      <c r="C22" s="80" t="s">
        <v>146</v>
      </c>
      <c r="D22" s="79">
        <v>16</v>
      </c>
      <c r="E22" s="81">
        <v>430000</v>
      </c>
      <c r="F22" s="82">
        <v>0.05</v>
      </c>
      <c r="G22" s="83">
        <f t="shared" si="16"/>
        <v>451500</v>
      </c>
      <c r="H22" s="84">
        <f t="shared" si="0"/>
        <v>0</v>
      </c>
      <c r="I22" s="85"/>
      <c r="J22" s="84"/>
      <c r="K22" s="83">
        <f t="shared" si="25"/>
        <v>0</v>
      </c>
      <c r="L22" s="84">
        <f>B22*G22*0.5</f>
        <v>0</v>
      </c>
      <c r="M22" s="83">
        <f>(SUM(H22:L22)-I22)/24</f>
        <v>0</v>
      </c>
      <c r="N22" s="260">
        <f t="shared" si="4"/>
        <v>0</v>
      </c>
      <c r="O22" s="84">
        <f t="shared" si="5"/>
        <v>0</v>
      </c>
      <c r="P22" s="83"/>
      <c r="Q22" s="83"/>
      <c r="R22" s="83"/>
      <c r="S22" s="80" t="s">
        <v>146</v>
      </c>
      <c r="T22" s="84">
        <f t="shared" si="6"/>
        <v>0</v>
      </c>
      <c r="U22" s="83">
        <f t="shared" si="7"/>
        <v>0</v>
      </c>
      <c r="V22" s="84">
        <f t="shared" si="8"/>
        <v>0</v>
      </c>
      <c r="W22" s="83">
        <f t="shared" si="9"/>
        <v>0</v>
      </c>
      <c r="X22" s="84">
        <f t="shared" si="18"/>
        <v>0</v>
      </c>
      <c r="Y22" s="84">
        <f t="shared" si="19"/>
        <v>0</v>
      </c>
      <c r="Z22" s="83">
        <f t="shared" si="24"/>
        <v>0</v>
      </c>
      <c r="AA22" s="84">
        <f t="shared" si="11"/>
        <v>0</v>
      </c>
      <c r="AB22" s="83">
        <f t="shared" si="12"/>
        <v>0</v>
      </c>
      <c r="AC22" s="84">
        <f t="shared" si="13"/>
        <v>0</v>
      </c>
      <c r="AD22" s="83">
        <f t="shared" si="20"/>
        <v>0</v>
      </c>
      <c r="AE22" s="84">
        <f t="shared" si="21"/>
        <v>0</v>
      </c>
      <c r="AF22" s="83">
        <f t="shared" si="14"/>
        <v>0</v>
      </c>
      <c r="AG22" s="84">
        <f t="shared" si="15"/>
        <v>0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</row>
    <row r="23" spans="2:74" s="86" customFormat="1" ht="12.75" hidden="1">
      <c r="B23" s="79"/>
      <c r="C23" s="80"/>
      <c r="D23" s="79">
        <v>17</v>
      </c>
      <c r="E23" s="81"/>
      <c r="F23" s="82">
        <v>0.05</v>
      </c>
      <c r="G23" s="83">
        <f t="shared" si="16"/>
        <v>0</v>
      </c>
      <c r="H23" s="84">
        <f t="shared" si="0"/>
        <v>0</v>
      </c>
      <c r="I23" s="85"/>
      <c r="J23" s="84"/>
      <c r="K23" s="83">
        <f t="shared" si="25"/>
        <v>0</v>
      </c>
      <c r="L23" s="84">
        <f>B23*G23*0.5</f>
        <v>0</v>
      </c>
      <c r="M23" s="83">
        <f>(SUM(H23:L23)-I23)/24</f>
        <v>0</v>
      </c>
      <c r="N23" s="260">
        <f t="shared" si="4"/>
        <v>0</v>
      </c>
      <c r="O23" s="84">
        <f t="shared" si="5"/>
        <v>0</v>
      </c>
      <c r="P23" s="83"/>
      <c r="Q23" s="83"/>
      <c r="R23" s="83"/>
      <c r="S23" s="80"/>
      <c r="T23" s="84">
        <f t="shared" si="6"/>
        <v>0</v>
      </c>
      <c r="U23" s="83">
        <f t="shared" si="7"/>
        <v>0</v>
      </c>
      <c r="V23" s="84">
        <f t="shared" si="8"/>
        <v>0</v>
      </c>
      <c r="W23" s="83">
        <f t="shared" si="9"/>
        <v>0</v>
      </c>
      <c r="X23" s="84">
        <f t="shared" si="18"/>
        <v>0</v>
      </c>
      <c r="Y23" s="84">
        <f t="shared" si="19"/>
        <v>0</v>
      </c>
      <c r="Z23" s="83">
        <f t="shared" si="24"/>
        <v>0</v>
      </c>
      <c r="AA23" s="84">
        <f t="shared" si="11"/>
        <v>0</v>
      </c>
      <c r="AB23" s="83">
        <f t="shared" si="12"/>
        <v>0</v>
      </c>
      <c r="AC23" s="84">
        <f t="shared" si="13"/>
        <v>0</v>
      </c>
      <c r="AD23" s="83">
        <f t="shared" si="20"/>
        <v>0</v>
      </c>
      <c r="AE23" s="84">
        <f t="shared" si="21"/>
        <v>0</v>
      </c>
      <c r="AF23" s="83">
        <f t="shared" si="14"/>
        <v>0</v>
      </c>
      <c r="AG23" s="84">
        <f t="shared" si="15"/>
        <v>0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</row>
    <row r="24" spans="2:74" s="89" customFormat="1" ht="12.75">
      <c r="B24" s="79">
        <v>6</v>
      </c>
      <c r="C24" s="80" t="s">
        <v>147</v>
      </c>
      <c r="D24" s="79">
        <v>18</v>
      </c>
      <c r="E24" s="81">
        <v>671169</v>
      </c>
      <c r="F24" s="82">
        <v>0.05</v>
      </c>
      <c r="G24" s="83">
        <f t="shared" si="16"/>
        <v>704727.4500000001</v>
      </c>
      <c r="H24" s="84">
        <f t="shared" si="0"/>
        <v>50740376.400000006</v>
      </c>
      <c r="I24" s="85"/>
      <c r="J24" s="84">
        <f>(IF(+G24&lt;=+$J$4,+$J$6,0))*12*B24</f>
        <v>2671920</v>
      </c>
      <c r="K24" s="83">
        <f t="shared" si="25"/>
        <v>3822192</v>
      </c>
      <c r="L24" s="84">
        <f>(IF(+G24&lt;=+$L$4,(G24*0.5),(G24*0.35)))*B24</f>
        <v>2114182.35</v>
      </c>
      <c r="M24" s="83">
        <f>(H24+J24+K24+L24)/24</f>
        <v>2472861.2812500005</v>
      </c>
      <c r="N24" s="260">
        <f t="shared" si="4"/>
        <v>2575897.1679687505</v>
      </c>
      <c r="O24" s="84">
        <f t="shared" si="5"/>
        <v>5366452.4332682295</v>
      </c>
      <c r="P24" s="83"/>
      <c r="Q24" s="83"/>
      <c r="R24" s="83"/>
      <c r="S24" s="80" t="s">
        <v>147</v>
      </c>
      <c r="T24" s="84">
        <f t="shared" si="6"/>
        <v>281890.98000000004</v>
      </c>
      <c r="U24" s="83">
        <f t="shared" si="7"/>
        <v>707962.7208854166</v>
      </c>
      <c r="V24" s="84">
        <f t="shared" si="8"/>
        <v>70753735.3333724</v>
      </c>
      <c r="W24" s="83">
        <f t="shared" si="9"/>
        <v>5870304.634635921</v>
      </c>
      <c r="X24" s="84">
        <f t="shared" si="18"/>
        <v>704436.5561563105</v>
      </c>
      <c r="Y24" s="84">
        <f t="shared" si="19"/>
        <v>2451327.996804167</v>
      </c>
      <c r="Z24" s="83">
        <f t="shared" si="24"/>
        <v>1838495.9976031252</v>
      </c>
      <c r="AA24" s="84">
        <f t="shared" si="11"/>
        <v>306415.9996005209</v>
      </c>
      <c r="AB24" s="83">
        <f t="shared" si="12"/>
        <v>306415.9996005209</v>
      </c>
      <c r="AC24" s="84">
        <f t="shared" si="13"/>
        <v>612831.9992010418</v>
      </c>
      <c r="AD24" s="83">
        <f t="shared" si="20"/>
        <v>5747933.2640625015</v>
      </c>
      <c r="AE24" s="84">
        <f t="shared" si="21"/>
        <v>4228364.7</v>
      </c>
      <c r="AF24" s="83">
        <f t="shared" si="14"/>
        <v>275900.79667500005</v>
      </c>
      <c r="AG24" s="84">
        <f t="shared" si="15"/>
        <v>93096163.2777115</v>
      </c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</row>
    <row r="25" spans="2:74" s="86" customFormat="1" ht="12.75">
      <c r="B25" s="79">
        <v>4</v>
      </c>
      <c r="C25" s="80" t="s">
        <v>148</v>
      </c>
      <c r="D25" s="79">
        <v>19</v>
      </c>
      <c r="E25" s="81">
        <v>562370</v>
      </c>
      <c r="F25" s="82">
        <v>0.05</v>
      </c>
      <c r="G25" s="83">
        <f t="shared" si="16"/>
        <v>590488.5</v>
      </c>
      <c r="H25" s="84">
        <f t="shared" si="0"/>
        <v>28343448</v>
      </c>
      <c r="I25" s="85"/>
      <c r="J25" s="84">
        <f>(IF(+G25&lt;=+$J$4,+$J$6,0))*12*B25</f>
        <v>1781280</v>
      </c>
      <c r="K25" s="83">
        <f t="shared" si="25"/>
        <v>2548128</v>
      </c>
      <c r="L25" s="84">
        <f>(IF(+G25&lt;=+$L$4,(G25*0.5),(G25*0.35)))*B25</f>
        <v>1180977</v>
      </c>
      <c r="M25" s="83">
        <f>(H25+J25+K25+L25)/24</f>
        <v>1410576.375</v>
      </c>
      <c r="N25" s="260">
        <f t="shared" si="4"/>
        <v>1469350.390625</v>
      </c>
      <c r="O25" s="84">
        <f t="shared" si="5"/>
        <v>3061146.6471354165</v>
      </c>
      <c r="P25" s="83"/>
      <c r="Q25" s="83"/>
      <c r="R25" s="83"/>
      <c r="S25" s="80" t="s">
        <v>148</v>
      </c>
      <c r="T25" s="84">
        <f t="shared" si="6"/>
        <v>157463.6</v>
      </c>
      <c r="U25" s="83">
        <f t="shared" si="7"/>
        <v>442172.53229166666</v>
      </c>
      <c r="V25" s="84">
        <f t="shared" si="8"/>
        <v>40394542.54505208</v>
      </c>
      <c r="W25" s="83">
        <f t="shared" si="9"/>
        <v>3351748.676122838</v>
      </c>
      <c r="X25" s="84">
        <f t="shared" si="18"/>
        <v>402209.84113474056</v>
      </c>
      <c r="Y25" s="84">
        <f t="shared" si="19"/>
        <v>1385112.1719166667</v>
      </c>
      <c r="Z25" s="83">
        <f t="shared" si="24"/>
        <v>1038834.1289375</v>
      </c>
      <c r="AA25" s="84">
        <f t="shared" si="11"/>
        <v>173139.02148958333</v>
      </c>
      <c r="AB25" s="83">
        <f t="shared" si="12"/>
        <v>173139.02148958333</v>
      </c>
      <c r="AC25" s="84">
        <f t="shared" si="13"/>
        <v>346278.04297916667</v>
      </c>
      <c r="AD25" s="83">
        <f t="shared" si="20"/>
        <v>3210781.21875</v>
      </c>
      <c r="AE25" s="84">
        <f t="shared" si="21"/>
        <v>2361954</v>
      </c>
      <c r="AF25" s="83">
        <f t="shared" si="14"/>
        <v>154117.49850000002</v>
      </c>
      <c r="AG25" s="84">
        <f t="shared" si="15"/>
        <v>52991856.16637215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</row>
    <row r="26" spans="2:74" s="86" customFormat="1" ht="13.5" thickBot="1">
      <c r="B26" s="79">
        <v>2</v>
      </c>
      <c r="C26" s="80" t="s">
        <v>149</v>
      </c>
      <c r="D26" s="79">
        <v>21</v>
      </c>
      <c r="E26" s="81">
        <v>519269</v>
      </c>
      <c r="F26" s="82">
        <v>0.05</v>
      </c>
      <c r="G26" s="83">
        <f t="shared" si="16"/>
        <v>545232.4500000001</v>
      </c>
      <c r="H26" s="84">
        <f t="shared" si="0"/>
        <v>13085578.8</v>
      </c>
      <c r="I26" s="85"/>
      <c r="J26" s="84">
        <f>(IF(+G26&lt;=+$J$4,+$J$6,0))*12*B26</f>
        <v>890640</v>
      </c>
      <c r="K26" s="83">
        <f t="shared" si="25"/>
        <v>1274064</v>
      </c>
      <c r="L26" s="84">
        <f>(IF(+G26&lt;=+$L$4,(G26*0.5),(G26*0.35)))*B26</f>
        <v>545232.4500000001</v>
      </c>
      <c r="M26" s="83">
        <f>(H26+J26+K26+L26)/24</f>
        <v>658146.46875</v>
      </c>
      <c r="N26" s="260">
        <f t="shared" si="4"/>
        <v>685569.23828125</v>
      </c>
      <c r="O26" s="84">
        <f t="shared" si="5"/>
        <v>1428269.2464192708</v>
      </c>
      <c r="P26" s="83"/>
      <c r="Q26" s="83"/>
      <c r="R26" s="83"/>
      <c r="S26" s="80" t="s">
        <v>149</v>
      </c>
      <c r="T26" s="90">
        <f t="shared" si="6"/>
        <v>72697.66</v>
      </c>
      <c r="U26" s="83">
        <f t="shared" si="7"/>
        <v>215183.07536458335</v>
      </c>
      <c r="V26" s="84">
        <f t="shared" si="8"/>
        <v>18855380.938815102</v>
      </c>
      <c r="W26" s="83">
        <f t="shared" si="9"/>
        <v>1564597.517125298</v>
      </c>
      <c r="X26" s="84">
        <f t="shared" si="18"/>
        <v>187751.70205503577</v>
      </c>
      <c r="Y26" s="84">
        <f t="shared" si="19"/>
        <v>643214.0012958333</v>
      </c>
      <c r="Z26" s="83">
        <f t="shared" si="24"/>
        <v>482410.500971875</v>
      </c>
      <c r="AA26" s="84">
        <f t="shared" si="11"/>
        <v>80401.75016197916</v>
      </c>
      <c r="AB26" s="83">
        <f t="shared" si="12"/>
        <v>80401.75016197916</v>
      </c>
      <c r="AC26" s="84">
        <f t="shared" si="13"/>
        <v>160803.50032395832</v>
      </c>
      <c r="AD26" s="83">
        <f t="shared" si="20"/>
        <v>1482350.7234375</v>
      </c>
      <c r="AE26" s="84">
        <f t="shared" si="21"/>
        <v>1090464.9</v>
      </c>
      <c r="AF26" s="83">
        <f t="shared" si="14"/>
        <v>71152.83472500001</v>
      </c>
      <c r="AG26" s="84">
        <f t="shared" si="15"/>
        <v>24698930.119073562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</row>
    <row r="27" spans="2:74" s="86" customFormat="1" ht="12.75" hidden="1">
      <c r="B27" s="79">
        <v>0</v>
      </c>
      <c r="C27" s="80" t="s">
        <v>150</v>
      </c>
      <c r="D27" s="79">
        <v>22</v>
      </c>
      <c r="E27" s="81">
        <v>260100</v>
      </c>
      <c r="F27" s="82">
        <v>0.04</v>
      </c>
      <c r="G27" s="83">
        <f t="shared" si="16"/>
        <v>270504</v>
      </c>
      <c r="H27" s="84">
        <f t="shared" si="0"/>
        <v>0</v>
      </c>
      <c r="I27" s="85"/>
      <c r="J27" s="84"/>
      <c r="K27" s="83"/>
      <c r="L27" s="84">
        <f>B27*G27*0.5</f>
        <v>0</v>
      </c>
      <c r="M27" s="83">
        <f>(SUM(H27:L27)-I27)/24</f>
        <v>0</v>
      </c>
      <c r="N27" s="260">
        <f t="shared" si="4"/>
        <v>0</v>
      </c>
      <c r="O27" s="84">
        <f t="shared" si="5"/>
        <v>0</v>
      </c>
      <c r="P27" s="83"/>
      <c r="Q27" s="83"/>
      <c r="R27" s="83"/>
      <c r="S27" s="80" t="s">
        <v>150</v>
      </c>
      <c r="T27" s="84">
        <f t="shared" si="6"/>
        <v>0</v>
      </c>
      <c r="U27" s="83">
        <f t="shared" si="7"/>
        <v>0</v>
      </c>
      <c r="V27" s="84">
        <f t="shared" si="8"/>
        <v>0</v>
      </c>
      <c r="W27" s="83">
        <f t="shared" si="9"/>
        <v>0</v>
      </c>
      <c r="X27" s="84"/>
      <c r="Y27" s="84">
        <f>(+V27-O27-T27-K27-I27)*4/100</f>
        <v>0</v>
      </c>
      <c r="Z27" s="83">
        <f t="shared" si="24"/>
        <v>0</v>
      </c>
      <c r="AA27" s="84">
        <f t="shared" si="11"/>
        <v>0</v>
      </c>
      <c r="AB27" s="83">
        <f t="shared" si="12"/>
        <v>0</v>
      </c>
      <c r="AC27" s="84">
        <f t="shared" si="13"/>
        <v>0</v>
      </c>
      <c r="AD27" s="83">
        <f t="shared" si="20"/>
        <v>0</v>
      </c>
      <c r="AE27" s="84">
        <f t="shared" si="21"/>
        <v>0</v>
      </c>
      <c r="AF27" s="83">
        <f t="shared" si="14"/>
        <v>0</v>
      </c>
      <c r="AG27" s="84">
        <f t="shared" si="15"/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</row>
    <row r="28" spans="2:74" s="86" customFormat="1" ht="12.75" hidden="1">
      <c r="B28" s="79">
        <v>0</v>
      </c>
      <c r="C28" s="80" t="s">
        <v>151</v>
      </c>
      <c r="D28" s="79" t="s">
        <v>152</v>
      </c>
      <c r="E28" s="81">
        <v>436347</v>
      </c>
      <c r="F28" s="82">
        <v>0.04</v>
      </c>
      <c r="G28" s="83">
        <f t="shared" si="16"/>
        <v>453800.88</v>
      </c>
      <c r="H28" s="84">
        <f t="shared" si="0"/>
        <v>0</v>
      </c>
      <c r="I28" s="85"/>
      <c r="J28" s="84"/>
      <c r="K28" s="83"/>
      <c r="L28" s="84">
        <f>B28*G28*0.5</f>
        <v>0</v>
      </c>
      <c r="M28" s="83">
        <f>(H28+J28+K28+L28)/24</f>
        <v>0</v>
      </c>
      <c r="N28" s="260">
        <f t="shared" si="4"/>
        <v>0</v>
      </c>
      <c r="O28" s="84">
        <f t="shared" si="5"/>
        <v>0</v>
      </c>
      <c r="P28" s="83"/>
      <c r="Q28" s="83"/>
      <c r="R28" s="83"/>
      <c r="S28" s="80" t="s">
        <v>151</v>
      </c>
      <c r="T28" s="84">
        <f t="shared" si="6"/>
        <v>0</v>
      </c>
      <c r="U28" s="83">
        <f t="shared" si="7"/>
        <v>0</v>
      </c>
      <c r="V28" s="84">
        <f t="shared" si="8"/>
        <v>0</v>
      </c>
      <c r="W28" s="83">
        <f t="shared" si="9"/>
        <v>0</v>
      </c>
      <c r="X28" s="84"/>
      <c r="Y28" s="84">
        <f>(+V28-O28-T28-K28)*4/100</f>
        <v>0</v>
      </c>
      <c r="Z28" s="83">
        <f t="shared" si="24"/>
        <v>0</v>
      </c>
      <c r="AA28" s="84">
        <f t="shared" si="11"/>
        <v>0</v>
      </c>
      <c r="AB28" s="83">
        <f t="shared" si="12"/>
        <v>0</v>
      </c>
      <c r="AC28" s="84">
        <f t="shared" si="13"/>
        <v>0</v>
      </c>
      <c r="AD28" s="83">
        <f t="shared" si="20"/>
        <v>0</v>
      </c>
      <c r="AE28" s="84">
        <f t="shared" si="21"/>
        <v>0</v>
      </c>
      <c r="AF28" s="83">
        <f t="shared" si="14"/>
        <v>0</v>
      </c>
      <c r="AG28" s="84">
        <f t="shared" si="15"/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2:74" s="100" customFormat="1" ht="13.5" thickBot="1">
      <c r="B29" s="91">
        <f>SUM(B7:B28)</f>
        <v>21</v>
      </c>
      <c r="C29" s="92" t="s">
        <v>153</v>
      </c>
      <c r="D29" s="93"/>
      <c r="E29" s="96">
        <f>SUM(E7:E28)</f>
        <v>13029952</v>
      </c>
      <c r="F29" s="96"/>
      <c r="G29" s="96">
        <f aca="true" t="shared" si="26" ref="G29:O29">SUM(G7:G28)</f>
        <v>13674485.129999999</v>
      </c>
      <c r="H29" s="97">
        <f t="shared" si="26"/>
        <v>281955655.8</v>
      </c>
      <c r="I29" s="97">
        <f t="shared" si="26"/>
        <v>15147877.5</v>
      </c>
      <c r="J29" s="97">
        <f t="shared" si="26"/>
        <v>5789160</v>
      </c>
      <c r="K29" s="96">
        <f t="shared" si="26"/>
        <v>13377672</v>
      </c>
      <c r="L29" s="97">
        <f t="shared" si="26"/>
        <v>9505696.147499999</v>
      </c>
      <c r="M29" s="96">
        <f t="shared" si="26"/>
        <v>12942840.997812498</v>
      </c>
      <c r="N29" s="261">
        <f t="shared" si="26"/>
        <v>13482126.03938802</v>
      </c>
      <c r="O29" s="266">
        <f t="shared" si="26"/>
        <v>28087762.582058378</v>
      </c>
      <c r="P29" s="106"/>
      <c r="Q29" s="106"/>
      <c r="R29" s="106"/>
      <c r="S29" s="92" t="s">
        <v>153</v>
      </c>
      <c r="T29" s="97">
        <f aca="true" t="shared" si="27" ref="T29:AG29">SUM(T7:T28)</f>
        <v>1566420.3099999998</v>
      </c>
      <c r="U29" s="96">
        <f t="shared" si="27"/>
        <v>2658759.6953949654</v>
      </c>
      <c r="V29" s="97">
        <f t="shared" si="27"/>
        <v>384513971.0721539</v>
      </c>
      <c r="W29" s="96">
        <f t="shared" si="27"/>
        <v>30637712.78273742</v>
      </c>
      <c r="X29" s="96">
        <f t="shared" si="27"/>
        <v>3676525.5339284902</v>
      </c>
      <c r="Y29" s="97">
        <f t="shared" si="27"/>
        <v>13053369.54720382</v>
      </c>
      <c r="Z29" s="96">
        <f t="shared" si="27"/>
        <v>9790027.16040286</v>
      </c>
      <c r="AA29" s="97">
        <f t="shared" si="27"/>
        <v>1631671.1934004775</v>
      </c>
      <c r="AB29" s="96">
        <f t="shared" si="27"/>
        <v>1631671.1934004775</v>
      </c>
      <c r="AC29" s="97">
        <f t="shared" si="27"/>
        <v>3263342.386800955</v>
      </c>
      <c r="AD29" s="96">
        <f t="shared" si="27"/>
        <v>31696422.02429063</v>
      </c>
      <c r="AE29" s="97">
        <f t="shared" si="27"/>
        <v>23316908.1558</v>
      </c>
      <c r="AF29" s="96">
        <f t="shared" si="27"/>
        <v>1521428.2571659503</v>
      </c>
      <c r="AG29" s="97">
        <f t="shared" si="27"/>
        <v>504733049.3072849</v>
      </c>
      <c r="AH29" s="98"/>
      <c r="AI29" s="98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</row>
    <row r="30" spans="2:74" s="100" customFormat="1" ht="12.75">
      <c r="B30" s="101"/>
      <c r="C30" s="102"/>
      <c r="D30" s="103"/>
      <c r="E30" s="104"/>
      <c r="F30" s="105"/>
      <c r="G30" s="106"/>
      <c r="H30" s="380">
        <f>H62</f>
        <v>47958775.2</v>
      </c>
      <c r="I30" s="106"/>
      <c r="J30" s="107"/>
      <c r="K30" s="106"/>
      <c r="L30" s="107"/>
      <c r="M30" s="106"/>
      <c r="N30" s="262"/>
      <c r="O30" s="107"/>
      <c r="P30" s="106"/>
      <c r="Q30" s="106"/>
      <c r="R30" s="106"/>
      <c r="S30" s="102"/>
      <c r="T30" s="107"/>
      <c r="U30" s="106"/>
      <c r="V30" s="107"/>
      <c r="W30" s="106"/>
      <c r="X30" s="106"/>
      <c r="Y30" s="107"/>
      <c r="Z30" s="106"/>
      <c r="AA30" s="107"/>
      <c r="AB30" s="106"/>
      <c r="AC30" s="107"/>
      <c r="AD30" s="106"/>
      <c r="AE30" s="107"/>
      <c r="AF30" s="106"/>
      <c r="AG30" s="107"/>
      <c r="AH30" s="98"/>
      <c r="AI30" s="98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</row>
    <row r="31" spans="2:74" s="100" customFormat="1" ht="12.75">
      <c r="B31" s="101"/>
      <c r="C31" s="102"/>
      <c r="D31" s="103"/>
      <c r="E31" s="104"/>
      <c r="F31" s="105"/>
      <c r="G31" s="106"/>
      <c r="H31" s="380">
        <f>H29-H30</f>
        <v>233996880.60000002</v>
      </c>
      <c r="I31" s="106"/>
      <c r="J31" s="107"/>
      <c r="K31" s="106"/>
      <c r="L31" s="107"/>
      <c r="M31" s="106"/>
      <c r="N31" s="262"/>
      <c r="O31" s="262"/>
      <c r="P31" s="106"/>
      <c r="Q31" s="106"/>
      <c r="R31" s="106"/>
      <c r="S31" s="102"/>
      <c r="T31" s="107"/>
      <c r="U31" s="106"/>
      <c r="V31" s="107"/>
      <c r="W31" s="106"/>
      <c r="X31" s="106"/>
      <c r="Y31" s="107"/>
      <c r="Z31" s="106"/>
      <c r="AA31" s="107"/>
      <c r="AB31" s="106"/>
      <c r="AC31" s="107"/>
      <c r="AD31" s="106"/>
      <c r="AE31" s="107"/>
      <c r="AF31" s="106"/>
      <c r="AG31" s="107"/>
      <c r="AH31" s="98"/>
      <c r="AI31" s="98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</row>
    <row r="32" spans="2:74" s="71" customFormat="1" ht="12.75">
      <c r="B32" s="66" t="s">
        <v>94</v>
      </c>
      <c r="C32" s="67" t="s">
        <v>95</v>
      </c>
      <c r="D32" s="66" t="s">
        <v>96</v>
      </c>
      <c r="E32" s="68" t="s">
        <v>97</v>
      </c>
      <c r="F32" s="69" t="s">
        <v>98</v>
      </c>
      <c r="G32" s="68" t="s">
        <v>99</v>
      </c>
      <c r="H32" s="66" t="s">
        <v>100</v>
      </c>
      <c r="I32" s="67" t="s">
        <v>154</v>
      </c>
      <c r="J32" s="66" t="s">
        <v>102</v>
      </c>
      <c r="K32" s="67" t="s">
        <v>103</v>
      </c>
      <c r="L32" s="66" t="s">
        <v>104</v>
      </c>
      <c r="M32" s="67" t="s">
        <v>105</v>
      </c>
      <c r="N32" s="258" t="s">
        <v>106</v>
      </c>
      <c r="O32" s="258" t="s">
        <v>107</v>
      </c>
      <c r="P32" s="360"/>
      <c r="Q32" s="336"/>
      <c r="R32" s="336"/>
      <c r="S32" s="67" t="s">
        <v>95</v>
      </c>
      <c r="T32" s="66" t="s">
        <v>108</v>
      </c>
      <c r="U32" s="67" t="s">
        <v>109</v>
      </c>
      <c r="V32" s="66" t="s">
        <v>110</v>
      </c>
      <c r="W32" s="67" t="s">
        <v>111</v>
      </c>
      <c r="X32" s="67"/>
      <c r="Y32" s="66" t="s">
        <v>112</v>
      </c>
      <c r="Z32" s="67" t="s">
        <v>113</v>
      </c>
      <c r="AA32" s="66" t="s">
        <v>114</v>
      </c>
      <c r="AB32" s="67" t="s">
        <v>115</v>
      </c>
      <c r="AC32" s="66" t="s">
        <v>116</v>
      </c>
      <c r="AD32" s="67" t="s">
        <v>117</v>
      </c>
      <c r="AE32" s="66" t="s">
        <v>118</v>
      </c>
      <c r="AF32" s="67" t="s">
        <v>119</v>
      </c>
      <c r="AG32" s="66" t="s">
        <v>110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</row>
    <row r="33" spans="2:74" s="71" customFormat="1" ht="13.5" thickBot="1">
      <c r="B33" s="72" t="s">
        <v>120</v>
      </c>
      <c r="C33" s="73"/>
      <c r="D33" s="72" t="s">
        <v>155</v>
      </c>
      <c r="E33" s="74" t="s">
        <v>330</v>
      </c>
      <c r="F33" s="75"/>
      <c r="G33" s="74">
        <v>2009</v>
      </c>
      <c r="H33" s="72" t="s">
        <v>123</v>
      </c>
      <c r="I33" s="73" t="s">
        <v>123</v>
      </c>
      <c r="J33" s="76"/>
      <c r="K33" s="77"/>
      <c r="L33" s="72" t="s">
        <v>125</v>
      </c>
      <c r="M33" s="78" t="s">
        <v>126</v>
      </c>
      <c r="N33" s="259" t="s">
        <v>127</v>
      </c>
      <c r="O33" s="361" t="s">
        <v>128</v>
      </c>
      <c r="P33" s="360"/>
      <c r="Q33" s="336"/>
      <c r="R33" s="336"/>
      <c r="S33" s="73"/>
      <c r="T33" s="72" t="s">
        <v>129</v>
      </c>
      <c r="U33" s="78" t="s">
        <v>127</v>
      </c>
      <c r="V33" s="72" t="s">
        <v>130</v>
      </c>
      <c r="W33" s="78" t="s">
        <v>131</v>
      </c>
      <c r="X33" s="78"/>
      <c r="Y33" s="72" t="s">
        <v>132</v>
      </c>
      <c r="Z33" s="78" t="s">
        <v>133</v>
      </c>
      <c r="AA33" s="72" t="s">
        <v>134</v>
      </c>
      <c r="AB33" s="78" t="s">
        <v>135</v>
      </c>
      <c r="AC33" s="72" t="s">
        <v>136</v>
      </c>
      <c r="AD33" s="78"/>
      <c r="AE33" s="72"/>
      <c r="AF33" s="78" t="s">
        <v>137</v>
      </c>
      <c r="AG33" s="72" t="s">
        <v>138</v>
      </c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</row>
    <row r="34" spans="2:74" s="112" customFormat="1" ht="12.75" hidden="1">
      <c r="B34" s="108"/>
      <c r="C34" s="64"/>
      <c r="D34" s="109"/>
      <c r="E34" s="110"/>
      <c r="F34" s="111"/>
      <c r="G34" s="64"/>
      <c r="H34" s="109"/>
      <c r="I34" s="64"/>
      <c r="J34" s="109"/>
      <c r="K34" s="64"/>
      <c r="L34" s="109"/>
      <c r="M34" s="64"/>
      <c r="N34" s="263"/>
      <c r="O34" s="263"/>
      <c r="P34" s="263"/>
      <c r="Q34" s="85"/>
      <c r="R34" s="85"/>
      <c r="S34" s="64"/>
      <c r="T34" s="109"/>
      <c r="U34" s="64"/>
      <c r="V34" s="109"/>
      <c r="W34" s="64"/>
      <c r="X34" s="64"/>
      <c r="Y34" s="109"/>
      <c r="Z34" s="64"/>
      <c r="AA34" s="109"/>
      <c r="AB34" s="64"/>
      <c r="AC34" s="109"/>
      <c r="AD34" s="64"/>
      <c r="AE34" s="109"/>
      <c r="AF34" s="64"/>
      <c r="AG34" s="109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</row>
    <row r="35" spans="2:74" s="118" customFormat="1" ht="12.75" hidden="1">
      <c r="B35" s="113" t="s">
        <v>94</v>
      </c>
      <c r="C35" s="114" t="s">
        <v>95</v>
      </c>
      <c r="D35" s="113" t="s">
        <v>96</v>
      </c>
      <c r="E35" s="115" t="s">
        <v>97</v>
      </c>
      <c r="F35" s="116" t="s">
        <v>98</v>
      </c>
      <c r="G35" s="114" t="s">
        <v>97</v>
      </c>
      <c r="H35" s="113" t="s">
        <v>100</v>
      </c>
      <c r="I35" s="114" t="s">
        <v>101</v>
      </c>
      <c r="J35" s="113" t="s">
        <v>102</v>
      </c>
      <c r="K35" s="114" t="s">
        <v>103</v>
      </c>
      <c r="L35" s="113" t="s">
        <v>104</v>
      </c>
      <c r="M35" s="114" t="s">
        <v>105</v>
      </c>
      <c r="N35" s="264" t="s">
        <v>106</v>
      </c>
      <c r="O35" s="362" t="s">
        <v>107</v>
      </c>
      <c r="P35" s="362"/>
      <c r="Q35" s="337"/>
      <c r="R35" s="337"/>
      <c r="S35" s="114" t="s">
        <v>95</v>
      </c>
      <c r="T35" s="113" t="s">
        <v>108</v>
      </c>
      <c r="U35" s="114" t="s">
        <v>109</v>
      </c>
      <c r="V35" s="113" t="s">
        <v>110</v>
      </c>
      <c r="W35" s="114" t="s">
        <v>111</v>
      </c>
      <c r="X35" s="114"/>
      <c r="Y35" s="113" t="s">
        <v>112</v>
      </c>
      <c r="Z35" s="114" t="s">
        <v>113</v>
      </c>
      <c r="AA35" s="113" t="s">
        <v>114</v>
      </c>
      <c r="AB35" s="114" t="s">
        <v>115</v>
      </c>
      <c r="AC35" s="113" t="s">
        <v>116</v>
      </c>
      <c r="AD35" s="114" t="s">
        <v>117</v>
      </c>
      <c r="AE35" s="113" t="s">
        <v>118</v>
      </c>
      <c r="AF35" s="114" t="s">
        <v>119</v>
      </c>
      <c r="AG35" s="113" t="s">
        <v>110</v>
      </c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</row>
    <row r="36" spans="2:74" s="118" customFormat="1" ht="13.5" hidden="1" thickBot="1">
      <c r="B36" s="119" t="s">
        <v>120</v>
      </c>
      <c r="C36" s="120"/>
      <c r="D36" s="119" t="s">
        <v>155</v>
      </c>
      <c r="E36" s="121" t="s">
        <v>122</v>
      </c>
      <c r="F36" s="122"/>
      <c r="G36" s="123" t="s">
        <v>156</v>
      </c>
      <c r="H36" s="119" t="s">
        <v>123</v>
      </c>
      <c r="I36" s="120" t="s">
        <v>157</v>
      </c>
      <c r="J36" s="124">
        <f>21451*1.062</f>
        <v>22780.962</v>
      </c>
      <c r="K36" s="125">
        <f>26413*1.09</f>
        <v>28790.170000000002</v>
      </c>
      <c r="L36" s="119" t="s">
        <v>125</v>
      </c>
      <c r="M36" s="123" t="s">
        <v>126</v>
      </c>
      <c r="N36" s="265" t="s">
        <v>127</v>
      </c>
      <c r="O36" s="362" t="s">
        <v>128</v>
      </c>
      <c r="P36" s="362"/>
      <c r="Q36" s="337"/>
      <c r="R36" s="337"/>
      <c r="S36" s="120"/>
      <c r="T36" s="119" t="s">
        <v>129</v>
      </c>
      <c r="U36" s="123" t="s">
        <v>127</v>
      </c>
      <c r="V36" s="119" t="s">
        <v>130</v>
      </c>
      <c r="W36" s="123" t="s">
        <v>131</v>
      </c>
      <c r="X36" s="123"/>
      <c r="Y36" s="119" t="s">
        <v>132</v>
      </c>
      <c r="Z36" s="123" t="s">
        <v>133</v>
      </c>
      <c r="AA36" s="119" t="s">
        <v>134</v>
      </c>
      <c r="AB36" s="123" t="s">
        <v>135</v>
      </c>
      <c r="AC36" s="119" t="s">
        <v>136</v>
      </c>
      <c r="AD36" s="123"/>
      <c r="AE36" s="119"/>
      <c r="AF36" s="123" t="s">
        <v>137</v>
      </c>
      <c r="AG36" s="119" t="s">
        <v>138</v>
      </c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</row>
    <row r="37" spans="2:74" s="86" customFormat="1" ht="12.75">
      <c r="B37" s="79">
        <v>1</v>
      </c>
      <c r="C37" s="80" t="s">
        <v>158</v>
      </c>
      <c r="D37" s="79">
        <v>1</v>
      </c>
      <c r="E37" s="81">
        <v>2404425</v>
      </c>
      <c r="F37" s="82">
        <v>0.05</v>
      </c>
      <c r="G37" s="83">
        <f>+E37*(1+F37)</f>
        <v>2524646.25</v>
      </c>
      <c r="H37" s="84">
        <f>B37*G37*12</f>
        <v>30295755</v>
      </c>
      <c r="I37" s="85"/>
      <c r="J37" s="84">
        <f>(IF(+G37&lt;=+$J$4,+$J$6,0))*12*B37</f>
        <v>0</v>
      </c>
      <c r="K37" s="83">
        <f>(IF(+G37&lt;=+$K$4,+$K$6,0))*12</f>
        <v>0</v>
      </c>
      <c r="L37" s="84">
        <f>(IF(+G37&lt;=+$L$4,(G37*0.5),(G37*0.35)))*B37</f>
        <v>883626.1875</v>
      </c>
      <c r="M37" s="83">
        <f>(SUM(H37:L37)-I37)/24</f>
        <v>1299140.8828125</v>
      </c>
      <c r="N37" s="260">
        <f>(SUM(H37:M37)-I37)/24</f>
        <v>1353271.7529296875</v>
      </c>
      <c r="O37" s="260">
        <f>(SUM(H37:N37)-I37)/12</f>
        <v>2819316.151936849</v>
      </c>
      <c r="P37" s="260"/>
      <c r="Q37" s="83"/>
      <c r="R37" s="83"/>
      <c r="S37" s="80" t="s">
        <v>158</v>
      </c>
      <c r="T37" s="84">
        <f>H37/180</f>
        <v>168309.75</v>
      </c>
      <c r="U37" s="83">
        <f>((J37+K37+L37+M37)/12)*23/30</f>
        <v>139454.56282552084</v>
      </c>
      <c r="V37" s="84">
        <f>SUM(H37:U37)</f>
        <v>36958874.28800456</v>
      </c>
      <c r="W37" s="83">
        <f>(+V37-T37-I37)*8.33/100</f>
        <v>3064654.02601578</v>
      </c>
      <c r="X37" s="83">
        <f>W37*12%</f>
        <v>367758.4831218936</v>
      </c>
      <c r="Y37" s="84">
        <f>(+V37-O37-T37-K37-I37)*4/100</f>
        <v>1358849.9354427084</v>
      </c>
      <c r="Z37" s="83">
        <f>(+V37-O37-T37-K37-I37)*3/100</f>
        <v>1019137.4515820312</v>
      </c>
      <c r="AA37" s="84">
        <f>(+V37-O37-T37-K37-I37)*0.5/100</f>
        <v>169856.24193033855</v>
      </c>
      <c r="AB37" s="83">
        <f>+AA37</f>
        <v>169856.24193033855</v>
      </c>
      <c r="AC37" s="84">
        <f>+AB37*2</f>
        <v>339712.4838606771</v>
      </c>
      <c r="AD37" s="83">
        <f>(+H37+L37)*10.875/100</f>
        <v>3390757.704140625</v>
      </c>
      <c r="AE37" s="84">
        <f>(+H37+L37)*8/100</f>
        <v>2494350.495</v>
      </c>
      <c r="AF37" s="83">
        <f>(+H37+L37)*0.522/100</f>
        <v>162756.36979875</v>
      </c>
      <c r="AG37" s="84">
        <f>SUM(V37:AF37)</f>
        <v>49496563.7208277</v>
      </c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</row>
    <row r="38" spans="2:74" s="89" customFormat="1" ht="12.75">
      <c r="B38" s="79">
        <v>1</v>
      </c>
      <c r="C38" s="80" t="s">
        <v>147</v>
      </c>
      <c r="D38" s="79">
        <v>2</v>
      </c>
      <c r="E38" s="81">
        <v>811363</v>
      </c>
      <c r="F38" s="82">
        <v>0.05</v>
      </c>
      <c r="G38" s="83">
        <f>+E38*(1+F38)</f>
        <v>851931.15</v>
      </c>
      <c r="H38" s="84">
        <f>B38*G38*12</f>
        <v>10223173.8</v>
      </c>
      <c r="I38" s="85"/>
      <c r="J38" s="84">
        <f>(IF(+G38&lt;=+$J$4,+$J$6,0))*12*B38</f>
        <v>445320</v>
      </c>
      <c r="K38" s="83">
        <f>(IF(+G38&lt;=+$K$4,+$K$6,0))*12*B38</f>
        <v>637032</v>
      </c>
      <c r="L38" s="84">
        <f>(IF(+G38&lt;=+$L$4,(G38*0.5),(G38*0.35)))*B38</f>
        <v>425965.575</v>
      </c>
      <c r="M38" s="83">
        <f>(SUM(H38:L38)-I38)/24</f>
        <v>488812.140625</v>
      </c>
      <c r="N38" s="260">
        <f>(SUM(H38:M38)-I38)/24</f>
        <v>509179.3131510417</v>
      </c>
      <c r="O38" s="260">
        <f>(SUM(H38:N38)-I38)/12</f>
        <v>1060790.2357313368</v>
      </c>
      <c r="P38" s="260"/>
      <c r="Q38" s="83"/>
      <c r="R38" s="83"/>
      <c r="S38" s="80" t="s">
        <v>147</v>
      </c>
      <c r="T38" s="84">
        <f>H38/180</f>
        <v>56795.41</v>
      </c>
      <c r="U38" s="83">
        <f>((J38+K38+L38+M38)/12)*23/30</f>
        <v>127594.39849826388</v>
      </c>
      <c r="V38" s="84">
        <f>SUM(H38:U38)</f>
        <v>13974662.873005642</v>
      </c>
      <c r="W38" s="83">
        <f>(+V38-T38-I38)*8.33/100</f>
        <v>1159358.3596683699</v>
      </c>
      <c r="X38" s="83">
        <f>W38*12%</f>
        <v>139123.0031602044</v>
      </c>
      <c r="Y38" s="84">
        <f>(+V38-O38-T38-K38-I38)*4/100</f>
        <v>488801.8090909722</v>
      </c>
      <c r="Z38" s="83">
        <f>(+V38-O38-T38-K38-I38)*3/100</f>
        <v>366601.35681822913</v>
      </c>
      <c r="AA38" s="84">
        <f>(+V38-O38-T38-K38-I38)*0.5/100</f>
        <v>61100.22613637152</v>
      </c>
      <c r="AB38" s="83">
        <f>+AA38</f>
        <v>61100.22613637152</v>
      </c>
      <c r="AC38" s="84">
        <f>+AB38*2</f>
        <v>122200.45227274304</v>
      </c>
      <c r="AD38" s="83">
        <f>(+H38+L38)*10.875/100</f>
        <v>1158093.90703125</v>
      </c>
      <c r="AE38" s="84">
        <f>(+H38+L38)*8/100</f>
        <v>851931.15</v>
      </c>
      <c r="AF38" s="83">
        <f>(+H38+L38)*0.522/100</f>
        <v>55588.5075375</v>
      </c>
      <c r="AG38" s="84">
        <f>SUM(V38:AF38)</f>
        <v>18438561.870857652</v>
      </c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</row>
    <row r="39" spans="2:74" s="100" customFormat="1" ht="12.75">
      <c r="B39" s="91">
        <f>SUM(B37:B38)</f>
        <v>2</v>
      </c>
      <c r="C39" s="92" t="s">
        <v>159</v>
      </c>
      <c r="D39" s="93"/>
      <c r="E39" s="94"/>
      <c r="F39" s="95"/>
      <c r="G39" s="96">
        <f>SUM(G37:G38)</f>
        <v>3376577.4</v>
      </c>
      <c r="H39" s="97">
        <f aca="true" t="shared" si="28" ref="H39:AG39">SUM(H37:H38)</f>
        <v>40518928.8</v>
      </c>
      <c r="I39" s="96">
        <f t="shared" si="28"/>
        <v>0</v>
      </c>
      <c r="J39" s="97">
        <f>SUM(J37:J38)</f>
        <v>445320</v>
      </c>
      <c r="K39" s="96">
        <f t="shared" si="28"/>
        <v>637032</v>
      </c>
      <c r="L39" s="97">
        <f t="shared" si="28"/>
        <v>1309591.7625</v>
      </c>
      <c r="M39" s="96">
        <f t="shared" si="28"/>
        <v>1787953.0234375</v>
      </c>
      <c r="N39" s="261">
        <f t="shared" si="28"/>
        <v>1862451.0660807292</v>
      </c>
      <c r="O39" s="261">
        <f t="shared" si="28"/>
        <v>3880106.387668186</v>
      </c>
      <c r="P39" s="262"/>
      <c r="Q39" s="106"/>
      <c r="R39" s="106"/>
      <c r="S39" s="92" t="s">
        <v>159</v>
      </c>
      <c r="T39" s="97">
        <f t="shared" si="28"/>
        <v>225105.16</v>
      </c>
      <c r="U39" s="96">
        <f t="shared" si="28"/>
        <v>267048.9613237847</v>
      </c>
      <c r="V39" s="97">
        <f t="shared" si="28"/>
        <v>50933537.161010206</v>
      </c>
      <c r="W39" s="96">
        <f t="shared" si="28"/>
        <v>4224012.385684149</v>
      </c>
      <c r="X39" s="96">
        <f t="shared" si="28"/>
        <v>506881.486282098</v>
      </c>
      <c r="Y39" s="97">
        <f t="shared" si="28"/>
        <v>1847651.7445336806</v>
      </c>
      <c r="Z39" s="96">
        <f t="shared" si="28"/>
        <v>1385738.8084002603</v>
      </c>
      <c r="AA39" s="97">
        <f t="shared" si="28"/>
        <v>230956.46806671008</v>
      </c>
      <c r="AB39" s="96">
        <f t="shared" si="28"/>
        <v>230956.46806671008</v>
      </c>
      <c r="AC39" s="97">
        <f t="shared" si="28"/>
        <v>461912.93613342015</v>
      </c>
      <c r="AD39" s="96">
        <f t="shared" si="28"/>
        <v>4548851.611171875</v>
      </c>
      <c r="AE39" s="97">
        <f t="shared" si="28"/>
        <v>3346281.645</v>
      </c>
      <c r="AF39" s="96">
        <f t="shared" si="28"/>
        <v>218344.87733625</v>
      </c>
      <c r="AG39" s="97">
        <f t="shared" si="28"/>
        <v>67935125.59168535</v>
      </c>
      <c r="AH39" s="98"/>
      <c r="AI39" s="98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</row>
    <row r="40" spans="2:74" s="112" customFormat="1" ht="14.25" customHeight="1">
      <c r="B40" s="108"/>
      <c r="C40" s="64"/>
      <c r="D40" s="109"/>
      <c r="E40" s="110"/>
      <c r="F40" s="111"/>
      <c r="G40" s="64"/>
      <c r="H40" s="109"/>
      <c r="I40" s="64"/>
      <c r="J40" s="109"/>
      <c r="K40" s="64"/>
      <c r="L40" s="109"/>
      <c r="M40" s="64"/>
      <c r="N40" s="263"/>
      <c r="O40" s="263"/>
      <c r="P40" s="263"/>
      <c r="Q40" s="85"/>
      <c r="R40" s="85"/>
      <c r="S40" s="64"/>
      <c r="T40" s="109"/>
      <c r="U40" s="64"/>
      <c r="V40" s="109"/>
      <c r="W40" s="64"/>
      <c r="X40" s="64"/>
      <c r="Y40" s="109"/>
      <c r="Z40" s="64"/>
      <c r="AA40" s="109"/>
      <c r="AB40" s="64"/>
      <c r="AC40" s="109"/>
      <c r="AD40" s="64"/>
      <c r="AE40" s="109"/>
      <c r="AF40" s="64"/>
      <c r="AG40" s="109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</row>
    <row r="41" spans="2:74" s="112" customFormat="1" ht="12.75">
      <c r="B41" s="108"/>
      <c r="C41" s="64"/>
      <c r="D41" s="109"/>
      <c r="E41" s="110"/>
      <c r="F41" s="111"/>
      <c r="G41" s="64"/>
      <c r="H41" s="109"/>
      <c r="I41" s="64"/>
      <c r="J41" s="109"/>
      <c r="K41" s="64"/>
      <c r="L41" s="109"/>
      <c r="M41" s="64"/>
      <c r="N41" s="263"/>
      <c r="O41" s="263"/>
      <c r="P41" s="263"/>
      <c r="Q41" s="85"/>
      <c r="R41" s="85"/>
      <c r="S41" s="64"/>
      <c r="T41" s="109"/>
      <c r="U41" s="64"/>
      <c r="V41" s="109"/>
      <c r="W41" s="64"/>
      <c r="X41" s="64"/>
      <c r="Y41" s="109"/>
      <c r="Z41" s="64"/>
      <c r="AA41" s="109"/>
      <c r="AB41" s="64"/>
      <c r="AC41" s="109"/>
      <c r="AD41" s="64"/>
      <c r="AE41" s="109"/>
      <c r="AF41" s="64"/>
      <c r="AG41" s="109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</row>
    <row r="42" spans="2:74" s="71" customFormat="1" ht="12.75">
      <c r="B42" s="66" t="s">
        <v>94</v>
      </c>
      <c r="C42" s="67" t="s">
        <v>95</v>
      </c>
      <c r="D42" s="66" t="s">
        <v>96</v>
      </c>
      <c r="E42" s="68" t="s">
        <v>97</v>
      </c>
      <c r="F42" s="69" t="s">
        <v>98</v>
      </c>
      <c r="G42" s="68" t="s">
        <v>99</v>
      </c>
      <c r="H42" s="66" t="s">
        <v>100</v>
      </c>
      <c r="I42" s="67" t="s">
        <v>154</v>
      </c>
      <c r="J42" s="66" t="s">
        <v>102</v>
      </c>
      <c r="K42" s="67" t="s">
        <v>103</v>
      </c>
      <c r="L42" s="66" t="s">
        <v>104</v>
      </c>
      <c r="M42" s="67" t="s">
        <v>105</v>
      </c>
      <c r="N42" s="258" t="s">
        <v>106</v>
      </c>
      <c r="O42" s="258" t="s">
        <v>107</v>
      </c>
      <c r="P42" s="360"/>
      <c r="Q42" s="336"/>
      <c r="R42" s="336"/>
      <c r="S42" s="67" t="s">
        <v>95</v>
      </c>
      <c r="T42" s="66" t="s">
        <v>108</v>
      </c>
      <c r="U42" s="67" t="s">
        <v>109</v>
      </c>
      <c r="V42" s="66" t="s">
        <v>110</v>
      </c>
      <c r="W42" s="67" t="s">
        <v>111</v>
      </c>
      <c r="X42" s="67"/>
      <c r="Y42" s="66" t="s">
        <v>112</v>
      </c>
      <c r="Z42" s="67" t="s">
        <v>113</v>
      </c>
      <c r="AA42" s="66" t="s">
        <v>114</v>
      </c>
      <c r="AB42" s="67" t="s">
        <v>115</v>
      </c>
      <c r="AC42" s="66" t="s">
        <v>116</v>
      </c>
      <c r="AD42" s="67" t="s">
        <v>117</v>
      </c>
      <c r="AE42" s="66" t="s">
        <v>118</v>
      </c>
      <c r="AF42" s="67" t="s">
        <v>119</v>
      </c>
      <c r="AG42" s="66" t="s">
        <v>110</v>
      </c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</row>
    <row r="43" spans="2:74" s="71" customFormat="1" ht="13.5" thickBot="1">
      <c r="B43" s="72" t="s">
        <v>120</v>
      </c>
      <c r="C43" s="73"/>
      <c r="D43" s="72" t="s">
        <v>155</v>
      </c>
      <c r="E43" s="74" t="s">
        <v>330</v>
      </c>
      <c r="F43" s="75"/>
      <c r="G43" s="74" t="s">
        <v>331</v>
      </c>
      <c r="H43" s="72" t="s">
        <v>123</v>
      </c>
      <c r="I43" s="73" t="s">
        <v>123</v>
      </c>
      <c r="J43" s="76"/>
      <c r="K43" s="77"/>
      <c r="L43" s="72" t="s">
        <v>125</v>
      </c>
      <c r="M43" s="78" t="s">
        <v>126</v>
      </c>
      <c r="N43" s="259" t="s">
        <v>127</v>
      </c>
      <c r="O43" s="361" t="s">
        <v>128</v>
      </c>
      <c r="P43" s="360"/>
      <c r="Q43" s="336"/>
      <c r="R43" s="336"/>
      <c r="S43" s="73"/>
      <c r="T43" s="72" t="s">
        <v>129</v>
      </c>
      <c r="U43" s="78" t="s">
        <v>127</v>
      </c>
      <c r="V43" s="72" t="s">
        <v>130</v>
      </c>
      <c r="W43" s="78" t="s">
        <v>131</v>
      </c>
      <c r="X43" s="78"/>
      <c r="Y43" s="72" t="s">
        <v>132</v>
      </c>
      <c r="Z43" s="78" t="s">
        <v>133</v>
      </c>
      <c r="AA43" s="72" t="s">
        <v>134</v>
      </c>
      <c r="AB43" s="78" t="s">
        <v>135</v>
      </c>
      <c r="AC43" s="72" t="s">
        <v>136</v>
      </c>
      <c r="AD43" s="78"/>
      <c r="AE43" s="72"/>
      <c r="AF43" s="78" t="s">
        <v>137</v>
      </c>
      <c r="AG43" s="72" t="s">
        <v>138</v>
      </c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</row>
    <row r="44" spans="2:74" s="86" customFormat="1" ht="12.75">
      <c r="B44" s="79">
        <v>11</v>
      </c>
      <c r="C44" s="80" t="s">
        <v>160</v>
      </c>
      <c r="D44" s="79">
        <v>1</v>
      </c>
      <c r="E44" s="81">
        <v>80148</v>
      </c>
      <c r="F44" s="82">
        <v>0.05</v>
      </c>
      <c r="G44" s="83">
        <f>+E44*(1+F44)</f>
        <v>84155.40000000001</v>
      </c>
      <c r="H44" s="84"/>
      <c r="I44" s="126">
        <f>+B44*G44*82</f>
        <v>75908170.80000001</v>
      </c>
      <c r="J44" s="84"/>
      <c r="K44" s="83"/>
      <c r="L44" s="84"/>
      <c r="M44" s="83"/>
      <c r="N44" s="260"/>
      <c r="O44" s="260"/>
      <c r="P44" s="260"/>
      <c r="Q44" s="83"/>
      <c r="R44" s="83"/>
      <c r="S44" s="80" t="s">
        <v>160</v>
      </c>
      <c r="T44" s="84"/>
      <c r="U44" s="83"/>
      <c r="V44" s="84">
        <f>SUM(H44:U44)</f>
        <v>75908170.80000001</v>
      </c>
      <c r="W44" s="83"/>
      <c r="X44" s="83"/>
      <c r="Y44" s="84"/>
      <c r="Z44" s="83"/>
      <c r="AA44" s="84"/>
      <c r="AB44" s="83"/>
      <c r="AC44" s="84"/>
      <c r="AD44" s="83">
        <v>0</v>
      </c>
      <c r="AE44" s="84">
        <f>(+I44)*12/100</f>
        <v>9108980.496000001</v>
      </c>
      <c r="AF44" s="83">
        <v>0</v>
      </c>
      <c r="AG44" s="84">
        <f>SUM(V44:AF44)</f>
        <v>85017151.29600002</v>
      </c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</row>
    <row r="45" spans="2:74" s="89" customFormat="1" ht="12.75">
      <c r="B45" s="79">
        <v>1</v>
      </c>
      <c r="C45" s="80" t="s">
        <v>147</v>
      </c>
      <c r="D45" s="79">
        <v>2</v>
      </c>
      <c r="E45" s="81">
        <v>550000</v>
      </c>
      <c r="F45" s="82">
        <v>0.05</v>
      </c>
      <c r="G45" s="83">
        <f>+E45*(1+F45)</f>
        <v>577500</v>
      </c>
      <c r="H45" s="84">
        <f>B45*G45*12</f>
        <v>6930000</v>
      </c>
      <c r="I45" s="126"/>
      <c r="J45" s="84">
        <f>(IF(+G45&lt;=+$J$4,+$J$6,0))*12*B45</f>
        <v>445320</v>
      </c>
      <c r="K45" s="83">
        <f>(IF(+G45&lt;=+$K$4,+$K$6,0))*12*B45</f>
        <v>637032</v>
      </c>
      <c r="L45" s="84">
        <f>(IF(+G45&lt;=+$L$4,(G45*0.5),(G45*0.35)))*B45</f>
        <v>288750</v>
      </c>
      <c r="M45" s="83">
        <f>(H45+J45+K45+L45)/24</f>
        <v>345879.25</v>
      </c>
      <c r="N45" s="260">
        <f>(SUM(H45:M45)-I45)/24</f>
        <v>360290.8854166667</v>
      </c>
      <c r="O45" s="260">
        <f>(SUM(H45:N45)-I45)/12</f>
        <v>750606.0112847221</v>
      </c>
      <c r="P45" s="260"/>
      <c r="Q45" s="83"/>
      <c r="R45" s="83"/>
      <c r="S45" s="80" t="s">
        <v>147</v>
      </c>
      <c r="T45" s="84">
        <f>H45/180</f>
        <v>38500</v>
      </c>
      <c r="U45" s="83">
        <f>((J45+K45+L45+M45)/12)*23/30</f>
        <v>109696.02430555556</v>
      </c>
      <c r="V45" s="84">
        <f>SUM(H45:U45)</f>
        <v>9906074.171006944</v>
      </c>
      <c r="W45" s="83">
        <f>(+V45-T45-I45)*8.33/100</f>
        <v>821968.9284448784</v>
      </c>
      <c r="X45" s="83">
        <f>W45*12%</f>
        <v>98636.2714133854</v>
      </c>
      <c r="Y45" s="84">
        <f>(+V45-O45-T45-K45-I45)*4/100</f>
        <v>339197.4463888889</v>
      </c>
      <c r="Z45" s="83">
        <f>(+V45-O45-T45-K45-I45)*3/100</f>
        <v>254398.08479166665</v>
      </c>
      <c r="AA45" s="84">
        <f>(+V45-O45-T45-K45-I45)*0.5/100</f>
        <v>42399.68079861111</v>
      </c>
      <c r="AB45" s="83">
        <f>+AA45</f>
        <v>42399.68079861111</v>
      </c>
      <c r="AC45" s="84">
        <f>+AB45*2</f>
        <v>84799.36159722222</v>
      </c>
      <c r="AD45" s="83">
        <f>(+H45+L45)*10.875/100</f>
        <v>785039.0625</v>
      </c>
      <c r="AE45" s="84">
        <f>(+H45+L45)*8/100</f>
        <v>577500</v>
      </c>
      <c r="AF45" s="83">
        <f>(+H45+L45)*0.522/100</f>
        <v>37681.875</v>
      </c>
      <c r="AG45" s="84">
        <f>SUM(V45:AF45)</f>
        <v>12990094.562740207</v>
      </c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</row>
    <row r="46" spans="2:74" s="100" customFormat="1" ht="12.75">
      <c r="B46" s="91">
        <f>SUM(B44:B45)</f>
        <v>12</v>
      </c>
      <c r="C46" s="92" t="s">
        <v>161</v>
      </c>
      <c r="D46" s="93"/>
      <c r="E46" s="94"/>
      <c r="F46" s="95"/>
      <c r="G46" s="96">
        <f aca="true" t="shared" si="29" ref="G46:AG46">SUM(G44:G45)</f>
        <v>661655.4</v>
      </c>
      <c r="H46" s="97">
        <f t="shared" si="29"/>
        <v>6930000</v>
      </c>
      <c r="I46" s="96">
        <f t="shared" si="29"/>
        <v>75908170.80000001</v>
      </c>
      <c r="J46" s="97">
        <f>SUM(J44:J45)</f>
        <v>445320</v>
      </c>
      <c r="K46" s="96">
        <f>SUM(K44:K45)</f>
        <v>637032</v>
      </c>
      <c r="L46" s="97">
        <f t="shared" si="29"/>
        <v>288750</v>
      </c>
      <c r="M46" s="96">
        <f t="shared" si="29"/>
        <v>345879.25</v>
      </c>
      <c r="N46" s="261">
        <f t="shared" si="29"/>
        <v>360290.8854166667</v>
      </c>
      <c r="O46" s="261">
        <f t="shared" si="29"/>
        <v>750606.0112847221</v>
      </c>
      <c r="P46" s="262"/>
      <c r="Q46" s="106"/>
      <c r="R46" s="106"/>
      <c r="S46" s="92" t="s">
        <v>161</v>
      </c>
      <c r="T46" s="97">
        <f t="shared" si="29"/>
        <v>38500</v>
      </c>
      <c r="U46" s="96">
        <f t="shared" si="29"/>
        <v>109696.02430555556</v>
      </c>
      <c r="V46" s="97">
        <f t="shared" si="29"/>
        <v>85814244.97100696</v>
      </c>
      <c r="W46" s="96">
        <f t="shared" si="29"/>
        <v>821968.9284448784</v>
      </c>
      <c r="X46" s="96">
        <f t="shared" si="29"/>
        <v>98636.2714133854</v>
      </c>
      <c r="Y46" s="97">
        <f t="shared" si="29"/>
        <v>339197.4463888889</v>
      </c>
      <c r="Z46" s="96">
        <f t="shared" si="29"/>
        <v>254398.08479166665</v>
      </c>
      <c r="AA46" s="97">
        <f t="shared" si="29"/>
        <v>42399.68079861111</v>
      </c>
      <c r="AB46" s="96">
        <f t="shared" si="29"/>
        <v>42399.68079861111</v>
      </c>
      <c r="AC46" s="97">
        <f t="shared" si="29"/>
        <v>84799.36159722222</v>
      </c>
      <c r="AD46" s="96">
        <f t="shared" si="29"/>
        <v>785039.0625</v>
      </c>
      <c r="AE46" s="97">
        <f t="shared" si="29"/>
        <v>9686480.496000001</v>
      </c>
      <c r="AF46" s="96">
        <f t="shared" si="29"/>
        <v>37681.875</v>
      </c>
      <c r="AG46" s="97">
        <f t="shared" si="29"/>
        <v>98007245.85874023</v>
      </c>
      <c r="AH46" s="98"/>
      <c r="AI46" s="98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</row>
    <row r="47" spans="2:74" s="100" customFormat="1" ht="12.75">
      <c r="B47" s="127"/>
      <c r="C47" s="102"/>
      <c r="D47" s="128"/>
      <c r="E47" s="104"/>
      <c r="F47" s="129"/>
      <c r="G47" s="106"/>
      <c r="H47" s="106"/>
      <c r="I47" s="106"/>
      <c r="J47" s="106"/>
      <c r="K47" s="106"/>
      <c r="L47" s="106"/>
      <c r="M47" s="106"/>
      <c r="N47" s="106"/>
      <c r="O47" s="262"/>
      <c r="P47" s="262"/>
      <c r="Q47" s="106"/>
      <c r="R47" s="106"/>
      <c r="S47" s="102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98"/>
      <c r="AI47" s="98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</row>
    <row r="48" spans="2:74" s="100" customFormat="1" ht="12.75">
      <c r="B48" s="127"/>
      <c r="C48" s="102"/>
      <c r="D48" s="128"/>
      <c r="E48" s="104"/>
      <c r="F48" s="129"/>
      <c r="G48" s="106"/>
      <c r="H48" s="106"/>
      <c r="I48" s="106"/>
      <c r="J48" s="106"/>
      <c r="K48" s="106"/>
      <c r="L48" s="106"/>
      <c r="M48" s="106"/>
      <c r="N48" s="106"/>
      <c r="O48" s="262"/>
      <c r="P48" s="262"/>
      <c r="Q48" s="106"/>
      <c r="R48" s="106"/>
      <c r="S48" s="102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98"/>
      <c r="AI48" s="98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</row>
    <row r="49" spans="2:74" s="100" customFormat="1" ht="12.75">
      <c r="B49" s="127"/>
      <c r="C49" s="102"/>
      <c r="D49" s="128"/>
      <c r="E49" s="104"/>
      <c r="F49" s="129"/>
      <c r="G49" s="106"/>
      <c r="H49" s="106"/>
      <c r="I49" s="106"/>
      <c r="J49" s="106"/>
      <c r="K49" s="106"/>
      <c r="L49" s="106"/>
      <c r="M49" s="106"/>
      <c r="N49" s="106"/>
      <c r="O49" s="262"/>
      <c r="P49" s="262"/>
      <c r="Q49" s="106"/>
      <c r="R49" s="106"/>
      <c r="S49" s="102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98"/>
      <c r="AI49" s="98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</row>
    <row r="50" spans="2:74" s="71" customFormat="1" ht="12.75">
      <c r="B50" s="66" t="s">
        <v>94</v>
      </c>
      <c r="C50" s="67" t="s">
        <v>95</v>
      </c>
      <c r="D50" s="66" t="s">
        <v>96</v>
      </c>
      <c r="E50" s="68" t="s">
        <v>97</v>
      </c>
      <c r="F50" s="69" t="s">
        <v>98</v>
      </c>
      <c r="G50" s="68" t="s">
        <v>99</v>
      </c>
      <c r="H50" s="66" t="s">
        <v>100</v>
      </c>
      <c r="I50" s="67" t="s">
        <v>154</v>
      </c>
      <c r="J50" s="66" t="s">
        <v>102</v>
      </c>
      <c r="K50" s="67" t="s">
        <v>103</v>
      </c>
      <c r="L50" s="66" t="s">
        <v>104</v>
      </c>
      <c r="M50" s="67" t="s">
        <v>105</v>
      </c>
      <c r="N50" s="258" t="s">
        <v>106</v>
      </c>
      <c r="O50" s="258" t="s">
        <v>107</v>
      </c>
      <c r="P50" s="360"/>
      <c r="Q50" s="336"/>
      <c r="R50" s="336"/>
      <c r="S50" s="67" t="s">
        <v>95</v>
      </c>
      <c r="T50" s="66" t="s">
        <v>108</v>
      </c>
      <c r="U50" s="67" t="s">
        <v>109</v>
      </c>
      <c r="V50" s="66" t="s">
        <v>110</v>
      </c>
      <c r="W50" s="67" t="s">
        <v>111</v>
      </c>
      <c r="X50" s="67"/>
      <c r="Y50" s="66" t="s">
        <v>112</v>
      </c>
      <c r="Z50" s="67" t="s">
        <v>113</v>
      </c>
      <c r="AA50" s="66" t="s">
        <v>114</v>
      </c>
      <c r="AB50" s="67" t="s">
        <v>115</v>
      </c>
      <c r="AC50" s="66" t="s">
        <v>116</v>
      </c>
      <c r="AD50" s="67" t="s">
        <v>117</v>
      </c>
      <c r="AE50" s="66" t="s">
        <v>118</v>
      </c>
      <c r="AF50" s="67" t="s">
        <v>119</v>
      </c>
      <c r="AG50" s="66" t="s">
        <v>110</v>
      </c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</row>
    <row r="51" spans="2:74" s="71" customFormat="1" ht="13.5" thickBot="1">
      <c r="B51" s="72" t="s">
        <v>120</v>
      </c>
      <c r="C51" s="73"/>
      <c r="D51" s="72" t="s">
        <v>155</v>
      </c>
      <c r="E51" s="74" t="s">
        <v>330</v>
      </c>
      <c r="F51" s="75"/>
      <c r="G51" s="74">
        <v>2009</v>
      </c>
      <c r="H51" s="72" t="s">
        <v>123</v>
      </c>
      <c r="I51" s="73" t="s">
        <v>123</v>
      </c>
      <c r="J51" s="76"/>
      <c r="K51" s="77"/>
      <c r="L51" s="72" t="s">
        <v>125</v>
      </c>
      <c r="M51" s="78" t="s">
        <v>126</v>
      </c>
      <c r="N51" s="259" t="s">
        <v>127</v>
      </c>
      <c r="O51" s="361" t="s">
        <v>128</v>
      </c>
      <c r="P51" s="360"/>
      <c r="Q51" s="336"/>
      <c r="R51" s="336"/>
      <c r="S51" s="73"/>
      <c r="T51" s="72" t="s">
        <v>129</v>
      </c>
      <c r="U51" s="78" t="s">
        <v>127</v>
      </c>
      <c r="V51" s="72" t="s">
        <v>130</v>
      </c>
      <c r="W51" s="78" t="s">
        <v>131</v>
      </c>
      <c r="X51" s="78"/>
      <c r="Y51" s="72" t="s">
        <v>132</v>
      </c>
      <c r="Z51" s="78" t="s">
        <v>133</v>
      </c>
      <c r="AA51" s="72" t="s">
        <v>134</v>
      </c>
      <c r="AB51" s="78" t="s">
        <v>135</v>
      </c>
      <c r="AC51" s="72" t="s">
        <v>136</v>
      </c>
      <c r="AD51" s="78"/>
      <c r="AE51" s="72"/>
      <c r="AF51" s="78" t="s">
        <v>137</v>
      </c>
      <c r="AG51" s="72" t="s">
        <v>138</v>
      </c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</row>
    <row r="52" spans="2:74" s="86" customFormat="1" ht="12.75">
      <c r="B52" s="79">
        <v>1</v>
      </c>
      <c r="C52" s="80" t="s">
        <v>162</v>
      </c>
      <c r="D52" s="79">
        <v>1</v>
      </c>
      <c r="E52" s="81">
        <v>1796447</v>
      </c>
      <c r="F52" s="82">
        <v>0.05</v>
      </c>
      <c r="G52" s="83">
        <f>+E52*(1+F52)</f>
        <v>1886269.35</v>
      </c>
      <c r="H52" s="84">
        <f>B52*G52*12</f>
        <v>22635232.200000003</v>
      </c>
      <c r="I52" s="85"/>
      <c r="J52" s="84">
        <f>(IF(+G52&lt;=+$J$4,+$J$6,0))*12*B52</f>
        <v>0</v>
      </c>
      <c r="K52" s="83">
        <f>(IF(+G52&lt;=+$K$4,+$K$6,0))*12</f>
        <v>0</v>
      </c>
      <c r="L52" s="84">
        <f>(IF(+G52&lt;=+$L$4,(G52*0.5),(G52*0.35)))*B52</f>
        <v>660194.2725</v>
      </c>
      <c r="M52" s="83">
        <f>(SUM(H52:L52)-I52)/24</f>
        <v>970642.7696875002</v>
      </c>
      <c r="N52" s="260">
        <f>(SUM(H52:M52)-I52)/24</f>
        <v>1011086.2184244794</v>
      </c>
      <c r="O52" s="260">
        <f>(SUM(H52:N52)-I52)/12</f>
        <v>2106429.6217176653</v>
      </c>
      <c r="P52" s="260"/>
      <c r="Q52" s="83"/>
      <c r="R52" s="83"/>
      <c r="S52" s="80" t="s">
        <v>162</v>
      </c>
      <c r="T52" s="84">
        <f>H52/180</f>
        <v>125751.29000000002</v>
      </c>
      <c r="U52" s="83">
        <f>((J52+K52+L52+M52)/12)*23/30</f>
        <v>104192.36658420142</v>
      </c>
      <c r="V52" s="84">
        <f>SUM(H52:U52)</f>
        <v>27613528.73891385</v>
      </c>
      <c r="W52" s="83">
        <f>(+V52-T52-I52)*8.33/100</f>
        <v>2289731.8614945235</v>
      </c>
      <c r="X52" s="83">
        <f>W52*12%</f>
        <v>274767.8233793428</v>
      </c>
      <c r="Y52" s="84">
        <f>(+V52-O52-T52-K52)*4/100</f>
        <v>1015253.9130878474</v>
      </c>
      <c r="Z52" s="83">
        <f>(+V52-O52-T52-K52-I52)*3/100</f>
        <v>761440.4348158856</v>
      </c>
      <c r="AA52" s="84">
        <f>(+V52-O52-T52-K52-I52)*0.5/100</f>
        <v>126906.73913598093</v>
      </c>
      <c r="AB52" s="83">
        <f>+AA52</f>
        <v>126906.73913598093</v>
      </c>
      <c r="AC52" s="84">
        <f>+AB52*2</f>
        <v>253813.47827196185</v>
      </c>
      <c r="AD52" s="83">
        <f>(+H52+L52)*10.875/100</f>
        <v>2533377.6288843756</v>
      </c>
      <c r="AE52" s="84">
        <f>(+H52+L52)*8/100</f>
        <v>1863634.1178000004</v>
      </c>
      <c r="AF52" s="83">
        <f>(+H52+L52)*0.522/100</f>
        <v>121602.12618645003</v>
      </c>
      <c r="AG52" s="84">
        <f>SUM(V52:AF52)</f>
        <v>36980963.6011062</v>
      </c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</row>
    <row r="53" spans="2:74" s="89" customFormat="1" ht="12.75">
      <c r="B53" s="79">
        <v>1</v>
      </c>
      <c r="C53" s="80" t="s">
        <v>141</v>
      </c>
      <c r="D53" s="79">
        <v>2</v>
      </c>
      <c r="E53" s="81">
        <v>1530582</v>
      </c>
      <c r="F53" s="82">
        <v>0.05</v>
      </c>
      <c r="G53" s="83">
        <f>+E53*(1+F53)</f>
        <v>1607111.1</v>
      </c>
      <c r="H53" s="84">
        <f>B53*G53*12</f>
        <v>19285333.200000003</v>
      </c>
      <c r="I53" s="85"/>
      <c r="J53" s="84">
        <f>(IF(+G53&lt;=+$J$4,+$J$6,0))*12*B53</f>
        <v>0</v>
      </c>
      <c r="K53" s="83">
        <f>(IF(+G53&lt;=+$K$4,+$K$6,0))*12*B53</f>
        <v>0</v>
      </c>
      <c r="L53" s="84">
        <f>(IF(+G53&lt;=+$L$4,(G53*0.5),(G53*0.35)))*B53</f>
        <v>562488.885</v>
      </c>
      <c r="M53" s="83">
        <f>(H53+J53+K53+L53)/24</f>
        <v>826992.5868750002</v>
      </c>
      <c r="N53" s="260">
        <f>(SUM(H53:M53)-I53)/24</f>
        <v>861450.6113281251</v>
      </c>
      <c r="O53" s="260">
        <f>(SUM(H53:N53)-I53)/12</f>
        <v>1794688.7736002607</v>
      </c>
      <c r="P53" s="260"/>
      <c r="Q53" s="83"/>
      <c r="R53" s="83"/>
      <c r="S53" s="80" t="s">
        <v>141</v>
      </c>
      <c r="T53" s="84">
        <f>H53/180</f>
        <v>107140.74000000002</v>
      </c>
      <c r="U53" s="83">
        <f>((J53+K53+L53+M53)/12)*23/30</f>
        <v>88772.4273697917</v>
      </c>
      <c r="V53" s="84">
        <f>SUM(H53:U53)</f>
        <v>23526867.22417318</v>
      </c>
      <c r="W53" s="83">
        <f>(+V53-T53-I53)*8.33/100</f>
        <v>1950863.2161316262</v>
      </c>
      <c r="X53" s="83">
        <f>W53*12%</f>
        <v>234103.58593579513</v>
      </c>
      <c r="Y53" s="84">
        <f>(+V53-O53-T53-K53)*4/100</f>
        <v>865001.5084229169</v>
      </c>
      <c r="Z53" s="83">
        <f>(+V53-O53-T53-K53-I53)*3/100</f>
        <v>648751.1313171876</v>
      </c>
      <c r="AA53" s="84">
        <f>(+V53-O53-T53-K53-I53)*0.5/100</f>
        <v>108125.18855286461</v>
      </c>
      <c r="AB53" s="83">
        <f>+AA53</f>
        <v>108125.18855286461</v>
      </c>
      <c r="AC53" s="84">
        <f>+AB53*2</f>
        <v>216250.37710572922</v>
      </c>
      <c r="AD53" s="83">
        <f>(+H53+L53)*10.875/100</f>
        <v>2158450.6517437506</v>
      </c>
      <c r="AE53" s="84">
        <f>(+H53+L53)*8/100</f>
        <v>1587825.7668000003</v>
      </c>
      <c r="AF53" s="83">
        <f>(+H53+L53)*0.522/100</f>
        <v>103605.63128370002</v>
      </c>
      <c r="AG53" s="84">
        <f>SUM(V53:AF53)</f>
        <v>31507969.470019616</v>
      </c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</row>
    <row r="54" spans="2:74" s="100" customFormat="1" ht="12.75">
      <c r="B54" s="91">
        <f>SUM(B52:B53)</f>
        <v>2</v>
      </c>
      <c r="C54" s="92" t="s">
        <v>163</v>
      </c>
      <c r="D54" s="93"/>
      <c r="E54" s="94"/>
      <c r="F54" s="95"/>
      <c r="G54" s="96">
        <f aca="true" t="shared" si="30" ref="G54:AG54">SUM(G52:G53)</f>
        <v>3493380.45</v>
      </c>
      <c r="H54" s="97">
        <f t="shared" si="30"/>
        <v>41920565.400000006</v>
      </c>
      <c r="I54" s="96">
        <f t="shared" si="30"/>
        <v>0</v>
      </c>
      <c r="J54" s="97">
        <f t="shared" si="30"/>
        <v>0</v>
      </c>
      <c r="K54" s="96">
        <f t="shared" si="30"/>
        <v>0</v>
      </c>
      <c r="L54" s="97">
        <f t="shared" si="30"/>
        <v>1222683.1575</v>
      </c>
      <c r="M54" s="96">
        <f t="shared" si="30"/>
        <v>1797635.3565625004</v>
      </c>
      <c r="N54" s="261">
        <f t="shared" si="30"/>
        <v>1872536.8297526045</v>
      </c>
      <c r="O54" s="261">
        <f t="shared" si="30"/>
        <v>3901118.395317926</v>
      </c>
      <c r="P54" s="262"/>
      <c r="Q54" s="106"/>
      <c r="R54" s="106"/>
      <c r="S54" s="92" t="s">
        <v>163</v>
      </c>
      <c r="T54" s="97">
        <f t="shared" si="30"/>
        <v>232892.03000000003</v>
      </c>
      <c r="U54" s="96">
        <f t="shared" si="30"/>
        <v>192964.79395399312</v>
      </c>
      <c r="V54" s="97">
        <f t="shared" si="30"/>
        <v>51140395.96308703</v>
      </c>
      <c r="W54" s="96">
        <f t="shared" si="30"/>
        <v>4240595.07762615</v>
      </c>
      <c r="X54" s="96">
        <f t="shared" si="30"/>
        <v>508871.4093151379</v>
      </c>
      <c r="Y54" s="97">
        <f t="shared" si="30"/>
        <v>1880255.4215107644</v>
      </c>
      <c r="Z54" s="96">
        <f t="shared" si="30"/>
        <v>1410191.566133073</v>
      </c>
      <c r="AA54" s="97">
        <f t="shared" si="30"/>
        <v>235031.92768884555</v>
      </c>
      <c r="AB54" s="96">
        <f t="shared" si="30"/>
        <v>235031.92768884555</v>
      </c>
      <c r="AC54" s="97">
        <f t="shared" si="30"/>
        <v>470063.8553776911</v>
      </c>
      <c r="AD54" s="96">
        <f t="shared" si="30"/>
        <v>4691828.280628126</v>
      </c>
      <c r="AE54" s="97">
        <f t="shared" si="30"/>
        <v>3451459.8846000005</v>
      </c>
      <c r="AF54" s="96">
        <f t="shared" si="30"/>
        <v>225207.75747015004</v>
      </c>
      <c r="AG54" s="97">
        <f t="shared" si="30"/>
        <v>68488933.0711258</v>
      </c>
      <c r="AH54" s="98"/>
      <c r="AI54" s="98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</row>
    <row r="55" spans="2:74" s="112" customFormat="1" ht="12.75">
      <c r="B55" s="130"/>
      <c r="C55" s="64"/>
      <c r="D55" s="64"/>
      <c r="E55" s="110"/>
      <c r="F55" s="131"/>
      <c r="G55" s="64"/>
      <c r="H55" s="64"/>
      <c r="I55" s="64"/>
      <c r="J55" s="64"/>
      <c r="K55" s="64"/>
      <c r="L55" s="64"/>
      <c r="M55" s="64"/>
      <c r="N55" s="64"/>
      <c r="O55" s="64"/>
      <c r="P55" s="263"/>
      <c r="Q55" s="85"/>
      <c r="R55" s="85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</row>
    <row r="56" spans="2:74" s="71" customFormat="1" ht="12.75">
      <c r="B56" s="66" t="s">
        <v>94</v>
      </c>
      <c r="C56" s="67" t="s">
        <v>95</v>
      </c>
      <c r="D56" s="66" t="s">
        <v>96</v>
      </c>
      <c r="E56" s="68" t="s">
        <v>97</v>
      </c>
      <c r="F56" s="69" t="s">
        <v>98</v>
      </c>
      <c r="G56" s="68" t="s">
        <v>99</v>
      </c>
      <c r="H56" s="66" t="s">
        <v>100</v>
      </c>
      <c r="I56" s="67" t="s">
        <v>101</v>
      </c>
      <c r="J56" s="66" t="s">
        <v>102</v>
      </c>
      <c r="K56" s="67" t="s">
        <v>103</v>
      </c>
      <c r="L56" s="66" t="s">
        <v>104</v>
      </c>
      <c r="M56" s="67" t="s">
        <v>105</v>
      </c>
      <c r="N56" s="258" t="s">
        <v>106</v>
      </c>
      <c r="O56" s="66" t="s">
        <v>107</v>
      </c>
      <c r="P56" s="67"/>
      <c r="Q56" s="67"/>
      <c r="R56" s="67"/>
      <c r="S56" s="67" t="s">
        <v>95</v>
      </c>
      <c r="T56" s="66" t="s">
        <v>108</v>
      </c>
      <c r="U56" s="67" t="s">
        <v>109</v>
      </c>
      <c r="V56" s="66" t="s">
        <v>110</v>
      </c>
      <c r="W56" s="67" t="s">
        <v>111</v>
      </c>
      <c r="X56" s="303">
        <v>0.12</v>
      </c>
      <c r="Y56" s="66" t="s">
        <v>112</v>
      </c>
      <c r="Z56" s="67" t="s">
        <v>113</v>
      </c>
      <c r="AA56" s="66" t="s">
        <v>114</v>
      </c>
      <c r="AB56" s="67" t="s">
        <v>115</v>
      </c>
      <c r="AC56" s="66" t="s">
        <v>116</v>
      </c>
      <c r="AD56" s="67" t="s">
        <v>117</v>
      </c>
      <c r="AE56" s="66" t="s">
        <v>118</v>
      </c>
      <c r="AF56" s="67" t="s">
        <v>119</v>
      </c>
      <c r="AG56" s="66" t="s">
        <v>110</v>
      </c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</row>
    <row r="57" spans="2:74" s="71" customFormat="1" ht="13.5" thickBot="1">
      <c r="B57" s="72" t="s">
        <v>120</v>
      </c>
      <c r="C57" s="73"/>
      <c r="D57" s="72" t="s">
        <v>121</v>
      </c>
      <c r="E57" s="74" t="s">
        <v>330</v>
      </c>
      <c r="F57" s="75"/>
      <c r="G57" s="74">
        <v>2009</v>
      </c>
      <c r="H57" s="72" t="s">
        <v>123</v>
      </c>
      <c r="I57" s="73" t="s">
        <v>124</v>
      </c>
      <c r="J57" s="76">
        <v>37110</v>
      </c>
      <c r="K57" s="77">
        <v>53086</v>
      </c>
      <c r="L57" s="72" t="s">
        <v>125</v>
      </c>
      <c r="M57" s="78" t="s">
        <v>126</v>
      </c>
      <c r="N57" s="259" t="s">
        <v>127</v>
      </c>
      <c r="O57" s="267" t="s">
        <v>128</v>
      </c>
      <c r="P57" s="336"/>
      <c r="Q57" s="336"/>
      <c r="R57" s="336"/>
      <c r="S57" s="73"/>
      <c r="T57" s="72" t="s">
        <v>129</v>
      </c>
      <c r="U57" s="78" t="s">
        <v>127</v>
      </c>
      <c r="V57" s="72" t="s">
        <v>130</v>
      </c>
      <c r="W57" s="78" t="s">
        <v>131</v>
      </c>
      <c r="X57" s="72" t="s">
        <v>300</v>
      </c>
      <c r="Y57" s="72" t="s">
        <v>132</v>
      </c>
      <c r="Z57" s="78" t="s">
        <v>133</v>
      </c>
      <c r="AA57" s="72" t="s">
        <v>134</v>
      </c>
      <c r="AB57" s="78" t="s">
        <v>135</v>
      </c>
      <c r="AC57" s="72" t="s">
        <v>136</v>
      </c>
      <c r="AD57" s="78"/>
      <c r="AE57" s="72"/>
      <c r="AF57" s="78" t="s">
        <v>137</v>
      </c>
      <c r="AG57" s="72" t="s">
        <v>138</v>
      </c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</row>
    <row r="58" spans="2:74" s="86" customFormat="1" ht="12.75">
      <c r="B58" s="79">
        <v>1</v>
      </c>
      <c r="C58" s="80" t="s">
        <v>142</v>
      </c>
      <c r="D58" s="79">
        <v>9</v>
      </c>
      <c r="E58" s="81">
        <v>1556772</v>
      </c>
      <c r="F58" s="82">
        <v>0.05</v>
      </c>
      <c r="G58" s="83">
        <f>+E58*(1+F58)</f>
        <v>1634610.6</v>
      </c>
      <c r="H58" s="84">
        <f>B58*G58*12</f>
        <v>19615327.200000003</v>
      </c>
      <c r="I58" s="85"/>
      <c r="J58" s="84">
        <f>(IF(+G58&lt;=+$J$4,+$J$6,0))*12*B58</f>
        <v>0</v>
      </c>
      <c r="K58" s="83">
        <f>(IF(+G58&lt;=+$K$4,+$K$6,0))*12</f>
        <v>0</v>
      </c>
      <c r="L58" s="84">
        <f>(IF(+G58&lt;=+$L$4,(G58*0.5),(G58*0.35)))*B58</f>
        <v>572113.71</v>
      </c>
      <c r="M58" s="83">
        <f>(H58+J58+K58+L58)/24</f>
        <v>841143.3712500002</v>
      </c>
      <c r="N58" s="260">
        <f>(SUM(H58:M58)-I58)/24</f>
        <v>876191.0117187501</v>
      </c>
      <c r="O58" s="84">
        <f>(SUM(H58:N58)-I58)/12</f>
        <v>1825397.9410807295</v>
      </c>
      <c r="P58" s="83"/>
      <c r="Q58" s="83"/>
      <c r="R58" s="83"/>
      <c r="S58" s="80" t="s">
        <v>142</v>
      </c>
      <c r="T58" s="84">
        <f>H58/180</f>
        <v>108974.04000000002</v>
      </c>
      <c r="U58" s="83">
        <f>((J58+K58+L58+M58)/12)*23/30</f>
        <v>90291.42463541668</v>
      </c>
      <c r="V58" s="84">
        <f>SUM(H58:U58)</f>
        <v>23929438.6986849</v>
      </c>
      <c r="W58" s="83">
        <f>(+V58-T58-I58)*8.33/100</f>
        <v>1984244.7060684522</v>
      </c>
      <c r="X58" s="84">
        <f>W58*12%</f>
        <v>238109.36472821425</v>
      </c>
      <c r="Y58" s="84">
        <f>(+V58-O58-T58-K58-I58)*4/100</f>
        <v>879802.6687041669</v>
      </c>
      <c r="Z58" s="83">
        <f>(+V58-O58-T58-K58-I58)*3/100</f>
        <v>659852.0015281251</v>
      </c>
      <c r="AA58" s="84">
        <f>(+V58-O58-T58-K58-I58)*0.5/100</f>
        <v>109975.33358802086</v>
      </c>
      <c r="AB58" s="83">
        <f>+AA58</f>
        <v>109975.33358802086</v>
      </c>
      <c r="AC58" s="84">
        <f>+AB58*2</f>
        <v>219950.66717604172</v>
      </c>
      <c r="AD58" s="83">
        <f>(+H58+L58)*10.875/100</f>
        <v>2195384.1989625003</v>
      </c>
      <c r="AE58" s="84">
        <f>(+H58+L58)*8/100</f>
        <v>1614995.2728000004</v>
      </c>
      <c r="AF58" s="83">
        <f>(+H58+L58)*0.522/100</f>
        <v>105378.44155020002</v>
      </c>
      <c r="AG58" s="84">
        <f>SUM(V58:AF58)</f>
        <v>32047106.68737864</v>
      </c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2:74" s="86" customFormat="1" ht="13.5" thickBot="1">
      <c r="B59" s="79">
        <v>4</v>
      </c>
      <c r="C59" s="80" t="s">
        <v>148</v>
      </c>
      <c r="D59" s="79">
        <v>19</v>
      </c>
      <c r="E59" s="81">
        <v>562370</v>
      </c>
      <c r="F59" s="82">
        <v>0.05</v>
      </c>
      <c r="G59" s="83">
        <f>+E59*(1+F59)</f>
        <v>590488.5</v>
      </c>
      <c r="H59" s="84">
        <f>B59*G59*12</f>
        <v>28343448</v>
      </c>
      <c r="I59" s="85"/>
      <c r="J59" s="84">
        <f>(IF(+G59&lt;=+$J$4,+$J$6,0))*12*B59</f>
        <v>1781280</v>
      </c>
      <c r="K59" s="83">
        <f>(IF(+G59&lt;=+$K$4,+$K$6,0))*12*B59</f>
        <v>2548128</v>
      </c>
      <c r="L59" s="84">
        <f>(IF(+G59&lt;=+$L$4,(G59*0.5),(G59*0.35)))*B59</f>
        <v>1180977</v>
      </c>
      <c r="M59" s="83">
        <f>(H59+J59+K59+L59)/24</f>
        <v>1410576.375</v>
      </c>
      <c r="N59" s="260">
        <f>(SUM(H59:M59)-I59)/24</f>
        <v>1469350.390625</v>
      </c>
      <c r="O59" s="84">
        <f>(SUM(H59:N59)-I59)/12</f>
        <v>3061146.6471354165</v>
      </c>
      <c r="P59" s="83"/>
      <c r="Q59" s="83"/>
      <c r="R59" s="83"/>
      <c r="S59" s="80" t="s">
        <v>148</v>
      </c>
      <c r="T59" s="84">
        <f>H59/180</f>
        <v>157463.6</v>
      </c>
      <c r="U59" s="83">
        <f>((J59+K59+L59+M59)/12)*23/30</f>
        <v>442172.53229166666</v>
      </c>
      <c r="V59" s="84">
        <f>SUM(H59:U59)</f>
        <v>40394542.54505208</v>
      </c>
      <c r="W59" s="83">
        <f>(+V59-T59-I59)*8.33/100</f>
        <v>3351748.676122838</v>
      </c>
      <c r="X59" s="84">
        <f>W59*12%</f>
        <v>402209.84113474056</v>
      </c>
      <c r="Y59" s="84">
        <f>(+V59-O59-T59-K59-I59)*4/100</f>
        <v>1385112.1719166667</v>
      </c>
      <c r="Z59" s="83">
        <f>(+V59-O59-T59-K59-I59)*3/100</f>
        <v>1038834.1289375</v>
      </c>
      <c r="AA59" s="84">
        <f>(+V59-O59-T59-K59-I59)*0.5/100</f>
        <v>173139.02148958333</v>
      </c>
      <c r="AB59" s="83">
        <f>+AA59</f>
        <v>173139.02148958333</v>
      </c>
      <c r="AC59" s="84">
        <f>+AB59*2</f>
        <v>346278.04297916667</v>
      </c>
      <c r="AD59" s="83">
        <f>(+H59+L59)*10.875/100</f>
        <v>3210781.21875</v>
      </c>
      <c r="AE59" s="84">
        <f>(+H59+L59)*8/100</f>
        <v>2361954</v>
      </c>
      <c r="AF59" s="83">
        <f>(+H59+L59)*0.522/100</f>
        <v>154117.49850000002</v>
      </c>
      <c r="AG59" s="84">
        <f>SUM(V59:AF59)</f>
        <v>52991856.16637215</v>
      </c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2:74" s="86" customFormat="1" ht="13.5" hidden="1" thickBot="1">
      <c r="B60" s="79">
        <v>0</v>
      </c>
      <c r="C60" s="80" t="s">
        <v>150</v>
      </c>
      <c r="D60" s="79">
        <v>22</v>
      </c>
      <c r="E60" s="81">
        <v>260100</v>
      </c>
      <c r="F60" s="82">
        <v>0.04</v>
      </c>
      <c r="G60" s="83">
        <f>+E60*(1+F60)</f>
        <v>270504</v>
      </c>
      <c r="H60" s="84">
        <f>B60*G60*12</f>
        <v>0</v>
      </c>
      <c r="I60" s="85"/>
      <c r="J60" s="84"/>
      <c r="K60" s="83"/>
      <c r="L60" s="84">
        <f>B60*G60*0.5</f>
        <v>0</v>
      </c>
      <c r="M60" s="83">
        <f>(SUM(H60:L60)-I60)/24</f>
        <v>0</v>
      </c>
      <c r="N60" s="260">
        <f>(SUM(H60:M60)-I60)/24</f>
        <v>0</v>
      </c>
      <c r="O60" s="84">
        <f>(SUM(H60:N60)-I60)/12</f>
        <v>0</v>
      </c>
      <c r="P60" s="83"/>
      <c r="Q60" s="83"/>
      <c r="R60" s="83"/>
      <c r="S60" s="80" t="s">
        <v>150</v>
      </c>
      <c r="T60" s="84">
        <f>H60/180</f>
        <v>0</v>
      </c>
      <c r="U60" s="83">
        <f>((J60+K60+L60+M60)/12)*23/30</f>
        <v>0</v>
      </c>
      <c r="V60" s="84">
        <f>SUM(H60:U60)</f>
        <v>0</v>
      </c>
      <c r="W60" s="83">
        <f>(+V60-T60-I60)*8.33/100</f>
        <v>0</v>
      </c>
      <c r="X60" s="84"/>
      <c r="Y60" s="84">
        <f>(+V60-O60-T60-K60-I60)*4/100</f>
        <v>0</v>
      </c>
      <c r="Z60" s="83">
        <f>(+V60-O60-T60-K60-I60)*3/100</f>
        <v>0</v>
      </c>
      <c r="AA60" s="84">
        <f>(+V60-O60-T60-K60-I60)*0.5/100</f>
        <v>0</v>
      </c>
      <c r="AB60" s="83">
        <f>+AA60</f>
        <v>0</v>
      </c>
      <c r="AC60" s="84">
        <f>+AB60*2</f>
        <v>0</v>
      </c>
      <c r="AD60" s="83">
        <f>(+H60+L60)*10.875/100</f>
        <v>0</v>
      </c>
      <c r="AE60" s="84">
        <f>(+H60+L60)*8/100</f>
        <v>0</v>
      </c>
      <c r="AF60" s="83">
        <f>(+H60+L60)*0.522/100</f>
        <v>0</v>
      </c>
      <c r="AG60" s="84">
        <f>SUM(V60:AF60)</f>
        <v>0</v>
      </c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</row>
    <row r="61" spans="2:74" s="86" customFormat="1" ht="13.5" hidden="1" thickBot="1">
      <c r="B61" s="79">
        <v>0</v>
      </c>
      <c r="C61" s="80" t="s">
        <v>151</v>
      </c>
      <c r="D61" s="79" t="s">
        <v>152</v>
      </c>
      <c r="E61" s="81">
        <v>436347</v>
      </c>
      <c r="F61" s="82">
        <v>0.04</v>
      </c>
      <c r="G61" s="83">
        <f>+E61*(1+F61)</f>
        <v>453800.88</v>
      </c>
      <c r="H61" s="84">
        <f>B61*G61*12</f>
        <v>0</v>
      </c>
      <c r="I61" s="85"/>
      <c r="J61" s="84"/>
      <c r="K61" s="83"/>
      <c r="L61" s="84">
        <f>B61*G61*0.5</f>
        <v>0</v>
      </c>
      <c r="M61" s="83">
        <f>(H61+J61+K61+L61)/24</f>
        <v>0</v>
      </c>
      <c r="N61" s="260">
        <f>(SUM(H61:M61)-I61)/24</f>
        <v>0</v>
      </c>
      <c r="O61" s="84">
        <f>(SUM(H61:N61)-I61)/12</f>
        <v>0</v>
      </c>
      <c r="P61" s="83"/>
      <c r="Q61" s="83"/>
      <c r="R61" s="83"/>
      <c r="S61" s="80" t="s">
        <v>151</v>
      </c>
      <c r="T61" s="84">
        <f>H61/180</f>
        <v>0</v>
      </c>
      <c r="U61" s="83">
        <f>((J61+K61+L61+M61)/12)*23/30</f>
        <v>0</v>
      </c>
      <c r="V61" s="84">
        <f>SUM(H61:U61)</f>
        <v>0</v>
      </c>
      <c r="W61" s="83">
        <f>(+V61-T61-I61)*8.33/100</f>
        <v>0</v>
      </c>
      <c r="X61" s="84"/>
      <c r="Y61" s="84">
        <f>(+V61-O61-T61-K61)*4/100</f>
        <v>0</v>
      </c>
      <c r="Z61" s="83">
        <f>(+V61-O61-T61-K61-I61)*3/100</f>
        <v>0</v>
      </c>
      <c r="AA61" s="84">
        <f>(+V61-O61-T61-K61-I61)*0.5/100</f>
        <v>0</v>
      </c>
      <c r="AB61" s="83">
        <f>+AA61</f>
        <v>0</v>
      </c>
      <c r="AC61" s="84">
        <f>+AB61*2</f>
        <v>0</v>
      </c>
      <c r="AD61" s="83">
        <f>(+H61+L61)*10.875/100</f>
        <v>0</v>
      </c>
      <c r="AE61" s="84">
        <f>(+H61+L61)*8/100</f>
        <v>0</v>
      </c>
      <c r="AF61" s="83">
        <f>(+H61+L61)*0.522/100</f>
        <v>0</v>
      </c>
      <c r="AG61" s="84">
        <f>SUM(V61:AF61)</f>
        <v>0</v>
      </c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</row>
    <row r="62" spans="2:74" s="100" customFormat="1" ht="13.5" thickBot="1">
      <c r="B62" s="91">
        <f>SUM(B58:B61)</f>
        <v>5</v>
      </c>
      <c r="C62" s="92" t="s">
        <v>153</v>
      </c>
      <c r="D62" s="93"/>
      <c r="E62" s="96">
        <f>SUM(E58:E61)</f>
        <v>2815589</v>
      </c>
      <c r="F62" s="96"/>
      <c r="G62" s="96">
        <f aca="true" t="shared" si="31" ref="G62:O62">SUM(G58:G61)</f>
        <v>2949403.98</v>
      </c>
      <c r="H62" s="379">
        <f t="shared" si="31"/>
        <v>47958775.2</v>
      </c>
      <c r="I62" s="97">
        <f t="shared" si="31"/>
        <v>0</v>
      </c>
      <c r="J62" s="97">
        <f t="shared" si="31"/>
        <v>1781280</v>
      </c>
      <c r="K62" s="96">
        <f t="shared" si="31"/>
        <v>2548128</v>
      </c>
      <c r="L62" s="97">
        <f t="shared" si="31"/>
        <v>1753090.71</v>
      </c>
      <c r="M62" s="96">
        <f t="shared" si="31"/>
        <v>2251719.7462500003</v>
      </c>
      <c r="N62" s="261">
        <f t="shared" si="31"/>
        <v>2345541.40234375</v>
      </c>
      <c r="O62" s="266">
        <f t="shared" si="31"/>
        <v>4886544.588216146</v>
      </c>
      <c r="P62" s="106"/>
      <c r="Q62" s="106"/>
      <c r="R62" s="106"/>
      <c r="S62" s="92" t="s">
        <v>153</v>
      </c>
      <c r="T62" s="97">
        <f aca="true" t="shared" si="32" ref="T62:AG62">SUM(T58:T61)</f>
        <v>266437.64</v>
      </c>
      <c r="U62" s="96">
        <f t="shared" si="32"/>
        <v>532463.9569270833</v>
      </c>
      <c r="V62" s="97">
        <f t="shared" si="32"/>
        <v>64323981.24373698</v>
      </c>
      <c r="W62" s="96">
        <f t="shared" si="32"/>
        <v>5335993.38219129</v>
      </c>
      <c r="X62" s="96">
        <f t="shared" si="32"/>
        <v>640319.2058629548</v>
      </c>
      <c r="Y62" s="97">
        <f t="shared" si="32"/>
        <v>2264914.8406208334</v>
      </c>
      <c r="Z62" s="96">
        <f t="shared" si="32"/>
        <v>1698686.130465625</v>
      </c>
      <c r="AA62" s="97">
        <f t="shared" si="32"/>
        <v>283114.3550776042</v>
      </c>
      <c r="AB62" s="96">
        <f t="shared" si="32"/>
        <v>283114.3550776042</v>
      </c>
      <c r="AC62" s="97">
        <f t="shared" si="32"/>
        <v>566228.7101552084</v>
      </c>
      <c r="AD62" s="96">
        <f t="shared" si="32"/>
        <v>5406165.4177125</v>
      </c>
      <c r="AE62" s="97">
        <f t="shared" si="32"/>
        <v>3976949.2728000004</v>
      </c>
      <c r="AF62" s="96">
        <f t="shared" si="32"/>
        <v>259495.94005020004</v>
      </c>
      <c r="AG62" s="97">
        <f t="shared" si="32"/>
        <v>85038962.8537508</v>
      </c>
      <c r="AH62" s="98"/>
      <c r="AI62" s="98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</row>
  </sheetData>
  <printOptions/>
  <pageMargins left="0.1968503937007874" right="0.2362204724409449" top="0.6299212598425197" bottom="0.6692913385826772" header="0.5905511811023623" footer="0.3937007874015748"/>
  <pageSetup horizontalDpi="120" verticalDpi="120" orientation="landscape" paperSize="5" scale="85" r:id="rId1"/>
  <headerFooter alignWithMargins="0">
    <oddHeader>&amp;CDEPARTAMENTO DE VICHADA
ALCALDIA MUNICIPIO DE PUERTO CARREÑO
NOMINA 2007</oddHeader>
    <oddFooter>&amp;CLO DEL PUEBLO ES PARA EL PUEBLO, AYUDENME A AYUDAR
Carrera 9 No. 18-87, B El Centro; TL 0985654324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V60"/>
  <sheetViews>
    <sheetView workbookViewId="0" topLeftCell="A1">
      <selection activeCell="F54" sqref="F54"/>
    </sheetView>
  </sheetViews>
  <sheetFormatPr defaultColWidth="11.421875" defaultRowHeight="12.75"/>
  <cols>
    <col min="1" max="1" width="31.140625" style="0" customWidth="1"/>
    <col min="2" max="2" width="6.28125" style="0" customWidth="1"/>
    <col min="3" max="3" width="24.7109375" style="0" customWidth="1"/>
    <col min="4" max="4" width="8.8515625" style="0" customWidth="1"/>
    <col min="8" max="8" width="12.57421875" style="0" customWidth="1"/>
    <col min="13" max="13" width="12.57421875" style="0" bestFit="1" customWidth="1"/>
    <col min="15" max="16" width="12.8515625" style="0" customWidth="1"/>
    <col min="17" max="17" width="12.28125" style="0" customWidth="1"/>
    <col min="18" max="18" width="0.2890625" style="0" customWidth="1"/>
    <col min="19" max="19" width="17.140625" style="0" customWidth="1"/>
    <col min="20" max="20" width="10.8515625" style="0" customWidth="1"/>
    <col min="21" max="21" width="10.140625" style="0" customWidth="1"/>
    <col min="22" max="22" width="14.00390625" style="0" customWidth="1"/>
    <col min="33" max="33" width="13.57421875" style="0" bestFit="1" customWidth="1"/>
  </cols>
  <sheetData>
    <row r="1" spans="2:74" s="112" customFormat="1" ht="12.75">
      <c r="B1" s="130"/>
      <c r="C1" s="64"/>
      <c r="D1" s="64"/>
      <c r="E1" s="110"/>
      <c r="F1" s="13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</row>
    <row r="2" spans="2:74" s="112" customFormat="1" ht="12.75">
      <c r="B2" s="130"/>
      <c r="C2" s="64"/>
      <c r="D2" s="64"/>
      <c r="E2" s="110"/>
      <c r="F2" s="131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</row>
    <row r="3" spans="2:74" s="112" customFormat="1" ht="12.75">
      <c r="B3" s="130"/>
      <c r="C3" s="64"/>
      <c r="D3" s="64"/>
      <c r="E3" s="110"/>
      <c r="F3" s="131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</row>
    <row r="4" spans="2:74" s="65" customFormat="1" ht="12.75">
      <c r="B4" s="58"/>
      <c r="C4" s="58"/>
      <c r="D4" s="59"/>
      <c r="E4" s="60"/>
      <c r="F4" s="61"/>
      <c r="G4" s="58"/>
      <c r="H4" s="58"/>
      <c r="I4" s="58"/>
      <c r="J4" s="62">
        <v>993591</v>
      </c>
      <c r="K4" s="62">
        <v>867400</v>
      </c>
      <c r="L4" s="63">
        <v>995949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4"/>
      <c r="AE4" s="64"/>
      <c r="AF4" s="64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2:74" s="71" customFormat="1" ht="12.75">
      <c r="B5" s="66" t="s">
        <v>94</v>
      </c>
      <c r="C5" s="67" t="s">
        <v>95</v>
      </c>
      <c r="D5" s="66" t="s">
        <v>96</v>
      </c>
      <c r="E5" s="68" t="s">
        <v>97</v>
      </c>
      <c r="F5" s="69" t="s">
        <v>98</v>
      </c>
      <c r="G5" s="68" t="s">
        <v>99</v>
      </c>
      <c r="H5" s="66" t="s">
        <v>100</v>
      </c>
      <c r="I5" s="67" t="s">
        <v>101</v>
      </c>
      <c r="J5" s="66" t="s">
        <v>102</v>
      </c>
      <c r="K5" s="67" t="s">
        <v>103</v>
      </c>
      <c r="L5" s="66" t="s">
        <v>104</v>
      </c>
      <c r="M5" s="67" t="s">
        <v>105</v>
      </c>
      <c r="N5" s="258" t="s">
        <v>106</v>
      </c>
      <c r="O5" s="66" t="s">
        <v>107</v>
      </c>
      <c r="P5" s="67"/>
      <c r="Q5" s="67"/>
      <c r="R5" s="67"/>
      <c r="S5" s="67" t="s">
        <v>95</v>
      </c>
      <c r="T5" s="66" t="s">
        <v>108</v>
      </c>
      <c r="U5" s="67" t="s">
        <v>109</v>
      </c>
      <c r="V5" s="66" t="s">
        <v>110</v>
      </c>
      <c r="W5" s="67" t="s">
        <v>111</v>
      </c>
      <c r="X5" s="303">
        <v>0.12</v>
      </c>
      <c r="Y5" s="66" t="s">
        <v>112</v>
      </c>
      <c r="Z5" s="67" t="s">
        <v>113</v>
      </c>
      <c r="AA5" s="66" t="s">
        <v>114</v>
      </c>
      <c r="AB5" s="67" t="s">
        <v>115</v>
      </c>
      <c r="AC5" s="66" t="s">
        <v>116</v>
      </c>
      <c r="AD5" s="67" t="s">
        <v>117</v>
      </c>
      <c r="AE5" s="66" t="s">
        <v>118</v>
      </c>
      <c r="AF5" s="67" t="s">
        <v>119</v>
      </c>
      <c r="AG5" s="66" t="s">
        <v>110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</row>
    <row r="6" spans="2:74" s="71" customFormat="1" ht="13.5" thickBot="1">
      <c r="B6" s="72" t="s">
        <v>120</v>
      </c>
      <c r="C6" s="73"/>
      <c r="D6" s="72" t="s">
        <v>121</v>
      </c>
      <c r="E6" s="74" t="s">
        <v>325</v>
      </c>
      <c r="F6" s="75"/>
      <c r="G6" s="74">
        <v>2008</v>
      </c>
      <c r="H6" s="72" t="s">
        <v>123</v>
      </c>
      <c r="I6" s="73" t="s">
        <v>124</v>
      </c>
      <c r="J6" s="76">
        <v>37110</v>
      </c>
      <c r="K6" s="77">
        <v>53086</v>
      </c>
      <c r="L6" s="72" t="s">
        <v>125</v>
      </c>
      <c r="M6" s="78" t="s">
        <v>126</v>
      </c>
      <c r="N6" s="259" t="s">
        <v>127</v>
      </c>
      <c r="O6" s="267" t="s">
        <v>128</v>
      </c>
      <c r="P6" s="336"/>
      <c r="Q6" s="336"/>
      <c r="R6" s="336"/>
      <c r="S6" s="73"/>
      <c r="T6" s="72" t="s">
        <v>129</v>
      </c>
      <c r="U6" s="78" t="s">
        <v>127</v>
      </c>
      <c r="V6" s="72" t="s">
        <v>130</v>
      </c>
      <c r="W6" s="78" t="s">
        <v>131</v>
      </c>
      <c r="X6" s="72" t="s">
        <v>300</v>
      </c>
      <c r="Y6" s="72" t="s">
        <v>132</v>
      </c>
      <c r="Z6" s="78" t="s">
        <v>133</v>
      </c>
      <c r="AA6" s="72" t="s">
        <v>134</v>
      </c>
      <c r="AB6" s="78" t="s">
        <v>135</v>
      </c>
      <c r="AC6" s="72" t="s">
        <v>136</v>
      </c>
      <c r="AD6" s="78"/>
      <c r="AE6" s="72"/>
      <c r="AF6" s="78" t="s">
        <v>137</v>
      </c>
      <c r="AG6" s="72" t="s">
        <v>138</v>
      </c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</row>
    <row r="7" spans="2:74" s="86" customFormat="1" ht="12.75">
      <c r="B7" s="79">
        <v>1</v>
      </c>
      <c r="C7" s="80" t="s">
        <v>139</v>
      </c>
      <c r="D7" s="79">
        <v>1</v>
      </c>
      <c r="E7" s="81">
        <v>2289929</v>
      </c>
      <c r="F7" s="82">
        <v>0</v>
      </c>
      <c r="G7" s="83">
        <f aca="true" t="shared" si="0" ref="G7:G28">+E7*(1+F7)</f>
        <v>2289929</v>
      </c>
      <c r="H7" s="84">
        <f aca="true" t="shared" si="1" ref="H7:H28">B7*G7*12</f>
        <v>27479148</v>
      </c>
      <c r="I7" s="126">
        <f>G7*6</f>
        <v>13739574</v>
      </c>
      <c r="J7" s="84">
        <f aca="true" t="shared" si="2" ref="J7:J15">(IF(+G7&lt;=+$J$4,+$J$6,0))*12*B7</f>
        <v>0</v>
      </c>
      <c r="K7" s="83">
        <f aca="true" t="shared" si="3" ref="K7:K20">(IF(+G7&lt;=+$K$4,+$K$6,0))*12</f>
        <v>0</v>
      </c>
      <c r="L7" s="84">
        <f aca="true" t="shared" si="4" ref="L7:L15">(IF(+G7&lt;=+$L$4,(G7*0.5),(G7*0.35)))*B7</f>
        <v>801475.1499999999</v>
      </c>
      <c r="M7" s="83">
        <f>(SUM(H7:L7)-I7)/24</f>
        <v>1178359.2979166666</v>
      </c>
      <c r="N7" s="260">
        <f aca="true" t="shared" si="5" ref="N7:N28">(SUM(H7:M7)-I7)/24</f>
        <v>1227457.6019965278</v>
      </c>
      <c r="O7" s="84">
        <f aca="true" t="shared" si="6" ref="O7:O28">(SUM(H7:N7)-I7)/12</f>
        <v>2557203.337492766</v>
      </c>
      <c r="P7" s="83"/>
      <c r="Q7" s="83"/>
      <c r="R7" s="83"/>
      <c r="S7" s="80" t="s">
        <v>139</v>
      </c>
      <c r="T7" s="84">
        <f aca="true" t="shared" si="7" ref="T7:T28">H7/180</f>
        <v>152661.93333333332</v>
      </c>
      <c r="U7" s="83">
        <f aca="true" t="shared" si="8" ref="U7:U28">((J7+K7+L7+M7)/12)*23/30</f>
        <v>126489.42306134258</v>
      </c>
      <c r="V7" s="84">
        <f aca="true" t="shared" si="9" ref="V7:V28">SUM(H7:U7)</f>
        <v>47262368.743800625</v>
      </c>
      <c r="W7" s="83">
        <f aca="true" t="shared" si="10" ref="W7:W28">(+V7-T7-I7)*8.33/100</f>
        <v>2779732.0631119255</v>
      </c>
      <c r="X7" s="84">
        <f>W7*12%</f>
        <v>333567.84757343103</v>
      </c>
      <c r="Y7" s="84">
        <f>(+V7-O7-T7-K7-I7)*4/100</f>
        <v>1232517.1789189812</v>
      </c>
      <c r="Z7" s="83">
        <f aca="true" t="shared" si="11" ref="Z7:Z28">(+V7-O7-T7-K7-I7)*3/100</f>
        <v>924387.8841892359</v>
      </c>
      <c r="AA7" s="84">
        <f aca="true" t="shared" si="12" ref="AA7:AA28">(+V7-O7-T7-K7-I7)*0.5/100</f>
        <v>154064.64736487265</v>
      </c>
      <c r="AB7" s="83">
        <f aca="true" t="shared" si="13" ref="AB7:AB28">+AA7</f>
        <v>154064.64736487265</v>
      </c>
      <c r="AC7" s="84">
        <f aca="true" t="shared" si="14" ref="AC7:AC28">+AB7*2</f>
        <v>308129.2947297453</v>
      </c>
      <c r="AD7" s="83">
        <f>(+H7+L7)*10.875/100</f>
        <v>3075517.7675624997</v>
      </c>
      <c r="AE7" s="84">
        <f>(+H7+L7)*8/100</f>
        <v>2262449.852</v>
      </c>
      <c r="AF7" s="83">
        <f aca="true" t="shared" si="15" ref="AF7:AF28">(+H7+L7)*0.522/100</f>
        <v>147624.852843</v>
      </c>
      <c r="AG7" s="84">
        <f aca="true" t="shared" si="16" ref="AG7:AG28">SUM(V7:AF7)</f>
        <v>58634424.77945918</v>
      </c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</row>
    <row r="8" spans="2:74" s="86" customFormat="1" ht="12.75">
      <c r="B8" s="79">
        <v>4</v>
      </c>
      <c r="C8" s="80" t="s">
        <v>140</v>
      </c>
      <c r="D8" s="79">
        <v>2</v>
      </c>
      <c r="E8" s="81">
        <v>1787893</v>
      </c>
      <c r="F8" s="82">
        <v>0</v>
      </c>
      <c r="G8" s="83">
        <f t="shared" si="0"/>
        <v>1787893</v>
      </c>
      <c r="H8" s="84">
        <f t="shared" si="1"/>
        <v>85818864</v>
      </c>
      <c r="I8" s="85"/>
      <c r="J8" s="84">
        <f t="shared" si="2"/>
        <v>0</v>
      </c>
      <c r="K8" s="83">
        <f t="shared" si="3"/>
        <v>0</v>
      </c>
      <c r="L8" s="84">
        <f t="shared" si="4"/>
        <v>2503050.1999999997</v>
      </c>
      <c r="M8" s="83">
        <f aca="true" t="shared" si="17" ref="M8:M19">(H8+J8+K8+L8)/24</f>
        <v>3680079.7583333333</v>
      </c>
      <c r="N8" s="260">
        <f t="shared" si="5"/>
        <v>3833416.414930556</v>
      </c>
      <c r="O8" s="84">
        <f t="shared" si="6"/>
        <v>7986284.197771992</v>
      </c>
      <c r="P8" s="83"/>
      <c r="Q8" s="83"/>
      <c r="R8" s="83"/>
      <c r="S8" s="80" t="s">
        <v>140</v>
      </c>
      <c r="T8" s="84">
        <f t="shared" si="7"/>
        <v>476771.4666666667</v>
      </c>
      <c r="U8" s="83">
        <f t="shared" si="8"/>
        <v>395033.30289351847</v>
      </c>
      <c r="V8" s="84">
        <f t="shared" si="9"/>
        <v>104693499.34059608</v>
      </c>
      <c r="W8" s="83">
        <f t="shared" si="10"/>
        <v>8681253.43189832</v>
      </c>
      <c r="X8" s="84">
        <f aca="true" t="shared" si="18" ref="X8:X26">W8*12%</f>
        <v>1041750.4118277984</v>
      </c>
      <c r="Y8" s="84">
        <f aca="true" t="shared" si="19" ref="Y8:Y26">(+V8-O8-T8-K8-I8)*4/100</f>
        <v>3849217.7470462965</v>
      </c>
      <c r="Z8" s="83">
        <f t="shared" si="11"/>
        <v>2886913.3102847226</v>
      </c>
      <c r="AA8" s="84">
        <f t="shared" si="12"/>
        <v>481152.21838078706</v>
      </c>
      <c r="AB8" s="83">
        <f t="shared" si="13"/>
        <v>481152.21838078706</v>
      </c>
      <c r="AC8" s="84">
        <f t="shared" si="14"/>
        <v>962304.4367615741</v>
      </c>
      <c r="AD8" s="83">
        <f aca="true" t="shared" si="20" ref="AD8:AD28">(+H8+L8)*10.875/100</f>
        <v>9605008.16925</v>
      </c>
      <c r="AE8" s="84">
        <f aca="true" t="shared" si="21" ref="AE8:AE28">(+H8+L8)*8/100</f>
        <v>7065753.136</v>
      </c>
      <c r="AF8" s="83">
        <f t="shared" si="15"/>
        <v>461040.39212400006</v>
      </c>
      <c r="AG8" s="84">
        <f t="shared" si="16"/>
        <v>140209044.81255037</v>
      </c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</row>
    <row r="9" spans="2:74" s="86" customFormat="1" ht="12.75" hidden="1">
      <c r="B9" s="79"/>
      <c r="C9" s="80"/>
      <c r="D9" s="79">
        <v>3</v>
      </c>
      <c r="E9" s="81"/>
      <c r="F9" s="82">
        <v>0.05</v>
      </c>
      <c r="G9" s="83">
        <f>+E9*(1+F9)</f>
        <v>0</v>
      </c>
      <c r="H9" s="84">
        <f t="shared" si="1"/>
        <v>0</v>
      </c>
      <c r="I9" s="85"/>
      <c r="J9" s="84">
        <f t="shared" si="2"/>
        <v>0</v>
      </c>
      <c r="K9" s="83">
        <f t="shared" si="3"/>
        <v>637032</v>
      </c>
      <c r="L9" s="84">
        <f t="shared" si="4"/>
        <v>0</v>
      </c>
      <c r="M9" s="83">
        <f t="shared" si="17"/>
        <v>26543</v>
      </c>
      <c r="N9" s="260">
        <f>(SUM(H9:M9)-I9)/24</f>
        <v>27648.958333333332</v>
      </c>
      <c r="O9" s="84">
        <f>(SUM(H9:N9)-I9)/12</f>
        <v>57601.99652777778</v>
      </c>
      <c r="P9" s="83"/>
      <c r="Q9" s="83"/>
      <c r="R9" s="83"/>
      <c r="S9" s="80" t="s">
        <v>140</v>
      </c>
      <c r="T9" s="84">
        <f>H9/180</f>
        <v>0</v>
      </c>
      <c r="U9" s="83">
        <f>((J9+K9+L9+M9)/12)*23/30</f>
        <v>42395.069444444445</v>
      </c>
      <c r="V9" s="84">
        <f>SUM(H9:U9)</f>
        <v>791221.0243055556</v>
      </c>
      <c r="W9" s="83">
        <f>(+V9-T9-I9)*8.33/100</f>
        <v>65908.71132465279</v>
      </c>
      <c r="X9" s="84">
        <f t="shared" si="18"/>
        <v>7909.045358958334</v>
      </c>
      <c r="Y9" s="84">
        <f>(+V9-O9-T9-K9-I9)*4/100</f>
        <v>3863.481111111115</v>
      </c>
      <c r="Z9" s="83">
        <f t="shared" si="11"/>
        <v>2897.610833333336</v>
      </c>
      <c r="AA9" s="84">
        <f>(+V9-O9-T9-K9-I9)*0.5/100</f>
        <v>482.93513888888936</v>
      </c>
      <c r="AB9" s="83">
        <f t="shared" si="13"/>
        <v>482.93513888888936</v>
      </c>
      <c r="AC9" s="84">
        <f t="shared" si="14"/>
        <v>965.8702777777787</v>
      </c>
      <c r="AD9" s="83">
        <f>(+H9+L9)*10.875/100</f>
        <v>0</v>
      </c>
      <c r="AE9" s="84">
        <f>(+H9+L9)*8/100</f>
        <v>0</v>
      </c>
      <c r="AF9" s="83">
        <f>(+H9+L9)*0.522/100</f>
        <v>0</v>
      </c>
      <c r="AG9" s="84">
        <f>SUM(V9:AF9)</f>
        <v>873731.6134891667</v>
      </c>
      <c r="AH9" s="87"/>
      <c r="AI9" s="87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</row>
    <row r="10" spans="2:74" s="86" customFormat="1" ht="12.75" hidden="1">
      <c r="B10" s="79"/>
      <c r="C10" s="80"/>
      <c r="D10" s="79">
        <v>4</v>
      </c>
      <c r="E10" s="81"/>
      <c r="F10" s="82">
        <v>0.05</v>
      </c>
      <c r="G10" s="83">
        <f>+E10*(1+F10)</f>
        <v>0</v>
      </c>
      <c r="H10" s="84">
        <f t="shared" si="1"/>
        <v>0</v>
      </c>
      <c r="I10" s="85"/>
      <c r="J10" s="84">
        <f t="shared" si="2"/>
        <v>0</v>
      </c>
      <c r="K10" s="83">
        <f t="shared" si="3"/>
        <v>637032</v>
      </c>
      <c r="L10" s="84">
        <f t="shared" si="4"/>
        <v>0</v>
      </c>
      <c r="M10" s="83">
        <f t="shared" si="17"/>
        <v>26543</v>
      </c>
      <c r="N10" s="260">
        <f>(SUM(H10:M10)-I10)/24</f>
        <v>27648.958333333332</v>
      </c>
      <c r="O10" s="84">
        <f>(SUM(H10:N10)-I10)/12</f>
        <v>57601.99652777778</v>
      </c>
      <c r="P10" s="83"/>
      <c r="Q10" s="83"/>
      <c r="R10" s="83"/>
      <c r="S10" s="80" t="s">
        <v>140</v>
      </c>
      <c r="T10" s="84">
        <f>H10/180</f>
        <v>0</v>
      </c>
      <c r="U10" s="83">
        <f>((J10+K10+L10+M10)/12)*23/30</f>
        <v>42395.069444444445</v>
      </c>
      <c r="V10" s="84">
        <f>SUM(H10:U10)</f>
        <v>791221.0243055556</v>
      </c>
      <c r="W10" s="83">
        <f>(+V10-T10-I10)*8.33/100</f>
        <v>65908.71132465279</v>
      </c>
      <c r="X10" s="84">
        <f t="shared" si="18"/>
        <v>7909.045358958334</v>
      </c>
      <c r="Y10" s="84">
        <f>(+V10-O10-T10-K10-I10)*4/100</f>
        <v>3863.481111111115</v>
      </c>
      <c r="Z10" s="83">
        <f t="shared" si="11"/>
        <v>2897.610833333336</v>
      </c>
      <c r="AA10" s="84">
        <f>(+V10-O10-T10-K10-I10)*0.5/100</f>
        <v>482.93513888888936</v>
      </c>
      <c r="AB10" s="83">
        <f t="shared" si="13"/>
        <v>482.93513888888936</v>
      </c>
      <c r="AC10" s="84">
        <f t="shared" si="14"/>
        <v>965.8702777777787</v>
      </c>
      <c r="AD10" s="83">
        <f>(+H10+L10)*10.875/100</f>
        <v>0</v>
      </c>
      <c r="AE10" s="84">
        <f>(+H10+L10)*8/100</f>
        <v>0</v>
      </c>
      <c r="AF10" s="83">
        <f>(+H10+L10)*0.522/100</f>
        <v>0</v>
      </c>
      <c r="AG10" s="84">
        <f>SUM(V10:AF10)</f>
        <v>873731.6134891667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</row>
    <row r="11" spans="2:74" s="86" customFormat="1" ht="12.75" hidden="1">
      <c r="B11" s="79"/>
      <c r="C11" s="80"/>
      <c r="D11" s="79">
        <v>5</v>
      </c>
      <c r="E11" s="81"/>
      <c r="F11" s="82">
        <v>0.05</v>
      </c>
      <c r="G11" s="83">
        <f>+E11*(1+F11)</f>
        <v>0</v>
      </c>
      <c r="H11" s="84">
        <f t="shared" si="1"/>
        <v>0</v>
      </c>
      <c r="I11" s="85"/>
      <c r="J11" s="84">
        <f t="shared" si="2"/>
        <v>0</v>
      </c>
      <c r="K11" s="83">
        <f t="shared" si="3"/>
        <v>637032</v>
      </c>
      <c r="L11" s="84">
        <f t="shared" si="4"/>
        <v>0</v>
      </c>
      <c r="M11" s="83">
        <f t="shared" si="17"/>
        <v>26543</v>
      </c>
      <c r="N11" s="260">
        <f>(SUM(H11:M11)-I11)/24</f>
        <v>27648.958333333332</v>
      </c>
      <c r="O11" s="84">
        <f>(SUM(H11:N11)-I11)/12</f>
        <v>57601.99652777778</v>
      </c>
      <c r="P11" s="83"/>
      <c r="Q11" s="83"/>
      <c r="R11" s="83"/>
      <c r="S11" s="80" t="s">
        <v>140</v>
      </c>
      <c r="T11" s="84">
        <f>H11/180</f>
        <v>0</v>
      </c>
      <c r="U11" s="83">
        <f>((J11+K11+L11+M11)/12)*23/30</f>
        <v>42395.069444444445</v>
      </c>
      <c r="V11" s="84">
        <f>SUM(H11:U11)</f>
        <v>791221.0243055556</v>
      </c>
      <c r="W11" s="83">
        <f>(+V11-T11-I11)*8.33/100</f>
        <v>65908.71132465279</v>
      </c>
      <c r="X11" s="84">
        <f t="shared" si="18"/>
        <v>7909.045358958334</v>
      </c>
      <c r="Y11" s="84">
        <f>(+V11-O11-T11-K11-I11)*4/100</f>
        <v>3863.481111111115</v>
      </c>
      <c r="Z11" s="83">
        <f t="shared" si="11"/>
        <v>2897.610833333336</v>
      </c>
      <c r="AA11" s="84">
        <f>(+V11-O11-T11-K11-I11)*0.5/100</f>
        <v>482.93513888888936</v>
      </c>
      <c r="AB11" s="83">
        <f t="shared" si="13"/>
        <v>482.93513888888936</v>
      </c>
      <c r="AC11" s="84">
        <f t="shared" si="14"/>
        <v>965.8702777777787</v>
      </c>
      <c r="AD11" s="83">
        <f>(+H11+L11)*10.875/100</f>
        <v>0</v>
      </c>
      <c r="AE11" s="84">
        <f>(+H11+L11)*8/100</f>
        <v>0</v>
      </c>
      <c r="AF11" s="83">
        <f>(+H11+L11)*0.522/100</f>
        <v>0</v>
      </c>
      <c r="AG11" s="84">
        <f>SUM(V11:AF11)</f>
        <v>873731.6134891667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</row>
    <row r="12" spans="2:74" s="86" customFormat="1" ht="12.75" hidden="1">
      <c r="B12" s="79"/>
      <c r="C12" s="80"/>
      <c r="D12" s="79">
        <v>6</v>
      </c>
      <c r="E12" s="81"/>
      <c r="F12" s="82">
        <v>0.05</v>
      </c>
      <c r="G12" s="83">
        <f>+E12*(1+F12)</f>
        <v>0</v>
      </c>
      <c r="H12" s="84">
        <f t="shared" si="1"/>
        <v>0</v>
      </c>
      <c r="I12" s="85"/>
      <c r="J12" s="84">
        <f t="shared" si="2"/>
        <v>0</v>
      </c>
      <c r="K12" s="83">
        <f t="shared" si="3"/>
        <v>637032</v>
      </c>
      <c r="L12" s="84">
        <f t="shared" si="4"/>
        <v>0</v>
      </c>
      <c r="M12" s="83">
        <f t="shared" si="17"/>
        <v>26543</v>
      </c>
      <c r="N12" s="260">
        <f>(SUM(H12:M12)-I12)/24</f>
        <v>27648.958333333332</v>
      </c>
      <c r="O12" s="84">
        <f>(SUM(H12:N12)-I12)/12</f>
        <v>57601.99652777778</v>
      </c>
      <c r="P12" s="83"/>
      <c r="Q12" s="83"/>
      <c r="R12" s="83"/>
      <c r="S12" s="80" t="s">
        <v>140</v>
      </c>
      <c r="T12" s="84">
        <f>H12/180</f>
        <v>0</v>
      </c>
      <c r="U12" s="83">
        <f>((J12+K12+L12+M12)/12)*23/30</f>
        <v>42395.069444444445</v>
      </c>
      <c r="V12" s="84">
        <f>SUM(H12:U12)</f>
        <v>791221.0243055556</v>
      </c>
      <c r="W12" s="83">
        <f>(+V12-T12-I12)*8.33/100</f>
        <v>65908.71132465279</v>
      </c>
      <c r="X12" s="84">
        <f t="shared" si="18"/>
        <v>7909.045358958334</v>
      </c>
      <c r="Y12" s="84">
        <f>(+V12-O12-T12-K12-I12)*4/100</f>
        <v>3863.481111111115</v>
      </c>
      <c r="Z12" s="83">
        <f t="shared" si="11"/>
        <v>2897.610833333336</v>
      </c>
      <c r="AA12" s="84">
        <f>(+V12-O12-T12-K12-I12)*0.5/100</f>
        <v>482.93513888888936</v>
      </c>
      <c r="AB12" s="83">
        <f t="shared" si="13"/>
        <v>482.93513888888936</v>
      </c>
      <c r="AC12" s="84">
        <f t="shared" si="14"/>
        <v>965.8702777777787</v>
      </c>
      <c r="AD12" s="83">
        <f>(+H12+L12)*10.875/100</f>
        <v>0</v>
      </c>
      <c r="AE12" s="84">
        <f>(+H12+L12)*8/100</f>
        <v>0</v>
      </c>
      <c r="AF12" s="83">
        <f>(+H12+L12)*0.522/100</f>
        <v>0</v>
      </c>
      <c r="AG12" s="84">
        <f>SUM(V12:AF12)</f>
        <v>873731.6134891667</v>
      </c>
      <c r="AH12" s="87"/>
      <c r="AI12" s="87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</row>
    <row r="13" spans="2:74" s="86" customFormat="1" ht="12.75" hidden="1">
      <c r="B13" s="79"/>
      <c r="C13" s="80"/>
      <c r="D13" s="79">
        <v>7</v>
      </c>
      <c r="E13" s="81"/>
      <c r="F13" s="82">
        <v>0.05</v>
      </c>
      <c r="G13" s="83">
        <f>+E13*(1+F13)</f>
        <v>0</v>
      </c>
      <c r="H13" s="84">
        <f t="shared" si="1"/>
        <v>0</v>
      </c>
      <c r="I13" s="85"/>
      <c r="J13" s="84">
        <f t="shared" si="2"/>
        <v>0</v>
      </c>
      <c r="K13" s="83">
        <f t="shared" si="3"/>
        <v>637032</v>
      </c>
      <c r="L13" s="84">
        <f t="shared" si="4"/>
        <v>0</v>
      </c>
      <c r="M13" s="83">
        <f t="shared" si="17"/>
        <v>26543</v>
      </c>
      <c r="N13" s="260">
        <f>(SUM(H13:M13)-I13)/24</f>
        <v>27648.958333333332</v>
      </c>
      <c r="O13" s="84">
        <f>(SUM(H13:N13)-I13)/12</f>
        <v>57601.99652777778</v>
      </c>
      <c r="P13" s="83"/>
      <c r="Q13" s="83"/>
      <c r="R13" s="83"/>
      <c r="S13" s="80" t="s">
        <v>140</v>
      </c>
      <c r="T13" s="84">
        <f>H13/180</f>
        <v>0</v>
      </c>
      <c r="U13" s="83">
        <f>((J13+K13+L13+M13)/12)*23/30</f>
        <v>42395.069444444445</v>
      </c>
      <c r="V13" s="84">
        <f>SUM(H13:U13)</f>
        <v>791221.0243055556</v>
      </c>
      <c r="W13" s="83">
        <f>(+V13-T13-I13)*8.33/100</f>
        <v>65908.71132465279</v>
      </c>
      <c r="X13" s="84">
        <f t="shared" si="18"/>
        <v>7909.045358958334</v>
      </c>
      <c r="Y13" s="84">
        <f>(+V13-O13-T13-K13-I13)*4/100</f>
        <v>3863.481111111115</v>
      </c>
      <c r="Z13" s="83">
        <f t="shared" si="11"/>
        <v>2897.610833333336</v>
      </c>
      <c r="AA13" s="84">
        <f>(+V13-O13-T13-K13-I13)*0.5/100</f>
        <v>482.93513888888936</v>
      </c>
      <c r="AB13" s="83">
        <f t="shared" si="13"/>
        <v>482.93513888888936</v>
      </c>
      <c r="AC13" s="84">
        <f t="shared" si="14"/>
        <v>965.8702777777787</v>
      </c>
      <c r="AD13" s="83">
        <f>(+H13+L13)*10.875/100</f>
        <v>0</v>
      </c>
      <c r="AE13" s="84">
        <f>(+H13+L13)*8/100</f>
        <v>0</v>
      </c>
      <c r="AF13" s="83">
        <f>(+H13+L13)*0.522/100</f>
        <v>0</v>
      </c>
      <c r="AG13" s="84">
        <f>SUM(V13:AF13)</f>
        <v>873731.6134891667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</row>
    <row r="14" spans="2:74" s="86" customFormat="1" ht="12.75">
      <c r="B14" s="79">
        <v>1</v>
      </c>
      <c r="C14" s="80" t="s">
        <v>141</v>
      </c>
      <c r="D14" s="79">
        <v>8</v>
      </c>
      <c r="E14" s="81">
        <v>1523293</v>
      </c>
      <c r="F14" s="82">
        <v>0</v>
      </c>
      <c r="G14" s="83">
        <f t="shared" si="0"/>
        <v>1523293</v>
      </c>
      <c r="H14" s="84">
        <f t="shared" si="1"/>
        <v>18279516</v>
      </c>
      <c r="I14" s="85"/>
      <c r="J14" s="84">
        <f t="shared" si="2"/>
        <v>0</v>
      </c>
      <c r="K14" s="83">
        <f t="shared" si="3"/>
        <v>0</v>
      </c>
      <c r="L14" s="84">
        <f t="shared" si="4"/>
        <v>533152.5499999999</v>
      </c>
      <c r="M14" s="83">
        <f t="shared" si="17"/>
        <v>783861.1895833333</v>
      </c>
      <c r="N14" s="260">
        <f t="shared" si="5"/>
        <v>816522.072482639</v>
      </c>
      <c r="O14" s="84">
        <f t="shared" si="6"/>
        <v>1701087.651005498</v>
      </c>
      <c r="P14" s="83"/>
      <c r="Q14" s="83"/>
      <c r="R14" s="83"/>
      <c r="S14" s="80" t="s">
        <v>141</v>
      </c>
      <c r="T14" s="84">
        <f t="shared" si="7"/>
        <v>101552.86666666667</v>
      </c>
      <c r="U14" s="83">
        <f t="shared" si="8"/>
        <v>84142.54447337962</v>
      </c>
      <c r="V14" s="84">
        <f t="shared" si="9"/>
        <v>22299834.87421152</v>
      </c>
      <c r="W14" s="83">
        <f t="shared" si="10"/>
        <v>1849116.8912284863</v>
      </c>
      <c r="X14" s="84">
        <f t="shared" si="18"/>
        <v>221894.02694741834</v>
      </c>
      <c r="Y14" s="84">
        <f t="shared" si="19"/>
        <v>819887.7742615741</v>
      </c>
      <c r="Z14" s="83">
        <f t="shared" si="11"/>
        <v>614915.8306961806</v>
      </c>
      <c r="AA14" s="84">
        <f t="shared" si="12"/>
        <v>102485.97178269677</v>
      </c>
      <c r="AB14" s="83">
        <f t="shared" si="13"/>
        <v>102485.97178269677</v>
      </c>
      <c r="AC14" s="84">
        <f t="shared" si="14"/>
        <v>204971.94356539354</v>
      </c>
      <c r="AD14" s="83">
        <f t="shared" si="20"/>
        <v>2045877.7048125002</v>
      </c>
      <c r="AE14" s="84">
        <f t="shared" si="21"/>
        <v>1505013.4840000002</v>
      </c>
      <c r="AF14" s="83">
        <f t="shared" si="15"/>
        <v>98202.12983100001</v>
      </c>
      <c r="AG14" s="84">
        <f t="shared" si="16"/>
        <v>29864686.60311947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</row>
    <row r="15" spans="2:74" s="86" customFormat="1" ht="12.75">
      <c r="B15" s="79">
        <v>1</v>
      </c>
      <c r="C15" s="80" t="s">
        <v>142</v>
      </c>
      <c r="D15" s="79">
        <v>9</v>
      </c>
      <c r="E15" s="81">
        <v>1482640</v>
      </c>
      <c r="F15" s="82">
        <v>0</v>
      </c>
      <c r="G15" s="83">
        <f t="shared" si="0"/>
        <v>1482640</v>
      </c>
      <c r="H15" s="84">
        <f t="shared" si="1"/>
        <v>17791680</v>
      </c>
      <c r="I15" s="85"/>
      <c r="J15" s="84">
        <f t="shared" si="2"/>
        <v>0</v>
      </c>
      <c r="K15" s="83">
        <f t="shared" si="3"/>
        <v>0</v>
      </c>
      <c r="L15" s="84">
        <f t="shared" si="4"/>
        <v>518923.99999999994</v>
      </c>
      <c r="M15" s="83">
        <f t="shared" si="17"/>
        <v>762941.8333333334</v>
      </c>
      <c r="N15" s="260">
        <f t="shared" si="5"/>
        <v>794731.0763888889</v>
      </c>
      <c r="O15" s="84">
        <f t="shared" si="6"/>
        <v>1655689.7424768517</v>
      </c>
      <c r="P15" s="83"/>
      <c r="Q15" s="83"/>
      <c r="R15" s="83"/>
      <c r="S15" s="80" t="s">
        <v>142</v>
      </c>
      <c r="T15" s="84">
        <f t="shared" si="7"/>
        <v>98842.66666666667</v>
      </c>
      <c r="U15" s="83">
        <f t="shared" si="8"/>
        <v>81896.98379629628</v>
      </c>
      <c r="V15" s="84">
        <f t="shared" si="9"/>
        <v>21704706.302662034</v>
      </c>
      <c r="W15" s="83">
        <f t="shared" si="10"/>
        <v>1799768.4408784139</v>
      </c>
      <c r="X15" s="84">
        <f t="shared" si="18"/>
        <v>215972.21290540966</v>
      </c>
      <c r="Y15" s="84">
        <f t="shared" si="19"/>
        <v>798006.9557407406</v>
      </c>
      <c r="Z15" s="83">
        <f t="shared" si="11"/>
        <v>598505.2168055554</v>
      </c>
      <c r="AA15" s="84">
        <f t="shared" si="12"/>
        <v>99750.86946759258</v>
      </c>
      <c r="AB15" s="83">
        <f t="shared" si="13"/>
        <v>99750.86946759258</v>
      </c>
      <c r="AC15" s="84">
        <f t="shared" si="14"/>
        <v>199501.73893518516</v>
      </c>
      <c r="AD15" s="83">
        <f t="shared" si="20"/>
        <v>1991278.185</v>
      </c>
      <c r="AE15" s="84">
        <f t="shared" si="21"/>
        <v>1464848.32</v>
      </c>
      <c r="AF15" s="83">
        <f t="shared" si="15"/>
        <v>95581.35288</v>
      </c>
      <c r="AG15" s="84">
        <f t="shared" si="16"/>
        <v>29067670.464742526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</row>
    <row r="16" spans="2:74" s="86" customFormat="1" ht="12.75">
      <c r="B16" s="79">
        <v>1</v>
      </c>
      <c r="C16" s="80" t="s">
        <v>143</v>
      </c>
      <c r="D16" s="79">
        <v>10</v>
      </c>
      <c r="E16" s="81">
        <v>1112390</v>
      </c>
      <c r="F16" s="82">
        <v>0</v>
      </c>
      <c r="G16" s="83">
        <f t="shared" si="0"/>
        <v>1112390</v>
      </c>
      <c r="H16" s="84">
        <f t="shared" si="1"/>
        <v>13348680</v>
      </c>
      <c r="I16" s="85"/>
      <c r="J16" s="84"/>
      <c r="K16" s="83">
        <f t="shared" si="3"/>
        <v>0</v>
      </c>
      <c r="L16" s="84">
        <f>(IF(+G16&lt;=+$L$4,(G16*0.5),(G16*0.35)))*B16</f>
        <v>389336.5</v>
      </c>
      <c r="M16" s="83">
        <f t="shared" si="17"/>
        <v>572417.3541666666</v>
      </c>
      <c r="N16" s="260">
        <f t="shared" si="5"/>
        <v>596268.0772569444</v>
      </c>
      <c r="O16" s="84">
        <f t="shared" si="6"/>
        <v>1242225.1609519676</v>
      </c>
      <c r="P16" s="83"/>
      <c r="Q16" s="83"/>
      <c r="R16" s="83"/>
      <c r="S16" s="80" t="s">
        <v>143</v>
      </c>
      <c r="T16" s="84">
        <f t="shared" si="7"/>
        <v>74159.33333333333</v>
      </c>
      <c r="U16" s="83">
        <f t="shared" si="8"/>
        <v>61445.38512731482</v>
      </c>
      <c r="V16" s="84">
        <f t="shared" si="9"/>
        <v>16284531.810836228</v>
      </c>
      <c r="W16" s="83">
        <f t="shared" si="10"/>
        <v>1350324.027375991</v>
      </c>
      <c r="X16" s="84">
        <f t="shared" si="18"/>
        <v>162038.8832851189</v>
      </c>
      <c r="Y16" s="84">
        <f t="shared" si="19"/>
        <v>598725.892662037</v>
      </c>
      <c r="Z16" s="83">
        <f t="shared" si="11"/>
        <v>449044.41949652776</v>
      </c>
      <c r="AA16" s="84">
        <f t="shared" si="12"/>
        <v>74840.73658275463</v>
      </c>
      <c r="AB16" s="83">
        <f t="shared" si="13"/>
        <v>74840.73658275463</v>
      </c>
      <c r="AC16" s="84">
        <f t="shared" si="14"/>
        <v>149681.47316550926</v>
      </c>
      <c r="AD16" s="83">
        <f t="shared" si="20"/>
        <v>1494009.294375</v>
      </c>
      <c r="AE16" s="84">
        <f t="shared" si="21"/>
        <v>1099041.32</v>
      </c>
      <c r="AF16" s="83">
        <f t="shared" si="15"/>
        <v>71712.44613</v>
      </c>
      <c r="AG16" s="84">
        <f t="shared" si="16"/>
        <v>21808791.040491924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</row>
    <row r="17" spans="2:74" s="86" customFormat="1" ht="12.75" hidden="1">
      <c r="B17" s="79">
        <v>0</v>
      </c>
      <c r="C17" s="80" t="s">
        <v>144</v>
      </c>
      <c r="D17" s="79">
        <v>11</v>
      </c>
      <c r="E17" s="81">
        <v>720160</v>
      </c>
      <c r="F17" s="82">
        <v>0.05</v>
      </c>
      <c r="G17" s="83">
        <f>+E17*(1+F17)</f>
        <v>756168</v>
      </c>
      <c r="H17" s="84">
        <f t="shared" si="1"/>
        <v>0</v>
      </c>
      <c r="I17" s="85"/>
      <c r="J17" s="84"/>
      <c r="K17" s="83">
        <f t="shared" si="3"/>
        <v>637032</v>
      </c>
      <c r="L17" s="84">
        <f>(IF(+G17&lt;=+$L$4,(G17*0.5),(G17*0.35)))*B17</f>
        <v>0</v>
      </c>
      <c r="M17" s="83">
        <f t="shared" si="17"/>
        <v>26543</v>
      </c>
      <c r="N17" s="260">
        <f>(SUM(H17:M17)-I17)/24</f>
        <v>27648.958333333332</v>
      </c>
      <c r="O17" s="84">
        <f>(SUM(H17:N17)-I17)/12</f>
        <v>57601.99652777778</v>
      </c>
      <c r="P17" s="83"/>
      <c r="Q17" s="83"/>
      <c r="R17" s="83"/>
      <c r="S17" s="80" t="s">
        <v>143</v>
      </c>
      <c r="T17" s="84">
        <f>H17/180</f>
        <v>0</v>
      </c>
      <c r="U17" s="83">
        <f>((J17+K17+L17+M17)/12)*23/30</f>
        <v>42395.069444444445</v>
      </c>
      <c r="V17" s="84">
        <f>SUM(H17:U17)</f>
        <v>791221.0243055556</v>
      </c>
      <c r="W17" s="83">
        <f>(+V17-T17-I17)*8.33/100</f>
        <v>65908.71132465279</v>
      </c>
      <c r="X17" s="84">
        <f t="shared" si="18"/>
        <v>7909.045358958334</v>
      </c>
      <c r="Y17" s="84">
        <f>(+V17-O17-T17-K17-I17)*4/100</f>
        <v>3863.481111111115</v>
      </c>
      <c r="Z17" s="83">
        <f>(+V17-O17-T17-K17-I17)*3/100</f>
        <v>2897.610833333336</v>
      </c>
      <c r="AA17" s="84">
        <f>(+V17-O17-T17-K17-I17)*0.5/100</f>
        <v>482.93513888888936</v>
      </c>
      <c r="AB17" s="83">
        <f t="shared" si="13"/>
        <v>482.93513888888936</v>
      </c>
      <c r="AC17" s="84">
        <f t="shared" si="14"/>
        <v>965.8702777777787</v>
      </c>
      <c r="AD17" s="83">
        <f>(+H17+L17)*10.875/100</f>
        <v>0</v>
      </c>
      <c r="AE17" s="84">
        <f>(+H17+L17)*8/100</f>
        <v>0</v>
      </c>
      <c r="AF17" s="83">
        <f>(+H17+L17)*0.522/100</f>
        <v>0</v>
      </c>
      <c r="AG17" s="84">
        <f>SUM(V17:AF17)</f>
        <v>873731.6134891667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</row>
    <row r="18" spans="2:74" s="86" customFormat="1" ht="12.75" hidden="1">
      <c r="B18" s="79"/>
      <c r="C18" s="80"/>
      <c r="D18" s="79">
        <v>12</v>
      </c>
      <c r="E18" s="81"/>
      <c r="F18" s="82">
        <v>0.05</v>
      </c>
      <c r="G18" s="83">
        <f>+E18*(1+F18)</f>
        <v>0</v>
      </c>
      <c r="H18" s="84">
        <f t="shared" si="1"/>
        <v>0</v>
      </c>
      <c r="I18" s="85"/>
      <c r="J18" s="84"/>
      <c r="K18" s="83">
        <f t="shared" si="3"/>
        <v>637032</v>
      </c>
      <c r="L18" s="84">
        <f>(IF(+G18&lt;=+$L$4,(G18*0.5),(G18*0.35)))*B18</f>
        <v>0</v>
      </c>
      <c r="M18" s="83">
        <f t="shared" si="17"/>
        <v>26543</v>
      </c>
      <c r="N18" s="260">
        <f>(SUM(H18:M18)-I18)/24</f>
        <v>27648.958333333332</v>
      </c>
      <c r="O18" s="84">
        <f>(SUM(H18:N18)-I18)/12</f>
        <v>57601.99652777778</v>
      </c>
      <c r="P18" s="83"/>
      <c r="Q18" s="83"/>
      <c r="R18" s="83"/>
      <c r="S18" s="80" t="s">
        <v>143</v>
      </c>
      <c r="T18" s="84">
        <f>H18/180</f>
        <v>0</v>
      </c>
      <c r="U18" s="83">
        <f>((J18+K18+L18+M18)/12)*23/30</f>
        <v>42395.069444444445</v>
      </c>
      <c r="V18" s="84">
        <f>SUM(H18:U18)</f>
        <v>791221.0243055556</v>
      </c>
      <c r="W18" s="83">
        <f>(+V18-T18-I18)*8.33/100</f>
        <v>65908.71132465279</v>
      </c>
      <c r="X18" s="84">
        <f t="shared" si="18"/>
        <v>7909.045358958334</v>
      </c>
      <c r="Y18" s="84">
        <f>(+V18-O18-T18-K18-I18)*4/100</f>
        <v>3863.481111111115</v>
      </c>
      <c r="Z18" s="83">
        <f>(+V18-O18-T18-K18-I18)*3/100</f>
        <v>2897.610833333336</v>
      </c>
      <c r="AA18" s="84">
        <f>(+V18-O18-T18-K18-I18)*0.5/100</f>
        <v>482.93513888888936</v>
      </c>
      <c r="AB18" s="83">
        <f t="shared" si="13"/>
        <v>482.93513888888936</v>
      </c>
      <c r="AC18" s="84">
        <f t="shared" si="14"/>
        <v>965.8702777777787</v>
      </c>
      <c r="AD18" s="83">
        <f>(+H18+L18)*10.875/100</f>
        <v>0</v>
      </c>
      <c r="AE18" s="84">
        <f>(+H18+L18)*8/100</f>
        <v>0</v>
      </c>
      <c r="AF18" s="83">
        <f>(+H18+L18)*0.522/100</f>
        <v>0</v>
      </c>
      <c r="AG18" s="84">
        <f>SUM(V18:AF18)</f>
        <v>873731.6134891667</v>
      </c>
      <c r="AH18" s="87"/>
      <c r="AI18" s="87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</row>
    <row r="19" spans="2:74" s="86" customFormat="1" ht="12.75" hidden="1">
      <c r="B19" s="79"/>
      <c r="C19" s="80"/>
      <c r="D19" s="79">
        <v>13</v>
      </c>
      <c r="E19" s="81"/>
      <c r="F19" s="82">
        <v>0.05</v>
      </c>
      <c r="G19" s="83">
        <f>+E19*(1+F19)</f>
        <v>0</v>
      </c>
      <c r="H19" s="84">
        <f t="shared" si="1"/>
        <v>0</v>
      </c>
      <c r="I19" s="85"/>
      <c r="J19" s="84"/>
      <c r="K19" s="83">
        <f t="shared" si="3"/>
        <v>637032</v>
      </c>
      <c r="L19" s="84">
        <f>(IF(+G19&lt;=+$L$4,(G19*0.5),(G19*0.35)))*B19</f>
        <v>0</v>
      </c>
      <c r="M19" s="83">
        <f t="shared" si="17"/>
        <v>26543</v>
      </c>
      <c r="N19" s="260">
        <f>(SUM(H19:M19)-I19)/24</f>
        <v>27648.958333333332</v>
      </c>
      <c r="O19" s="84">
        <f>(SUM(H19:N19)-I19)/12</f>
        <v>57601.99652777778</v>
      </c>
      <c r="P19" s="83"/>
      <c r="Q19" s="83"/>
      <c r="R19" s="83"/>
      <c r="S19" s="80" t="s">
        <v>143</v>
      </c>
      <c r="T19" s="84">
        <f>H19/180</f>
        <v>0</v>
      </c>
      <c r="U19" s="83">
        <f>((J19+K19+L19+M19)/12)*23/30</f>
        <v>42395.069444444445</v>
      </c>
      <c r="V19" s="84">
        <f>SUM(H19:U19)</f>
        <v>791221.0243055556</v>
      </c>
      <c r="W19" s="83">
        <f>(+V19-T19-I19)*8.33/100</f>
        <v>65908.71132465279</v>
      </c>
      <c r="X19" s="84">
        <f t="shared" si="18"/>
        <v>7909.045358958334</v>
      </c>
      <c r="Y19" s="84">
        <f>(+V19-O19-T19-K19-I19)*4/100</f>
        <v>3863.481111111115</v>
      </c>
      <c r="Z19" s="83">
        <f>(+V19-O19-T19-K19-I19)*3/100</f>
        <v>2897.610833333336</v>
      </c>
      <c r="AA19" s="84">
        <f>(+V19-O19-T19-K19-I19)*0.5/100</f>
        <v>482.93513888888936</v>
      </c>
      <c r="AB19" s="83">
        <f t="shared" si="13"/>
        <v>482.93513888888936</v>
      </c>
      <c r="AC19" s="84">
        <f t="shared" si="14"/>
        <v>965.8702777777787</v>
      </c>
      <c r="AD19" s="83">
        <f>(+H19+L19)*10.875/100</f>
        <v>0</v>
      </c>
      <c r="AE19" s="84">
        <f>(+H19+L19)*8/100</f>
        <v>0</v>
      </c>
      <c r="AF19" s="83">
        <f>(+H19+L19)*0.522/100</f>
        <v>0</v>
      </c>
      <c r="AG19" s="84">
        <f>SUM(V19:AF19)</f>
        <v>873731.6134891667</v>
      </c>
      <c r="AH19" s="87"/>
      <c r="AI19" s="87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</row>
    <row r="20" spans="2:74" s="86" customFormat="1" ht="12.75">
      <c r="B20" s="79">
        <v>1</v>
      </c>
      <c r="C20" s="80" t="s">
        <v>145</v>
      </c>
      <c r="D20" s="88">
        <v>14</v>
      </c>
      <c r="E20" s="81">
        <v>785318</v>
      </c>
      <c r="F20" s="82">
        <v>0</v>
      </c>
      <c r="G20" s="83">
        <f t="shared" si="0"/>
        <v>785318</v>
      </c>
      <c r="H20" s="84">
        <f t="shared" si="1"/>
        <v>9423816</v>
      </c>
      <c r="I20" s="85"/>
      <c r="J20" s="84">
        <f>(IF(+G20&lt;=+$J$4,+$J$6,0))*12*B20</f>
        <v>445320</v>
      </c>
      <c r="K20" s="83">
        <f t="shared" si="3"/>
        <v>637032</v>
      </c>
      <c r="L20" s="84">
        <f>(IF(+G20&lt;=+$L$4,(G20*0.5),(G20*0.35)))*B20</f>
        <v>392659</v>
      </c>
      <c r="M20" s="83">
        <f>(SUM(H20:L20)-I20)/24</f>
        <v>454117.7916666667</v>
      </c>
      <c r="N20" s="260">
        <f t="shared" si="5"/>
        <v>473039.36631944444</v>
      </c>
      <c r="O20" s="84">
        <f t="shared" si="6"/>
        <v>985498.6798321758</v>
      </c>
      <c r="P20" s="83"/>
      <c r="Q20" s="83"/>
      <c r="R20" s="83"/>
      <c r="S20" s="80" t="s">
        <v>145</v>
      </c>
      <c r="T20" s="84">
        <f t="shared" si="7"/>
        <v>52354.53333333333</v>
      </c>
      <c r="U20" s="83">
        <f t="shared" si="8"/>
        <v>123249.89502314817</v>
      </c>
      <c r="V20" s="84">
        <f t="shared" si="9"/>
        <v>12987087.266174767</v>
      </c>
      <c r="W20" s="83">
        <f t="shared" si="10"/>
        <v>1077463.2366456913</v>
      </c>
      <c r="X20" s="84">
        <f t="shared" si="18"/>
        <v>129295.58839748295</v>
      </c>
      <c r="Y20" s="84">
        <f t="shared" si="19"/>
        <v>452488.08212037035</v>
      </c>
      <c r="Z20" s="83">
        <f t="shared" si="11"/>
        <v>339366.06159027776</v>
      </c>
      <c r="AA20" s="84">
        <f t="shared" si="12"/>
        <v>56561.010265046294</v>
      </c>
      <c r="AB20" s="83">
        <f t="shared" si="13"/>
        <v>56561.010265046294</v>
      </c>
      <c r="AC20" s="84">
        <f t="shared" si="14"/>
        <v>113122.02053009259</v>
      </c>
      <c r="AD20" s="83">
        <f t="shared" si="20"/>
        <v>1067541.65625</v>
      </c>
      <c r="AE20" s="84">
        <f t="shared" si="21"/>
        <v>785318</v>
      </c>
      <c r="AF20" s="83">
        <f t="shared" si="15"/>
        <v>51241.999500000005</v>
      </c>
      <c r="AG20" s="84">
        <f t="shared" si="16"/>
        <v>17116045.931738775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</row>
    <row r="21" spans="2:74" s="86" customFormat="1" ht="12.75" hidden="1">
      <c r="B21" s="79"/>
      <c r="C21" s="80"/>
      <c r="D21" s="79">
        <v>15</v>
      </c>
      <c r="E21" s="81"/>
      <c r="F21" s="82">
        <v>0.05</v>
      </c>
      <c r="G21" s="83">
        <f t="shared" si="0"/>
        <v>0</v>
      </c>
      <c r="H21" s="84">
        <f t="shared" si="1"/>
        <v>0</v>
      </c>
      <c r="I21" s="85"/>
      <c r="J21" s="84"/>
      <c r="K21" s="83">
        <f aca="true" t="shared" si="22" ref="K21:K26">(IF(+G21&lt;=+$K$4,+$K$6,0))*12*B21</f>
        <v>0</v>
      </c>
      <c r="L21" s="84">
        <f>B21*G21*0.5</f>
        <v>0</v>
      </c>
      <c r="M21" s="83">
        <f>(SUM(H21:L21)-I21)/24</f>
        <v>0</v>
      </c>
      <c r="N21" s="260">
        <f t="shared" si="5"/>
        <v>0</v>
      </c>
      <c r="O21" s="84">
        <f t="shared" si="6"/>
        <v>0</v>
      </c>
      <c r="P21" s="83"/>
      <c r="Q21" s="83"/>
      <c r="R21" s="83"/>
      <c r="S21" s="80"/>
      <c r="T21" s="84">
        <f t="shared" si="7"/>
        <v>0</v>
      </c>
      <c r="U21" s="83">
        <f t="shared" si="8"/>
        <v>0</v>
      </c>
      <c r="V21" s="84">
        <f t="shared" si="9"/>
        <v>0</v>
      </c>
      <c r="W21" s="83">
        <f t="shared" si="10"/>
        <v>0</v>
      </c>
      <c r="X21" s="84">
        <f t="shared" si="18"/>
        <v>0</v>
      </c>
      <c r="Y21" s="84">
        <f t="shared" si="19"/>
        <v>0</v>
      </c>
      <c r="Z21" s="83">
        <f t="shared" si="11"/>
        <v>0</v>
      </c>
      <c r="AA21" s="84">
        <f t="shared" si="12"/>
        <v>0</v>
      </c>
      <c r="AB21" s="83">
        <f t="shared" si="13"/>
        <v>0</v>
      </c>
      <c r="AC21" s="84">
        <f t="shared" si="14"/>
        <v>0</v>
      </c>
      <c r="AD21" s="83">
        <f t="shared" si="20"/>
        <v>0</v>
      </c>
      <c r="AE21" s="84">
        <f t="shared" si="21"/>
        <v>0</v>
      </c>
      <c r="AF21" s="83">
        <f t="shared" si="15"/>
        <v>0</v>
      </c>
      <c r="AG21" s="84">
        <f t="shared" si="16"/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</row>
    <row r="22" spans="2:74" s="86" customFormat="1" ht="12.75" hidden="1">
      <c r="B22" s="79">
        <v>0</v>
      </c>
      <c r="C22" s="80" t="s">
        <v>146</v>
      </c>
      <c r="D22" s="79">
        <v>16</v>
      </c>
      <c r="E22" s="81">
        <v>430000</v>
      </c>
      <c r="F22" s="82">
        <v>0.05</v>
      </c>
      <c r="G22" s="83">
        <f t="shared" si="0"/>
        <v>451500</v>
      </c>
      <c r="H22" s="84">
        <f t="shared" si="1"/>
        <v>0</v>
      </c>
      <c r="I22" s="85"/>
      <c r="J22" s="84"/>
      <c r="K22" s="83">
        <f t="shared" si="22"/>
        <v>0</v>
      </c>
      <c r="L22" s="84">
        <f>B22*G22*0.5</f>
        <v>0</v>
      </c>
      <c r="M22" s="83">
        <f>(SUM(H22:L22)-I22)/24</f>
        <v>0</v>
      </c>
      <c r="N22" s="260">
        <f t="shared" si="5"/>
        <v>0</v>
      </c>
      <c r="O22" s="84">
        <f t="shared" si="6"/>
        <v>0</v>
      </c>
      <c r="P22" s="83"/>
      <c r="Q22" s="83"/>
      <c r="R22" s="83"/>
      <c r="S22" s="80" t="s">
        <v>146</v>
      </c>
      <c r="T22" s="84">
        <f t="shared" si="7"/>
        <v>0</v>
      </c>
      <c r="U22" s="83">
        <f t="shared" si="8"/>
        <v>0</v>
      </c>
      <c r="V22" s="84">
        <f t="shared" si="9"/>
        <v>0</v>
      </c>
      <c r="W22" s="83">
        <f t="shared" si="10"/>
        <v>0</v>
      </c>
      <c r="X22" s="84">
        <f t="shared" si="18"/>
        <v>0</v>
      </c>
      <c r="Y22" s="84">
        <f t="shared" si="19"/>
        <v>0</v>
      </c>
      <c r="Z22" s="83">
        <f t="shared" si="11"/>
        <v>0</v>
      </c>
      <c r="AA22" s="84">
        <f t="shared" si="12"/>
        <v>0</v>
      </c>
      <c r="AB22" s="83">
        <f t="shared" si="13"/>
        <v>0</v>
      </c>
      <c r="AC22" s="84">
        <f t="shared" si="14"/>
        <v>0</v>
      </c>
      <c r="AD22" s="83">
        <f t="shared" si="20"/>
        <v>0</v>
      </c>
      <c r="AE22" s="84">
        <f t="shared" si="21"/>
        <v>0</v>
      </c>
      <c r="AF22" s="83">
        <f t="shared" si="15"/>
        <v>0</v>
      </c>
      <c r="AG22" s="84">
        <f t="shared" si="16"/>
        <v>0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</row>
    <row r="23" spans="2:74" s="86" customFormat="1" ht="12.75" hidden="1">
      <c r="B23" s="79"/>
      <c r="C23" s="80"/>
      <c r="D23" s="79">
        <v>17</v>
      </c>
      <c r="E23" s="81"/>
      <c r="F23" s="82">
        <v>0.05</v>
      </c>
      <c r="G23" s="83">
        <f t="shared" si="0"/>
        <v>0</v>
      </c>
      <c r="H23" s="84">
        <f t="shared" si="1"/>
        <v>0</v>
      </c>
      <c r="I23" s="85"/>
      <c r="J23" s="84"/>
      <c r="K23" s="83">
        <f t="shared" si="22"/>
        <v>0</v>
      </c>
      <c r="L23" s="84">
        <f>B23*G23*0.5</f>
        <v>0</v>
      </c>
      <c r="M23" s="83">
        <f>(SUM(H23:L23)-I23)/24</f>
        <v>0</v>
      </c>
      <c r="N23" s="260">
        <f t="shared" si="5"/>
        <v>0</v>
      </c>
      <c r="O23" s="84">
        <f t="shared" si="6"/>
        <v>0</v>
      </c>
      <c r="P23" s="83"/>
      <c r="Q23" s="83"/>
      <c r="R23" s="83"/>
      <c r="S23" s="80"/>
      <c r="T23" s="84">
        <f t="shared" si="7"/>
        <v>0</v>
      </c>
      <c r="U23" s="83">
        <f t="shared" si="8"/>
        <v>0</v>
      </c>
      <c r="V23" s="84">
        <f t="shared" si="9"/>
        <v>0</v>
      </c>
      <c r="W23" s="83">
        <f t="shared" si="10"/>
        <v>0</v>
      </c>
      <c r="X23" s="84">
        <f t="shared" si="18"/>
        <v>0</v>
      </c>
      <c r="Y23" s="84">
        <f t="shared" si="19"/>
        <v>0</v>
      </c>
      <c r="Z23" s="83">
        <f t="shared" si="11"/>
        <v>0</v>
      </c>
      <c r="AA23" s="84">
        <f t="shared" si="12"/>
        <v>0</v>
      </c>
      <c r="AB23" s="83">
        <f t="shared" si="13"/>
        <v>0</v>
      </c>
      <c r="AC23" s="84">
        <f t="shared" si="14"/>
        <v>0</v>
      </c>
      <c r="AD23" s="83">
        <f t="shared" si="20"/>
        <v>0</v>
      </c>
      <c r="AE23" s="84">
        <f t="shared" si="21"/>
        <v>0</v>
      </c>
      <c r="AF23" s="83">
        <f t="shared" si="15"/>
        <v>0</v>
      </c>
      <c r="AG23" s="84">
        <f t="shared" si="16"/>
        <v>0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</row>
    <row r="24" spans="2:74" s="89" customFormat="1" ht="12.75">
      <c r="B24" s="79">
        <v>6</v>
      </c>
      <c r="C24" s="80" t="s">
        <v>147</v>
      </c>
      <c r="D24" s="79">
        <v>18</v>
      </c>
      <c r="E24" s="81">
        <v>639209</v>
      </c>
      <c r="F24" s="82">
        <v>0</v>
      </c>
      <c r="G24" s="83">
        <f t="shared" si="0"/>
        <v>639209</v>
      </c>
      <c r="H24" s="84">
        <f t="shared" si="1"/>
        <v>46023048</v>
      </c>
      <c r="I24" s="85"/>
      <c r="J24" s="84">
        <f>(IF(+G24&lt;=+$J$4,+$J$6,0))*12*B24</f>
        <v>2671920</v>
      </c>
      <c r="K24" s="83">
        <f t="shared" si="22"/>
        <v>3822192</v>
      </c>
      <c r="L24" s="84">
        <f>(IF(+G24&lt;=+$L$4,(G24*0.5),(G24*0.35)))*B24</f>
        <v>1917627</v>
      </c>
      <c r="M24" s="83">
        <f>(H24+J24+K24+L24)/24</f>
        <v>2268116.125</v>
      </c>
      <c r="N24" s="260">
        <f t="shared" si="5"/>
        <v>2362620.9635416665</v>
      </c>
      <c r="O24" s="84">
        <f t="shared" si="6"/>
        <v>4922127.007378472</v>
      </c>
      <c r="P24" s="83"/>
      <c r="Q24" s="83"/>
      <c r="R24" s="83"/>
      <c r="S24" s="80" t="s">
        <v>147</v>
      </c>
      <c r="T24" s="84">
        <f t="shared" si="7"/>
        <v>255683.6</v>
      </c>
      <c r="U24" s="83">
        <f t="shared" si="8"/>
        <v>682324.0774305556</v>
      </c>
      <c r="V24" s="84">
        <f t="shared" si="9"/>
        <v>64925658.77335069</v>
      </c>
      <c r="W24" s="83">
        <f t="shared" si="10"/>
        <v>5387008.931940112</v>
      </c>
      <c r="X24" s="84">
        <f t="shared" si="18"/>
        <v>646441.0718328134</v>
      </c>
      <c r="Y24" s="84">
        <f t="shared" si="19"/>
        <v>2237026.2466388885</v>
      </c>
      <c r="Z24" s="83">
        <f t="shared" si="11"/>
        <v>1677769.6849791664</v>
      </c>
      <c r="AA24" s="84">
        <f t="shared" si="12"/>
        <v>279628.28082986106</v>
      </c>
      <c r="AB24" s="83">
        <f t="shared" si="13"/>
        <v>279628.28082986106</v>
      </c>
      <c r="AC24" s="84">
        <f t="shared" si="14"/>
        <v>559256.5616597221</v>
      </c>
      <c r="AD24" s="83">
        <f t="shared" si="20"/>
        <v>5213548.40625</v>
      </c>
      <c r="AE24" s="84">
        <f t="shared" si="21"/>
        <v>3835254</v>
      </c>
      <c r="AF24" s="83">
        <f t="shared" si="15"/>
        <v>250250.32350000003</v>
      </c>
      <c r="AG24" s="84">
        <f t="shared" si="16"/>
        <v>85291470.56181115</v>
      </c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</row>
    <row r="25" spans="2:74" s="86" customFormat="1" ht="12.75">
      <c r="B25" s="79">
        <v>4</v>
      </c>
      <c r="C25" s="80" t="s">
        <v>148</v>
      </c>
      <c r="D25" s="79">
        <v>19</v>
      </c>
      <c r="E25" s="81">
        <v>535590</v>
      </c>
      <c r="F25" s="82">
        <v>0</v>
      </c>
      <c r="G25" s="83">
        <f t="shared" si="0"/>
        <v>535590</v>
      </c>
      <c r="H25" s="84">
        <f t="shared" si="1"/>
        <v>25708320</v>
      </c>
      <c r="I25" s="85"/>
      <c r="J25" s="84">
        <f>(IF(+G25&lt;=+$J$4,+$J$6,0))*12*B25</f>
        <v>1781280</v>
      </c>
      <c r="K25" s="83">
        <f t="shared" si="22"/>
        <v>2548128</v>
      </c>
      <c r="L25" s="84">
        <f>(IF(+G25&lt;=+$L$4,(G25*0.5),(G25*0.35)))*B25</f>
        <v>1071180</v>
      </c>
      <c r="M25" s="83">
        <f>(H25+J25+K25+L25)/24</f>
        <v>1296204.5</v>
      </c>
      <c r="N25" s="260">
        <f t="shared" si="5"/>
        <v>1350213.0208333333</v>
      </c>
      <c r="O25" s="84">
        <f t="shared" si="6"/>
        <v>2812943.793402778</v>
      </c>
      <c r="P25" s="83"/>
      <c r="Q25" s="83"/>
      <c r="R25" s="83"/>
      <c r="S25" s="80" t="s">
        <v>148</v>
      </c>
      <c r="T25" s="84">
        <f t="shared" si="7"/>
        <v>142824</v>
      </c>
      <c r="U25" s="83">
        <f t="shared" si="8"/>
        <v>427850.6319444444</v>
      </c>
      <c r="V25" s="84">
        <f t="shared" si="9"/>
        <v>37138943.94618056</v>
      </c>
      <c r="W25" s="83">
        <f t="shared" si="10"/>
        <v>3081776.7915168405</v>
      </c>
      <c r="X25" s="84">
        <f t="shared" si="18"/>
        <v>369813.21498202084</v>
      </c>
      <c r="Y25" s="84">
        <f t="shared" si="19"/>
        <v>1265401.9261111114</v>
      </c>
      <c r="Z25" s="83">
        <f t="shared" si="11"/>
        <v>949051.4445833334</v>
      </c>
      <c r="AA25" s="84">
        <f t="shared" si="12"/>
        <v>158175.24076388893</v>
      </c>
      <c r="AB25" s="83">
        <f t="shared" si="13"/>
        <v>158175.24076388893</v>
      </c>
      <c r="AC25" s="84">
        <f t="shared" si="14"/>
        <v>316350.48152777785</v>
      </c>
      <c r="AD25" s="83">
        <f t="shared" si="20"/>
        <v>2912270.625</v>
      </c>
      <c r="AE25" s="84">
        <f t="shared" si="21"/>
        <v>2142360</v>
      </c>
      <c r="AF25" s="83">
        <f t="shared" si="15"/>
        <v>139788.99</v>
      </c>
      <c r="AG25" s="84">
        <f t="shared" si="16"/>
        <v>48632107.901429415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</row>
    <row r="26" spans="2:74" s="86" customFormat="1" ht="13.5" thickBot="1">
      <c r="B26" s="79">
        <v>2</v>
      </c>
      <c r="C26" s="80" t="s">
        <v>149</v>
      </c>
      <c r="D26" s="79">
        <v>21</v>
      </c>
      <c r="E26" s="81">
        <v>494542</v>
      </c>
      <c r="F26" s="82">
        <v>0</v>
      </c>
      <c r="G26" s="83">
        <f t="shared" si="0"/>
        <v>494542</v>
      </c>
      <c r="H26" s="84">
        <f t="shared" si="1"/>
        <v>11869008</v>
      </c>
      <c r="I26" s="85"/>
      <c r="J26" s="84">
        <f>(IF(+G26&lt;=+$J$4,+$J$6,0))*12*B26</f>
        <v>890640</v>
      </c>
      <c r="K26" s="83">
        <f t="shared" si="22"/>
        <v>1274064</v>
      </c>
      <c r="L26" s="84">
        <f>(IF(+G26&lt;=+$L$4,(G26*0.5),(G26*0.35)))*B26</f>
        <v>494542</v>
      </c>
      <c r="M26" s="83">
        <f>(H26+J26+K26+L26)/24</f>
        <v>605343.9166666666</v>
      </c>
      <c r="N26" s="260">
        <f t="shared" si="5"/>
        <v>630566.5798611111</v>
      </c>
      <c r="O26" s="84">
        <f t="shared" si="6"/>
        <v>1313680.374710648</v>
      </c>
      <c r="P26" s="83"/>
      <c r="Q26" s="83"/>
      <c r="R26" s="83"/>
      <c r="S26" s="80" t="s">
        <v>149</v>
      </c>
      <c r="T26" s="90">
        <f t="shared" si="7"/>
        <v>65938.93333333333</v>
      </c>
      <c r="U26" s="83">
        <f t="shared" si="8"/>
        <v>208571.02245370366</v>
      </c>
      <c r="V26" s="84">
        <f t="shared" si="9"/>
        <v>17352354.827025462</v>
      </c>
      <c r="W26" s="83">
        <f t="shared" si="10"/>
        <v>1439958.4439445543</v>
      </c>
      <c r="X26" s="84">
        <f t="shared" si="18"/>
        <v>172795.0132733465</v>
      </c>
      <c r="Y26" s="84">
        <f t="shared" si="19"/>
        <v>587946.8607592592</v>
      </c>
      <c r="Z26" s="83">
        <f t="shared" si="11"/>
        <v>440960.14556944446</v>
      </c>
      <c r="AA26" s="84">
        <f t="shared" si="12"/>
        <v>73493.3575949074</v>
      </c>
      <c r="AB26" s="83">
        <f t="shared" si="13"/>
        <v>73493.3575949074</v>
      </c>
      <c r="AC26" s="84">
        <f t="shared" si="14"/>
        <v>146986.7151898148</v>
      </c>
      <c r="AD26" s="83">
        <f t="shared" si="20"/>
        <v>1344536.0625</v>
      </c>
      <c r="AE26" s="84">
        <f t="shared" si="21"/>
        <v>989084</v>
      </c>
      <c r="AF26" s="83">
        <f t="shared" si="15"/>
        <v>64537.73100000001</v>
      </c>
      <c r="AG26" s="84">
        <f t="shared" si="16"/>
        <v>22686146.514451694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</row>
    <row r="27" spans="2:74" s="86" customFormat="1" ht="13.5" hidden="1" thickBot="1">
      <c r="B27" s="79">
        <v>0</v>
      </c>
      <c r="C27" s="80" t="s">
        <v>150</v>
      </c>
      <c r="D27" s="79">
        <v>22</v>
      </c>
      <c r="E27" s="81">
        <v>260100</v>
      </c>
      <c r="F27" s="82">
        <v>0.04</v>
      </c>
      <c r="G27" s="83">
        <f t="shared" si="0"/>
        <v>270504</v>
      </c>
      <c r="H27" s="84">
        <f t="shared" si="1"/>
        <v>0</v>
      </c>
      <c r="I27" s="85"/>
      <c r="J27" s="84"/>
      <c r="K27" s="83"/>
      <c r="L27" s="84">
        <f>B27*G27*0.5</f>
        <v>0</v>
      </c>
      <c r="M27" s="83">
        <f>(SUM(H27:L27)-I27)/24</f>
        <v>0</v>
      </c>
      <c r="N27" s="260">
        <f t="shared" si="5"/>
        <v>0</v>
      </c>
      <c r="O27" s="84">
        <f t="shared" si="6"/>
        <v>0</v>
      </c>
      <c r="P27" s="83"/>
      <c r="Q27" s="83"/>
      <c r="R27" s="83"/>
      <c r="S27" s="80" t="s">
        <v>150</v>
      </c>
      <c r="T27" s="84">
        <f t="shared" si="7"/>
        <v>0</v>
      </c>
      <c r="U27" s="83">
        <f t="shared" si="8"/>
        <v>0</v>
      </c>
      <c r="V27" s="84">
        <f t="shared" si="9"/>
        <v>0</v>
      </c>
      <c r="W27" s="83">
        <f t="shared" si="10"/>
        <v>0</v>
      </c>
      <c r="X27" s="84"/>
      <c r="Y27" s="84">
        <f>(+V27-O27-T27-K27-I27)*4/100</f>
        <v>0</v>
      </c>
      <c r="Z27" s="83">
        <f t="shared" si="11"/>
        <v>0</v>
      </c>
      <c r="AA27" s="84">
        <f t="shared" si="12"/>
        <v>0</v>
      </c>
      <c r="AB27" s="83">
        <f t="shared" si="13"/>
        <v>0</v>
      </c>
      <c r="AC27" s="84">
        <f t="shared" si="14"/>
        <v>0</v>
      </c>
      <c r="AD27" s="83">
        <f t="shared" si="20"/>
        <v>0</v>
      </c>
      <c r="AE27" s="84">
        <f t="shared" si="21"/>
        <v>0</v>
      </c>
      <c r="AF27" s="83">
        <f t="shared" si="15"/>
        <v>0</v>
      </c>
      <c r="AG27" s="84">
        <f t="shared" si="16"/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</row>
    <row r="28" spans="2:74" s="86" customFormat="1" ht="13.5" hidden="1" thickBot="1">
      <c r="B28" s="79">
        <v>0</v>
      </c>
      <c r="C28" s="80" t="s">
        <v>151</v>
      </c>
      <c r="D28" s="79" t="s">
        <v>152</v>
      </c>
      <c r="E28" s="81">
        <v>436347</v>
      </c>
      <c r="F28" s="82">
        <v>0.04</v>
      </c>
      <c r="G28" s="83">
        <f t="shared" si="0"/>
        <v>453800.88</v>
      </c>
      <c r="H28" s="84">
        <f t="shared" si="1"/>
        <v>0</v>
      </c>
      <c r="I28" s="85"/>
      <c r="J28" s="84"/>
      <c r="K28" s="83"/>
      <c r="L28" s="84">
        <f>B28*G28*0.5</f>
        <v>0</v>
      </c>
      <c r="M28" s="83">
        <f>(H28+J28+K28+L28)/24</f>
        <v>0</v>
      </c>
      <c r="N28" s="260">
        <f t="shared" si="5"/>
        <v>0</v>
      </c>
      <c r="O28" s="84">
        <f t="shared" si="6"/>
        <v>0</v>
      </c>
      <c r="P28" s="83"/>
      <c r="Q28" s="83"/>
      <c r="R28" s="83"/>
      <c r="S28" s="80" t="s">
        <v>151</v>
      </c>
      <c r="T28" s="84">
        <f t="shared" si="7"/>
        <v>0</v>
      </c>
      <c r="U28" s="83">
        <f t="shared" si="8"/>
        <v>0</v>
      </c>
      <c r="V28" s="84">
        <f t="shared" si="9"/>
        <v>0</v>
      </c>
      <c r="W28" s="83">
        <f t="shared" si="10"/>
        <v>0</v>
      </c>
      <c r="X28" s="84"/>
      <c r="Y28" s="84">
        <f>(+V28-O28-T28-K28)*4/100</f>
        <v>0</v>
      </c>
      <c r="Z28" s="83">
        <f t="shared" si="11"/>
        <v>0</v>
      </c>
      <c r="AA28" s="84">
        <f t="shared" si="12"/>
        <v>0</v>
      </c>
      <c r="AB28" s="83">
        <f t="shared" si="13"/>
        <v>0</v>
      </c>
      <c r="AC28" s="84">
        <f t="shared" si="14"/>
        <v>0</v>
      </c>
      <c r="AD28" s="83">
        <f t="shared" si="20"/>
        <v>0</v>
      </c>
      <c r="AE28" s="84">
        <f t="shared" si="21"/>
        <v>0</v>
      </c>
      <c r="AF28" s="83">
        <f t="shared" si="15"/>
        <v>0</v>
      </c>
      <c r="AG28" s="84">
        <f t="shared" si="16"/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2:74" s="100" customFormat="1" ht="13.5" thickBot="1">
      <c r="B29" s="91">
        <f>SUM(B7:B28)</f>
        <v>21</v>
      </c>
      <c r="C29" s="92" t="s">
        <v>153</v>
      </c>
      <c r="D29" s="93"/>
      <c r="E29" s="96">
        <f>SUM(E7:E28)</f>
        <v>12497411</v>
      </c>
      <c r="F29" s="96"/>
      <c r="G29" s="96">
        <f aca="true" t="shared" si="23" ref="G29:O29">SUM(G7:G28)</f>
        <v>12582776.88</v>
      </c>
      <c r="H29" s="97">
        <f t="shared" si="23"/>
        <v>255742080</v>
      </c>
      <c r="I29" s="97">
        <f t="shared" si="23"/>
        <v>13739574</v>
      </c>
      <c r="J29" s="97">
        <f t="shared" si="23"/>
        <v>5789160</v>
      </c>
      <c r="K29" s="96">
        <f t="shared" si="23"/>
        <v>13377672</v>
      </c>
      <c r="L29" s="97">
        <f t="shared" si="23"/>
        <v>8621946.399999999</v>
      </c>
      <c r="M29" s="96">
        <f t="shared" si="23"/>
        <v>11813785.766666668</v>
      </c>
      <c r="N29" s="261">
        <f t="shared" si="23"/>
        <v>12306026.840277776</v>
      </c>
      <c r="O29" s="266">
        <f t="shared" si="23"/>
        <v>25637555.917245373</v>
      </c>
      <c r="P29" s="106"/>
      <c r="Q29" s="106"/>
      <c r="R29" s="106"/>
      <c r="S29" s="92" t="s">
        <v>153</v>
      </c>
      <c r="T29" s="97">
        <f aca="true" t="shared" si="24" ref="T29:AG29">SUM(T7:T28)</f>
        <v>1420789.3333333335</v>
      </c>
      <c r="U29" s="96">
        <f t="shared" si="24"/>
        <v>2530163.8217592593</v>
      </c>
      <c r="V29" s="97">
        <f t="shared" si="24"/>
        <v>350978754.07928246</v>
      </c>
      <c r="W29" s="96">
        <f t="shared" si="24"/>
        <v>27973671.94913756</v>
      </c>
      <c r="X29" s="96">
        <f t="shared" si="24"/>
        <v>3356840.6338965073</v>
      </c>
      <c r="Y29" s="97">
        <f t="shared" si="24"/>
        <v>11872126.513148148</v>
      </c>
      <c r="Z29" s="96">
        <f t="shared" si="24"/>
        <v>8904094.88486111</v>
      </c>
      <c r="AA29" s="97">
        <f t="shared" si="24"/>
        <v>1484015.8141435185</v>
      </c>
      <c r="AB29" s="96">
        <f t="shared" si="24"/>
        <v>1484015.8141435185</v>
      </c>
      <c r="AC29" s="97">
        <f t="shared" si="24"/>
        <v>2968031.628287037</v>
      </c>
      <c r="AD29" s="96">
        <f t="shared" si="24"/>
        <v>28749587.871</v>
      </c>
      <c r="AE29" s="97">
        <f t="shared" si="24"/>
        <v>21149122.112</v>
      </c>
      <c r="AF29" s="96">
        <f t="shared" si="24"/>
        <v>1379980.217808</v>
      </c>
      <c r="AG29" s="97">
        <f t="shared" si="24"/>
        <v>460300241.5177079</v>
      </c>
      <c r="AH29" s="98"/>
      <c r="AI29" s="98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</row>
    <row r="30" spans="2:74" s="100" customFormat="1" ht="12.75">
      <c r="B30" s="101"/>
      <c r="C30" s="102"/>
      <c r="D30" s="103"/>
      <c r="E30" s="104"/>
      <c r="F30" s="105"/>
      <c r="G30" s="106"/>
      <c r="H30" s="107"/>
      <c r="I30" s="106"/>
      <c r="J30" s="107"/>
      <c r="K30" s="106"/>
      <c r="L30" s="107"/>
      <c r="M30" s="106"/>
      <c r="N30" s="262"/>
      <c r="O30" s="107"/>
      <c r="P30" s="106"/>
      <c r="Q30" s="106"/>
      <c r="R30" s="106"/>
      <c r="S30" s="102"/>
      <c r="T30" s="107"/>
      <c r="U30" s="106"/>
      <c r="V30" s="107"/>
      <c r="W30" s="106"/>
      <c r="X30" s="106"/>
      <c r="Y30" s="107"/>
      <c r="Z30" s="106"/>
      <c r="AA30" s="107"/>
      <c r="AB30" s="106"/>
      <c r="AC30" s="107"/>
      <c r="AD30" s="106"/>
      <c r="AE30" s="107"/>
      <c r="AF30" s="106"/>
      <c r="AG30" s="107"/>
      <c r="AH30" s="98"/>
      <c r="AI30" s="98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</row>
    <row r="31" spans="2:74" s="100" customFormat="1" ht="12.75">
      <c r="B31" s="101"/>
      <c r="C31" s="102"/>
      <c r="D31" s="103"/>
      <c r="E31" s="104"/>
      <c r="F31" s="105"/>
      <c r="G31" s="106"/>
      <c r="H31" s="107"/>
      <c r="I31" s="106"/>
      <c r="J31" s="107"/>
      <c r="K31" s="106"/>
      <c r="L31" s="107"/>
      <c r="M31" s="106"/>
      <c r="N31" s="262"/>
      <c r="O31" s="262"/>
      <c r="P31" s="106"/>
      <c r="Q31" s="106"/>
      <c r="R31" s="106"/>
      <c r="S31" s="102"/>
      <c r="T31" s="107"/>
      <c r="U31" s="106"/>
      <c r="V31" s="107"/>
      <c r="W31" s="106"/>
      <c r="X31" s="106"/>
      <c r="Y31" s="107"/>
      <c r="Z31" s="106"/>
      <c r="AA31" s="107"/>
      <c r="AB31" s="106"/>
      <c r="AC31" s="107"/>
      <c r="AD31" s="106"/>
      <c r="AE31" s="107"/>
      <c r="AF31" s="106"/>
      <c r="AG31" s="107"/>
      <c r="AH31" s="98"/>
      <c r="AI31" s="98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</row>
    <row r="32" spans="2:74" s="71" customFormat="1" ht="12.75">
      <c r="B32" s="66" t="s">
        <v>94</v>
      </c>
      <c r="C32" s="67" t="s">
        <v>95</v>
      </c>
      <c r="D32" s="66" t="s">
        <v>96</v>
      </c>
      <c r="E32" s="68" t="s">
        <v>97</v>
      </c>
      <c r="F32" s="69" t="s">
        <v>98</v>
      </c>
      <c r="G32" s="68" t="s">
        <v>99</v>
      </c>
      <c r="H32" s="66" t="s">
        <v>100</v>
      </c>
      <c r="I32" s="67" t="s">
        <v>154</v>
      </c>
      <c r="J32" s="66" t="s">
        <v>102</v>
      </c>
      <c r="K32" s="67" t="s">
        <v>103</v>
      </c>
      <c r="L32" s="66" t="s">
        <v>104</v>
      </c>
      <c r="M32" s="67" t="s">
        <v>105</v>
      </c>
      <c r="N32" s="258" t="s">
        <v>106</v>
      </c>
      <c r="O32" s="258" t="s">
        <v>107</v>
      </c>
      <c r="P32" s="360"/>
      <c r="Q32" s="336"/>
      <c r="R32" s="336"/>
      <c r="S32" s="67" t="s">
        <v>95</v>
      </c>
      <c r="T32" s="66" t="s">
        <v>108</v>
      </c>
      <c r="U32" s="67" t="s">
        <v>109</v>
      </c>
      <c r="V32" s="66" t="s">
        <v>110</v>
      </c>
      <c r="W32" s="67" t="s">
        <v>111</v>
      </c>
      <c r="X32" s="67"/>
      <c r="Y32" s="66" t="s">
        <v>112</v>
      </c>
      <c r="Z32" s="67" t="s">
        <v>113</v>
      </c>
      <c r="AA32" s="66" t="s">
        <v>114</v>
      </c>
      <c r="AB32" s="67" t="s">
        <v>115</v>
      </c>
      <c r="AC32" s="66" t="s">
        <v>116</v>
      </c>
      <c r="AD32" s="67" t="s">
        <v>117</v>
      </c>
      <c r="AE32" s="66" t="s">
        <v>118</v>
      </c>
      <c r="AF32" s="67" t="s">
        <v>119</v>
      </c>
      <c r="AG32" s="66" t="s">
        <v>110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</row>
    <row r="33" spans="2:74" s="71" customFormat="1" ht="13.5" thickBot="1">
      <c r="B33" s="72" t="s">
        <v>120</v>
      </c>
      <c r="C33" s="73"/>
      <c r="D33" s="72" t="s">
        <v>155</v>
      </c>
      <c r="E33" s="74" t="s">
        <v>325</v>
      </c>
      <c r="F33" s="75"/>
      <c r="G33" s="74">
        <v>2008</v>
      </c>
      <c r="H33" s="72" t="s">
        <v>123</v>
      </c>
      <c r="I33" s="73" t="s">
        <v>123</v>
      </c>
      <c r="J33" s="76"/>
      <c r="K33" s="77"/>
      <c r="L33" s="72" t="s">
        <v>125</v>
      </c>
      <c r="M33" s="78" t="s">
        <v>126</v>
      </c>
      <c r="N33" s="259" t="s">
        <v>127</v>
      </c>
      <c r="O33" s="361" t="s">
        <v>128</v>
      </c>
      <c r="P33" s="360"/>
      <c r="Q33" s="336"/>
      <c r="R33" s="336"/>
      <c r="S33" s="73"/>
      <c r="T33" s="72" t="s">
        <v>129</v>
      </c>
      <c r="U33" s="78" t="s">
        <v>127</v>
      </c>
      <c r="V33" s="72" t="s">
        <v>130</v>
      </c>
      <c r="W33" s="78" t="s">
        <v>131</v>
      </c>
      <c r="X33" s="78"/>
      <c r="Y33" s="72" t="s">
        <v>132</v>
      </c>
      <c r="Z33" s="78" t="s">
        <v>133</v>
      </c>
      <c r="AA33" s="72" t="s">
        <v>134</v>
      </c>
      <c r="AB33" s="78" t="s">
        <v>135</v>
      </c>
      <c r="AC33" s="72" t="s">
        <v>136</v>
      </c>
      <c r="AD33" s="78"/>
      <c r="AE33" s="72"/>
      <c r="AF33" s="78" t="s">
        <v>137</v>
      </c>
      <c r="AG33" s="72" t="s">
        <v>138</v>
      </c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</row>
    <row r="34" spans="2:74" s="112" customFormat="1" ht="12.75" hidden="1">
      <c r="B34" s="108"/>
      <c r="C34" s="64"/>
      <c r="D34" s="109"/>
      <c r="E34" s="110"/>
      <c r="F34" s="111"/>
      <c r="G34" s="64"/>
      <c r="H34" s="109"/>
      <c r="I34" s="64"/>
      <c r="J34" s="109"/>
      <c r="K34" s="64"/>
      <c r="L34" s="109"/>
      <c r="M34" s="64"/>
      <c r="N34" s="263"/>
      <c r="O34" s="263"/>
      <c r="P34" s="263"/>
      <c r="Q34" s="85"/>
      <c r="R34" s="85"/>
      <c r="S34" s="64"/>
      <c r="T34" s="109"/>
      <c r="U34" s="64"/>
      <c r="V34" s="109"/>
      <c r="W34" s="64"/>
      <c r="X34" s="64"/>
      <c r="Y34" s="109"/>
      <c r="Z34" s="64"/>
      <c r="AA34" s="109"/>
      <c r="AB34" s="64"/>
      <c r="AC34" s="109"/>
      <c r="AD34" s="64"/>
      <c r="AE34" s="109"/>
      <c r="AF34" s="64"/>
      <c r="AG34" s="109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</row>
    <row r="35" spans="2:74" s="118" customFormat="1" ht="12.75" hidden="1">
      <c r="B35" s="113" t="s">
        <v>94</v>
      </c>
      <c r="C35" s="114" t="s">
        <v>95</v>
      </c>
      <c r="D35" s="113" t="s">
        <v>96</v>
      </c>
      <c r="E35" s="115" t="s">
        <v>97</v>
      </c>
      <c r="F35" s="116" t="s">
        <v>98</v>
      </c>
      <c r="G35" s="114" t="s">
        <v>97</v>
      </c>
      <c r="H35" s="113" t="s">
        <v>100</v>
      </c>
      <c r="I35" s="114" t="s">
        <v>101</v>
      </c>
      <c r="J35" s="113" t="s">
        <v>102</v>
      </c>
      <c r="K35" s="114" t="s">
        <v>103</v>
      </c>
      <c r="L35" s="113" t="s">
        <v>104</v>
      </c>
      <c r="M35" s="114" t="s">
        <v>105</v>
      </c>
      <c r="N35" s="264" t="s">
        <v>106</v>
      </c>
      <c r="O35" s="362" t="s">
        <v>107</v>
      </c>
      <c r="P35" s="362"/>
      <c r="Q35" s="337"/>
      <c r="R35" s="337"/>
      <c r="S35" s="114" t="s">
        <v>95</v>
      </c>
      <c r="T35" s="113" t="s">
        <v>108</v>
      </c>
      <c r="U35" s="114" t="s">
        <v>109</v>
      </c>
      <c r="V35" s="113" t="s">
        <v>110</v>
      </c>
      <c r="W35" s="114" t="s">
        <v>111</v>
      </c>
      <c r="X35" s="114"/>
      <c r="Y35" s="113" t="s">
        <v>112</v>
      </c>
      <c r="Z35" s="114" t="s">
        <v>113</v>
      </c>
      <c r="AA35" s="113" t="s">
        <v>114</v>
      </c>
      <c r="AB35" s="114" t="s">
        <v>115</v>
      </c>
      <c r="AC35" s="113" t="s">
        <v>116</v>
      </c>
      <c r="AD35" s="114" t="s">
        <v>117</v>
      </c>
      <c r="AE35" s="113" t="s">
        <v>118</v>
      </c>
      <c r="AF35" s="114" t="s">
        <v>119</v>
      </c>
      <c r="AG35" s="113" t="s">
        <v>110</v>
      </c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</row>
    <row r="36" spans="2:74" s="118" customFormat="1" ht="13.5" hidden="1" thickBot="1">
      <c r="B36" s="119" t="s">
        <v>120</v>
      </c>
      <c r="C36" s="120"/>
      <c r="D36" s="119" t="s">
        <v>155</v>
      </c>
      <c r="E36" s="121" t="s">
        <v>122</v>
      </c>
      <c r="F36" s="122"/>
      <c r="G36" s="123" t="s">
        <v>156</v>
      </c>
      <c r="H36" s="119" t="s">
        <v>123</v>
      </c>
      <c r="I36" s="120" t="s">
        <v>157</v>
      </c>
      <c r="J36" s="124">
        <f>21451*1.062</f>
        <v>22780.962</v>
      </c>
      <c r="K36" s="125">
        <f>26413*1.09</f>
        <v>28790.170000000002</v>
      </c>
      <c r="L36" s="119" t="s">
        <v>125</v>
      </c>
      <c r="M36" s="123" t="s">
        <v>126</v>
      </c>
      <c r="N36" s="265" t="s">
        <v>127</v>
      </c>
      <c r="O36" s="362" t="s">
        <v>128</v>
      </c>
      <c r="P36" s="362"/>
      <c r="Q36" s="337"/>
      <c r="R36" s="337"/>
      <c r="S36" s="120"/>
      <c r="T36" s="119" t="s">
        <v>129</v>
      </c>
      <c r="U36" s="123" t="s">
        <v>127</v>
      </c>
      <c r="V36" s="119" t="s">
        <v>130</v>
      </c>
      <c r="W36" s="123" t="s">
        <v>131</v>
      </c>
      <c r="X36" s="123"/>
      <c r="Y36" s="119" t="s">
        <v>132</v>
      </c>
      <c r="Z36" s="123" t="s">
        <v>133</v>
      </c>
      <c r="AA36" s="119" t="s">
        <v>134</v>
      </c>
      <c r="AB36" s="123" t="s">
        <v>135</v>
      </c>
      <c r="AC36" s="119" t="s">
        <v>136</v>
      </c>
      <c r="AD36" s="123"/>
      <c r="AE36" s="119"/>
      <c r="AF36" s="123" t="s">
        <v>137</v>
      </c>
      <c r="AG36" s="119" t="s">
        <v>138</v>
      </c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</row>
    <row r="37" spans="2:74" s="86" customFormat="1" ht="12.75">
      <c r="B37" s="79">
        <v>1</v>
      </c>
      <c r="C37" s="80" t="s">
        <v>158</v>
      </c>
      <c r="D37" s="79">
        <v>1</v>
      </c>
      <c r="E37" s="81">
        <v>2163329</v>
      </c>
      <c r="F37" s="82">
        <v>0</v>
      </c>
      <c r="G37" s="83">
        <f>+E37*(1+F37)</f>
        <v>2163329</v>
      </c>
      <c r="H37" s="84">
        <f>B37*G37*12</f>
        <v>25959948</v>
      </c>
      <c r="I37" s="85"/>
      <c r="J37" s="84">
        <f>(IF(+G37&lt;=+$J$4,+$J$6,0))*12*B37</f>
        <v>0</v>
      </c>
      <c r="K37" s="83">
        <f>(IF(+G37&lt;=+$K$4,+$K$6,0))*12</f>
        <v>0</v>
      </c>
      <c r="L37" s="84">
        <f>(IF(+G37&lt;=+$L$4,(G37*0.5),(G37*0.35)))*B37</f>
        <v>757165.1499999999</v>
      </c>
      <c r="M37" s="83">
        <f>(SUM(H37:L37)-I37)/24</f>
        <v>1113213.0479166666</v>
      </c>
      <c r="N37" s="260">
        <f>(SUM(H37:M37)-I37)/24</f>
        <v>1159596.9249131943</v>
      </c>
      <c r="O37" s="260">
        <f>(SUM(H37:N37)-I37)/12</f>
        <v>2415826.9269024883</v>
      </c>
      <c r="P37" s="260"/>
      <c r="Q37" s="83"/>
      <c r="R37" s="83"/>
      <c r="S37" s="80" t="s">
        <v>158</v>
      </c>
      <c r="T37" s="84">
        <f>H37/180</f>
        <v>144221.93333333332</v>
      </c>
      <c r="U37" s="83">
        <f>((J37+K37+L37+M37)/12)*23/30</f>
        <v>119496.38486689814</v>
      </c>
      <c r="V37" s="84">
        <f>SUM(H37:U37)</f>
        <v>31669468.367932577</v>
      </c>
      <c r="W37" s="83">
        <f>(+V37-T37-I37)*8.33/100</f>
        <v>2626053.028002117</v>
      </c>
      <c r="X37" s="83">
        <f>W37*12%</f>
        <v>315126.36336025404</v>
      </c>
      <c r="Y37" s="84">
        <f>(+V37-O37-T37-K37-I37)*4/100</f>
        <v>1164376.7803078701</v>
      </c>
      <c r="Z37" s="83">
        <f>(+V37-O37-T37-K37-I37)*3/100</f>
        <v>873282.5852309028</v>
      </c>
      <c r="AA37" s="84">
        <f>(+V37-O37-T37-K37-I37)*0.5/100</f>
        <v>145547.09753848377</v>
      </c>
      <c r="AB37" s="83">
        <f>+AA37</f>
        <v>145547.09753848377</v>
      </c>
      <c r="AC37" s="84">
        <f>+AB37*2</f>
        <v>291094.19507696753</v>
      </c>
      <c r="AD37" s="83">
        <f>(+H37+L37)*10.875/100</f>
        <v>2905486.0550625</v>
      </c>
      <c r="AE37" s="84">
        <f>(+H37+L37)*8/100</f>
        <v>2137369.0519999997</v>
      </c>
      <c r="AF37" s="83">
        <f>(+H37+L37)*0.522/100</f>
        <v>139463.330643</v>
      </c>
      <c r="AG37" s="84">
        <f>SUM(V37:AF37)</f>
        <v>42412813.95269316</v>
      </c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</row>
    <row r="38" spans="2:74" s="89" customFormat="1" ht="12.75">
      <c r="B38" s="79">
        <v>1</v>
      </c>
      <c r="C38" s="80" t="s">
        <v>147</v>
      </c>
      <c r="D38" s="79">
        <v>2</v>
      </c>
      <c r="E38" s="81">
        <v>772727</v>
      </c>
      <c r="F38" s="82">
        <v>0</v>
      </c>
      <c r="G38" s="83">
        <f>+E38*(1+F38)</f>
        <v>772727</v>
      </c>
      <c r="H38" s="84">
        <f>B38*G38*12</f>
        <v>9272724</v>
      </c>
      <c r="I38" s="85"/>
      <c r="J38" s="84">
        <f>(IF(+G38&lt;=+$J$4,+$J$6,0))*12*B38</f>
        <v>445320</v>
      </c>
      <c r="K38" s="83">
        <f>(IF(+G38&lt;=+$K$4,+$K$6,0))*12*B38</f>
        <v>637032</v>
      </c>
      <c r="L38" s="84">
        <f>(IF(+G38&lt;=+$L$4,(G38*0.5),(G38*0.35)))*B38</f>
        <v>386363.5</v>
      </c>
      <c r="M38" s="83">
        <f>(SUM(H38:L38)-I38)/24</f>
        <v>447559.9791666667</v>
      </c>
      <c r="N38" s="260">
        <f>(SUM(H38:M38)-I38)/24</f>
        <v>466208.31163194444</v>
      </c>
      <c r="O38" s="260">
        <f>(SUM(H38:N38)-I38)/12</f>
        <v>971267.3158998842</v>
      </c>
      <c r="P38" s="260"/>
      <c r="Q38" s="83"/>
      <c r="R38" s="83"/>
      <c r="S38" s="80" t="s">
        <v>147</v>
      </c>
      <c r="T38" s="84">
        <f>H38/180</f>
        <v>51515.13333333333</v>
      </c>
      <c r="U38" s="83">
        <f>((J38+K38+L38+M38)/12)*23/30</f>
        <v>122428.71116898149</v>
      </c>
      <c r="V38" s="84">
        <f>SUM(H38:U38)</f>
        <v>12800418.95120081</v>
      </c>
      <c r="W38" s="83">
        <f>(+V38-T38-I38)*8.33/100</f>
        <v>1061983.6880283607</v>
      </c>
      <c r="X38" s="83">
        <f>W38*12%</f>
        <v>127438.04256340329</v>
      </c>
      <c r="Y38" s="84">
        <f>(+V38-O38-T38-K38-I38)*4/100</f>
        <v>445624.1800787037</v>
      </c>
      <c r="Z38" s="83">
        <f>(+V38-O38-T38-K38-I38)*3/100</f>
        <v>334218.13505902776</v>
      </c>
      <c r="AA38" s="84">
        <f>(+V38-O38-T38-K38-I38)*0.5/100</f>
        <v>55703.02250983796</v>
      </c>
      <c r="AB38" s="83">
        <f>+AA38</f>
        <v>55703.02250983796</v>
      </c>
      <c r="AC38" s="84">
        <f>+AB38*2</f>
        <v>111406.04501967592</v>
      </c>
      <c r="AD38" s="83">
        <f>(+H38+L38)*10.875/100</f>
        <v>1050425.765625</v>
      </c>
      <c r="AE38" s="84">
        <f>(+H38+L38)*8/100</f>
        <v>772727</v>
      </c>
      <c r="AF38" s="83">
        <f>(+H38+L38)*0.522/100</f>
        <v>50420.43675</v>
      </c>
      <c r="AG38" s="84">
        <f>SUM(V38:AF38)</f>
        <v>16866068.289344653</v>
      </c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</row>
    <row r="39" spans="2:74" s="100" customFormat="1" ht="12.75">
      <c r="B39" s="91">
        <f>SUM(B37:B38)</f>
        <v>2</v>
      </c>
      <c r="C39" s="92" t="s">
        <v>159</v>
      </c>
      <c r="D39" s="93"/>
      <c r="E39" s="94"/>
      <c r="F39" s="95"/>
      <c r="G39" s="96">
        <f>SUM(G37:G38)</f>
        <v>2936056</v>
      </c>
      <c r="H39" s="97">
        <f aca="true" t="shared" si="25" ref="H39:AG39">SUM(H37:H38)</f>
        <v>35232672</v>
      </c>
      <c r="I39" s="96">
        <f t="shared" si="25"/>
        <v>0</v>
      </c>
      <c r="J39" s="97">
        <f>SUM(J37:J38)</f>
        <v>445320</v>
      </c>
      <c r="K39" s="96">
        <f t="shared" si="25"/>
        <v>637032</v>
      </c>
      <c r="L39" s="97">
        <f t="shared" si="25"/>
        <v>1143528.65</v>
      </c>
      <c r="M39" s="96">
        <f t="shared" si="25"/>
        <v>1560773.0270833333</v>
      </c>
      <c r="N39" s="261">
        <f t="shared" si="25"/>
        <v>1625805.2365451388</v>
      </c>
      <c r="O39" s="261">
        <f t="shared" si="25"/>
        <v>3387094.2428023727</v>
      </c>
      <c r="P39" s="262"/>
      <c r="Q39" s="106"/>
      <c r="R39" s="106"/>
      <c r="S39" s="92" t="s">
        <v>159</v>
      </c>
      <c r="T39" s="97">
        <f t="shared" si="25"/>
        <v>195737.06666666665</v>
      </c>
      <c r="U39" s="96">
        <f t="shared" si="25"/>
        <v>241925.09603587963</v>
      </c>
      <c r="V39" s="97">
        <f t="shared" si="25"/>
        <v>44469887.319133386</v>
      </c>
      <c r="W39" s="96">
        <f t="shared" si="25"/>
        <v>3688036.7160304775</v>
      </c>
      <c r="X39" s="96">
        <f t="shared" si="25"/>
        <v>442564.40592365735</v>
      </c>
      <c r="Y39" s="97">
        <f t="shared" si="25"/>
        <v>1610000.9603865738</v>
      </c>
      <c r="Z39" s="96">
        <f t="shared" si="25"/>
        <v>1207500.7202899305</v>
      </c>
      <c r="AA39" s="97">
        <f t="shared" si="25"/>
        <v>201250.12004832173</v>
      </c>
      <c r="AB39" s="96">
        <f t="shared" si="25"/>
        <v>201250.12004832173</v>
      </c>
      <c r="AC39" s="97">
        <f t="shared" si="25"/>
        <v>402500.24009664345</v>
      </c>
      <c r="AD39" s="96">
        <f t="shared" si="25"/>
        <v>3955911.8206875</v>
      </c>
      <c r="AE39" s="97">
        <f t="shared" si="25"/>
        <v>2910096.0519999997</v>
      </c>
      <c r="AF39" s="96">
        <f t="shared" si="25"/>
        <v>189883.767393</v>
      </c>
      <c r="AG39" s="97">
        <f t="shared" si="25"/>
        <v>59278882.24203781</v>
      </c>
      <c r="AH39" s="98"/>
      <c r="AI39" s="98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</row>
    <row r="40" spans="2:74" s="112" customFormat="1" ht="14.25" customHeight="1">
      <c r="B40" s="108"/>
      <c r="C40" s="64"/>
      <c r="D40" s="109"/>
      <c r="E40" s="110"/>
      <c r="F40" s="111"/>
      <c r="G40" s="64"/>
      <c r="H40" s="109"/>
      <c r="I40" s="64"/>
      <c r="J40" s="109"/>
      <c r="K40" s="64"/>
      <c r="L40" s="109"/>
      <c r="M40" s="64"/>
      <c r="N40" s="263"/>
      <c r="O40" s="263"/>
      <c r="P40" s="263"/>
      <c r="Q40" s="85"/>
      <c r="R40" s="85"/>
      <c r="S40" s="64"/>
      <c r="T40" s="109"/>
      <c r="U40" s="64"/>
      <c r="V40" s="109"/>
      <c r="W40" s="64"/>
      <c r="X40" s="64"/>
      <c r="Y40" s="109"/>
      <c r="Z40" s="64"/>
      <c r="AA40" s="109"/>
      <c r="AB40" s="64"/>
      <c r="AC40" s="109"/>
      <c r="AD40" s="64"/>
      <c r="AE40" s="109"/>
      <c r="AF40" s="64"/>
      <c r="AG40" s="109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</row>
    <row r="41" spans="2:74" s="112" customFormat="1" ht="12.75">
      <c r="B41" s="108"/>
      <c r="C41" s="64"/>
      <c r="D41" s="109"/>
      <c r="E41" s="110"/>
      <c r="F41" s="111"/>
      <c r="G41" s="64"/>
      <c r="H41" s="109"/>
      <c r="I41" s="64"/>
      <c r="J41" s="109"/>
      <c r="K41" s="64"/>
      <c r="L41" s="109"/>
      <c r="M41" s="64"/>
      <c r="N41" s="263"/>
      <c r="O41" s="263"/>
      <c r="P41" s="263"/>
      <c r="Q41" s="85"/>
      <c r="R41" s="85"/>
      <c r="S41" s="64"/>
      <c r="T41" s="109"/>
      <c r="U41" s="64"/>
      <c r="V41" s="109"/>
      <c r="W41" s="64"/>
      <c r="X41" s="64"/>
      <c r="Y41" s="109"/>
      <c r="Z41" s="64"/>
      <c r="AA41" s="109"/>
      <c r="AB41" s="64"/>
      <c r="AC41" s="109"/>
      <c r="AD41" s="64"/>
      <c r="AE41" s="109"/>
      <c r="AF41" s="64"/>
      <c r="AG41" s="109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</row>
    <row r="42" spans="2:74" s="71" customFormat="1" ht="12.75">
      <c r="B42" s="66" t="s">
        <v>94</v>
      </c>
      <c r="C42" s="67" t="s">
        <v>95</v>
      </c>
      <c r="D42" s="66" t="s">
        <v>96</v>
      </c>
      <c r="E42" s="68" t="s">
        <v>97</v>
      </c>
      <c r="F42" s="69" t="s">
        <v>98</v>
      </c>
      <c r="G42" s="68" t="s">
        <v>99</v>
      </c>
      <c r="H42" s="66" t="s">
        <v>100</v>
      </c>
      <c r="I42" s="67" t="s">
        <v>154</v>
      </c>
      <c r="J42" s="66" t="s">
        <v>102</v>
      </c>
      <c r="K42" s="67" t="s">
        <v>103</v>
      </c>
      <c r="L42" s="66" t="s">
        <v>104</v>
      </c>
      <c r="M42" s="67" t="s">
        <v>105</v>
      </c>
      <c r="N42" s="258" t="s">
        <v>106</v>
      </c>
      <c r="O42" s="258" t="s">
        <v>107</v>
      </c>
      <c r="P42" s="360"/>
      <c r="Q42" s="336"/>
      <c r="R42" s="336"/>
      <c r="S42" s="67" t="s">
        <v>95</v>
      </c>
      <c r="T42" s="66" t="s">
        <v>108</v>
      </c>
      <c r="U42" s="67" t="s">
        <v>109</v>
      </c>
      <c r="V42" s="66" t="s">
        <v>110</v>
      </c>
      <c r="W42" s="67" t="s">
        <v>111</v>
      </c>
      <c r="X42" s="67"/>
      <c r="Y42" s="66" t="s">
        <v>112</v>
      </c>
      <c r="Z42" s="67" t="s">
        <v>113</v>
      </c>
      <c r="AA42" s="66" t="s">
        <v>114</v>
      </c>
      <c r="AB42" s="67" t="s">
        <v>115</v>
      </c>
      <c r="AC42" s="66" t="s">
        <v>116</v>
      </c>
      <c r="AD42" s="67" t="s">
        <v>117</v>
      </c>
      <c r="AE42" s="66" t="s">
        <v>118</v>
      </c>
      <c r="AF42" s="67" t="s">
        <v>119</v>
      </c>
      <c r="AG42" s="66" t="s">
        <v>110</v>
      </c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</row>
    <row r="43" spans="2:74" s="71" customFormat="1" ht="13.5" thickBot="1">
      <c r="B43" s="72" t="s">
        <v>120</v>
      </c>
      <c r="C43" s="73"/>
      <c r="D43" s="72" t="s">
        <v>155</v>
      </c>
      <c r="E43" s="74" t="s">
        <v>325</v>
      </c>
      <c r="F43" s="75"/>
      <c r="G43" s="74" t="s">
        <v>326</v>
      </c>
      <c r="H43" s="72" t="s">
        <v>123</v>
      </c>
      <c r="I43" s="73" t="s">
        <v>123</v>
      </c>
      <c r="J43" s="76"/>
      <c r="K43" s="77"/>
      <c r="L43" s="72" t="s">
        <v>125</v>
      </c>
      <c r="M43" s="78" t="s">
        <v>126</v>
      </c>
      <c r="N43" s="259" t="s">
        <v>127</v>
      </c>
      <c r="O43" s="361" t="s">
        <v>128</v>
      </c>
      <c r="P43" s="360"/>
      <c r="Q43" s="336"/>
      <c r="R43" s="336"/>
      <c r="S43" s="73"/>
      <c r="T43" s="72" t="s">
        <v>129</v>
      </c>
      <c r="U43" s="78" t="s">
        <v>127</v>
      </c>
      <c r="V43" s="72" t="s">
        <v>130</v>
      </c>
      <c r="W43" s="78" t="s">
        <v>131</v>
      </c>
      <c r="X43" s="78"/>
      <c r="Y43" s="72" t="s">
        <v>132</v>
      </c>
      <c r="Z43" s="78" t="s">
        <v>133</v>
      </c>
      <c r="AA43" s="72" t="s">
        <v>134</v>
      </c>
      <c r="AB43" s="78" t="s">
        <v>135</v>
      </c>
      <c r="AC43" s="72" t="s">
        <v>136</v>
      </c>
      <c r="AD43" s="78"/>
      <c r="AE43" s="72"/>
      <c r="AF43" s="78" t="s">
        <v>137</v>
      </c>
      <c r="AG43" s="72" t="s">
        <v>138</v>
      </c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</row>
    <row r="44" spans="2:74" s="86" customFormat="1" ht="12.75">
      <c r="B44" s="79">
        <v>11</v>
      </c>
      <c r="C44" s="80" t="s">
        <v>160</v>
      </c>
      <c r="D44" s="79">
        <v>1</v>
      </c>
      <c r="E44" s="81">
        <f>E7/30</f>
        <v>76330.96666666666</v>
      </c>
      <c r="F44" s="82">
        <v>0</v>
      </c>
      <c r="G44" s="83">
        <f>+E44*(1+F44)</f>
        <v>76330.96666666666</v>
      </c>
      <c r="H44" s="84"/>
      <c r="I44" s="126">
        <f>+B44*G44*82</f>
        <v>68850531.93333334</v>
      </c>
      <c r="J44" s="84"/>
      <c r="K44" s="83"/>
      <c r="L44" s="84"/>
      <c r="M44" s="83"/>
      <c r="N44" s="260"/>
      <c r="O44" s="260"/>
      <c r="P44" s="260"/>
      <c r="Q44" s="83"/>
      <c r="R44" s="83"/>
      <c r="S44" s="80" t="s">
        <v>160</v>
      </c>
      <c r="T44" s="84"/>
      <c r="U44" s="83"/>
      <c r="V44" s="84">
        <f>SUM(H44:U44)</f>
        <v>68850531.93333334</v>
      </c>
      <c r="W44" s="83"/>
      <c r="X44" s="83"/>
      <c r="Y44" s="84"/>
      <c r="Z44" s="83"/>
      <c r="AA44" s="84"/>
      <c r="AB44" s="83"/>
      <c r="AC44" s="84"/>
      <c r="AD44" s="83">
        <v>0</v>
      </c>
      <c r="AE44" s="84">
        <f>(+I44)*12/100</f>
        <v>8262063.832</v>
      </c>
      <c r="AF44" s="83">
        <v>0</v>
      </c>
      <c r="AG44" s="84">
        <f>SUM(V44:AF44)</f>
        <v>77112595.76533334</v>
      </c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</row>
    <row r="45" spans="2:74" s="89" customFormat="1" ht="12.75">
      <c r="B45" s="79">
        <v>1</v>
      </c>
      <c r="C45" s="80" t="s">
        <v>147</v>
      </c>
      <c r="D45" s="79">
        <v>2</v>
      </c>
      <c r="E45" s="81">
        <v>433700</v>
      </c>
      <c r="F45" s="82">
        <v>0</v>
      </c>
      <c r="G45" s="83">
        <v>550000</v>
      </c>
      <c r="H45" s="84">
        <f>B45*G45*12</f>
        <v>6600000</v>
      </c>
      <c r="I45" s="126"/>
      <c r="J45" s="84">
        <f>(IF(+G45&lt;=+$J$4,+$J$6,0))*12*B45</f>
        <v>445320</v>
      </c>
      <c r="K45" s="83">
        <f>(IF(+G45&lt;=+$K$4,+$K$6,0))*12*B45</f>
        <v>637032</v>
      </c>
      <c r="L45" s="84">
        <f>(IF(+G45&lt;=+$L$4,(G45*0.5),(G45*0.35)))*B45</f>
        <v>275000</v>
      </c>
      <c r="M45" s="83">
        <f>(H45+J45+K45+L45)/24</f>
        <v>331556.3333333333</v>
      </c>
      <c r="N45" s="260">
        <f>(SUM(H45:M45)-I45)/24</f>
        <v>345371.18055555556</v>
      </c>
      <c r="O45" s="260">
        <f>(SUM(H45:N45)-I45)/12</f>
        <v>719523.292824074</v>
      </c>
      <c r="P45" s="260"/>
      <c r="Q45" s="83"/>
      <c r="R45" s="83"/>
      <c r="S45" s="80" t="s">
        <v>147</v>
      </c>
      <c r="T45" s="84">
        <f>H45/180</f>
        <v>36666.666666666664</v>
      </c>
      <c r="U45" s="83">
        <f>((J45+K45+L45+M45)/12)*23/30</f>
        <v>107902.47685185184</v>
      </c>
      <c r="V45" s="84">
        <f>SUM(H45:U45)</f>
        <v>9498371.950231481</v>
      </c>
      <c r="W45" s="83">
        <f>(+V45-T45-I45)*8.33/100</f>
        <v>788160.0501209492</v>
      </c>
      <c r="X45" s="83">
        <f>W45*12%</f>
        <v>94579.2060145139</v>
      </c>
      <c r="Y45" s="84">
        <f>(+V45-O45-T45-K45-I45)*4/100</f>
        <v>324205.9996296296</v>
      </c>
      <c r="Z45" s="83">
        <f>(+V45-O45-T45-K45-I45)*3/100</f>
        <v>243154.49972222224</v>
      </c>
      <c r="AA45" s="84">
        <f>(+V45-O45-T45-K45-I45)*0.5/100</f>
        <v>40525.7499537037</v>
      </c>
      <c r="AB45" s="83">
        <f>+AA45</f>
        <v>40525.7499537037</v>
      </c>
      <c r="AC45" s="84">
        <f>+AB45*2</f>
        <v>81051.4999074074</v>
      </c>
      <c r="AD45" s="83">
        <f>(+H45+L45)*10.875/100</f>
        <v>747656.25</v>
      </c>
      <c r="AE45" s="84">
        <f>(+H45+L45)*8/100</f>
        <v>550000</v>
      </c>
      <c r="AF45" s="83">
        <f>(+H45+L45)*0.522/100</f>
        <v>35887.5</v>
      </c>
      <c r="AG45" s="84">
        <f>SUM(V45:AF45)</f>
        <v>12444118.455533613</v>
      </c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</row>
    <row r="46" spans="2:74" s="100" customFormat="1" ht="12.75">
      <c r="B46" s="91">
        <f>SUM(B44:B45)</f>
        <v>12</v>
      </c>
      <c r="C46" s="92" t="s">
        <v>161</v>
      </c>
      <c r="D46" s="93"/>
      <c r="E46" s="94"/>
      <c r="F46" s="95"/>
      <c r="G46" s="96">
        <f aca="true" t="shared" si="26" ref="G46:AG46">SUM(G44:G45)</f>
        <v>626330.9666666667</v>
      </c>
      <c r="H46" s="97">
        <f t="shared" si="26"/>
        <v>6600000</v>
      </c>
      <c r="I46" s="96">
        <f t="shared" si="26"/>
        <v>68850531.93333334</v>
      </c>
      <c r="J46" s="97">
        <f>SUM(J44:J45)</f>
        <v>445320</v>
      </c>
      <c r="K46" s="96">
        <f>SUM(K44:K45)</f>
        <v>637032</v>
      </c>
      <c r="L46" s="97">
        <f t="shared" si="26"/>
        <v>275000</v>
      </c>
      <c r="M46" s="96">
        <f t="shared" si="26"/>
        <v>331556.3333333333</v>
      </c>
      <c r="N46" s="261">
        <f t="shared" si="26"/>
        <v>345371.18055555556</v>
      </c>
      <c r="O46" s="261">
        <f t="shared" si="26"/>
        <v>719523.292824074</v>
      </c>
      <c r="P46" s="262"/>
      <c r="Q46" s="106"/>
      <c r="R46" s="106"/>
      <c r="S46" s="92" t="s">
        <v>161</v>
      </c>
      <c r="T46" s="97">
        <f t="shared" si="26"/>
        <v>36666.666666666664</v>
      </c>
      <c r="U46" s="96">
        <f t="shared" si="26"/>
        <v>107902.47685185184</v>
      </c>
      <c r="V46" s="97">
        <f t="shared" si="26"/>
        <v>78348903.88356481</v>
      </c>
      <c r="W46" s="96">
        <f t="shared" si="26"/>
        <v>788160.0501209492</v>
      </c>
      <c r="X46" s="96">
        <f t="shared" si="26"/>
        <v>94579.2060145139</v>
      </c>
      <c r="Y46" s="97">
        <f t="shared" si="26"/>
        <v>324205.9996296296</v>
      </c>
      <c r="Z46" s="96">
        <f t="shared" si="26"/>
        <v>243154.49972222224</v>
      </c>
      <c r="AA46" s="97">
        <f t="shared" si="26"/>
        <v>40525.7499537037</v>
      </c>
      <c r="AB46" s="96">
        <f t="shared" si="26"/>
        <v>40525.7499537037</v>
      </c>
      <c r="AC46" s="97">
        <f t="shared" si="26"/>
        <v>81051.4999074074</v>
      </c>
      <c r="AD46" s="96">
        <f t="shared" si="26"/>
        <v>747656.25</v>
      </c>
      <c r="AE46" s="97">
        <f t="shared" si="26"/>
        <v>8812063.832</v>
      </c>
      <c r="AF46" s="96">
        <f t="shared" si="26"/>
        <v>35887.5</v>
      </c>
      <c r="AG46" s="97">
        <f t="shared" si="26"/>
        <v>89556714.22086695</v>
      </c>
      <c r="AH46" s="98"/>
      <c r="AI46" s="98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</row>
    <row r="47" spans="2:74" s="100" customFormat="1" ht="12.75">
      <c r="B47" s="127"/>
      <c r="C47" s="102"/>
      <c r="D47" s="128"/>
      <c r="E47" s="104"/>
      <c r="F47" s="129"/>
      <c r="G47" s="106"/>
      <c r="H47" s="106"/>
      <c r="I47" s="106"/>
      <c r="J47" s="106"/>
      <c r="K47" s="106"/>
      <c r="L47" s="106"/>
      <c r="M47" s="106"/>
      <c r="N47" s="106"/>
      <c r="O47" s="262"/>
      <c r="P47" s="262"/>
      <c r="Q47" s="106"/>
      <c r="R47" s="106"/>
      <c r="S47" s="102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98"/>
      <c r="AI47" s="98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</row>
    <row r="48" spans="2:74" s="100" customFormat="1" ht="12.75">
      <c r="B48" s="127"/>
      <c r="C48" s="102"/>
      <c r="D48" s="128"/>
      <c r="E48" s="104"/>
      <c r="F48" s="129"/>
      <c r="G48" s="106"/>
      <c r="H48" s="106"/>
      <c r="I48" s="106"/>
      <c r="J48" s="106"/>
      <c r="K48" s="106"/>
      <c r="L48" s="106"/>
      <c r="M48" s="106"/>
      <c r="N48" s="106"/>
      <c r="O48" s="262"/>
      <c r="P48" s="262"/>
      <c r="Q48" s="106"/>
      <c r="R48" s="106"/>
      <c r="S48" s="102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98"/>
      <c r="AI48" s="98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</row>
    <row r="49" spans="2:74" s="100" customFormat="1" ht="12.75">
      <c r="B49" s="127"/>
      <c r="C49" s="102"/>
      <c r="D49" s="128"/>
      <c r="E49" s="104"/>
      <c r="F49" s="129"/>
      <c r="G49" s="106"/>
      <c r="H49" s="106"/>
      <c r="I49" s="106"/>
      <c r="J49" s="106"/>
      <c r="K49" s="106"/>
      <c r="L49" s="106"/>
      <c r="M49" s="106"/>
      <c r="N49" s="106"/>
      <c r="O49" s="262"/>
      <c r="P49" s="262"/>
      <c r="Q49" s="106"/>
      <c r="R49" s="106"/>
      <c r="S49" s="102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98"/>
      <c r="AI49" s="98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</row>
    <row r="50" spans="2:74" s="71" customFormat="1" ht="12.75">
      <c r="B50" s="66" t="s">
        <v>94</v>
      </c>
      <c r="C50" s="67" t="s">
        <v>95</v>
      </c>
      <c r="D50" s="66" t="s">
        <v>96</v>
      </c>
      <c r="E50" s="68" t="s">
        <v>97</v>
      </c>
      <c r="F50" s="69" t="s">
        <v>98</v>
      </c>
      <c r="G50" s="68" t="s">
        <v>99</v>
      </c>
      <c r="H50" s="66" t="s">
        <v>100</v>
      </c>
      <c r="I50" s="67" t="s">
        <v>154</v>
      </c>
      <c r="J50" s="66" t="s">
        <v>102</v>
      </c>
      <c r="K50" s="67" t="s">
        <v>103</v>
      </c>
      <c r="L50" s="66" t="s">
        <v>104</v>
      </c>
      <c r="M50" s="67" t="s">
        <v>105</v>
      </c>
      <c r="N50" s="258" t="s">
        <v>106</v>
      </c>
      <c r="O50" s="258" t="s">
        <v>107</v>
      </c>
      <c r="P50" s="360"/>
      <c r="Q50" s="336"/>
      <c r="R50" s="336"/>
      <c r="S50" s="67" t="s">
        <v>95</v>
      </c>
      <c r="T50" s="66" t="s">
        <v>108</v>
      </c>
      <c r="U50" s="67" t="s">
        <v>109</v>
      </c>
      <c r="V50" s="66" t="s">
        <v>110</v>
      </c>
      <c r="W50" s="67" t="s">
        <v>111</v>
      </c>
      <c r="X50" s="67"/>
      <c r="Y50" s="66" t="s">
        <v>112</v>
      </c>
      <c r="Z50" s="67" t="s">
        <v>113</v>
      </c>
      <c r="AA50" s="66" t="s">
        <v>114</v>
      </c>
      <c r="AB50" s="67" t="s">
        <v>115</v>
      </c>
      <c r="AC50" s="66" t="s">
        <v>116</v>
      </c>
      <c r="AD50" s="67" t="s">
        <v>117</v>
      </c>
      <c r="AE50" s="66" t="s">
        <v>118</v>
      </c>
      <c r="AF50" s="67" t="s">
        <v>119</v>
      </c>
      <c r="AG50" s="66" t="s">
        <v>110</v>
      </c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</row>
    <row r="51" spans="2:74" s="71" customFormat="1" ht="13.5" thickBot="1">
      <c r="B51" s="72" t="s">
        <v>120</v>
      </c>
      <c r="C51" s="73"/>
      <c r="D51" s="72" t="s">
        <v>155</v>
      </c>
      <c r="E51" s="74" t="s">
        <v>258</v>
      </c>
      <c r="F51" s="75"/>
      <c r="G51" s="74">
        <v>2004</v>
      </c>
      <c r="H51" s="72" t="s">
        <v>123</v>
      </c>
      <c r="I51" s="73" t="s">
        <v>123</v>
      </c>
      <c r="J51" s="76"/>
      <c r="K51" s="77"/>
      <c r="L51" s="72" t="s">
        <v>125</v>
      </c>
      <c r="M51" s="78" t="s">
        <v>126</v>
      </c>
      <c r="N51" s="259" t="s">
        <v>127</v>
      </c>
      <c r="O51" s="361" t="s">
        <v>128</v>
      </c>
      <c r="P51" s="360"/>
      <c r="Q51" s="336"/>
      <c r="R51" s="336"/>
      <c r="S51" s="73"/>
      <c r="T51" s="72" t="s">
        <v>129</v>
      </c>
      <c r="U51" s="78" t="s">
        <v>127</v>
      </c>
      <c r="V51" s="72" t="s">
        <v>130</v>
      </c>
      <c r="W51" s="78" t="s">
        <v>131</v>
      </c>
      <c r="X51" s="78"/>
      <c r="Y51" s="72" t="s">
        <v>132</v>
      </c>
      <c r="Z51" s="78" t="s">
        <v>133</v>
      </c>
      <c r="AA51" s="72" t="s">
        <v>134</v>
      </c>
      <c r="AB51" s="78" t="s">
        <v>135</v>
      </c>
      <c r="AC51" s="72" t="s">
        <v>136</v>
      </c>
      <c r="AD51" s="78"/>
      <c r="AE51" s="72"/>
      <c r="AF51" s="78" t="s">
        <v>137</v>
      </c>
      <c r="AG51" s="72" t="s">
        <v>138</v>
      </c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</row>
    <row r="52" spans="2:74" s="86" customFormat="1" ht="12.75">
      <c r="B52" s="79">
        <v>1</v>
      </c>
      <c r="C52" s="80" t="s">
        <v>162</v>
      </c>
      <c r="D52" s="79">
        <v>1</v>
      </c>
      <c r="E52" s="81">
        <v>1710902</v>
      </c>
      <c r="F52" s="82">
        <v>0.05</v>
      </c>
      <c r="G52" s="83">
        <f>+E52*(1+F52)</f>
        <v>1796447.1</v>
      </c>
      <c r="H52" s="84">
        <f>B52*G52*12</f>
        <v>21557365.200000003</v>
      </c>
      <c r="I52" s="85"/>
      <c r="J52" s="84">
        <f>(IF(+G52&lt;=+$J$4,+$J$6,0))*12*B52</f>
        <v>0</v>
      </c>
      <c r="K52" s="83">
        <f>(IF(+G52&lt;=+$K$4,+$K$6,0))*12</f>
        <v>0</v>
      </c>
      <c r="L52" s="84">
        <f>(IF(+G52&lt;=+$L$4,(G52*0.5),(G52*0.35)))*B52</f>
        <v>628756.485</v>
      </c>
      <c r="M52" s="83">
        <f>(SUM(H52:L52)-I52)/24</f>
        <v>924421.7368750001</v>
      </c>
      <c r="N52" s="260">
        <f>(SUM(H52:M52)-I52)/24</f>
        <v>962939.3092447919</v>
      </c>
      <c r="O52" s="260">
        <f>(SUM(H52:N52)-I52)/12</f>
        <v>2006123.5609266497</v>
      </c>
      <c r="P52" s="260"/>
      <c r="Q52" s="83"/>
      <c r="R52" s="83"/>
      <c r="S52" s="80" t="s">
        <v>162</v>
      </c>
      <c r="T52" s="84">
        <f>H52/180</f>
        <v>119763.14000000001</v>
      </c>
      <c r="U52" s="83">
        <f>((J52+K52+L52+M52)/12)*23/30</f>
        <v>99230.8308420139</v>
      </c>
      <c r="V52" s="84">
        <f>SUM(H52:U52)</f>
        <v>26298600.26288846</v>
      </c>
      <c r="W52" s="83">
        <f>(+V52-T52-I52)*8.33/100</f>
        <v>2180697.1323366086</v>
      </c>
      <c r="X52" s="83">
        <f>W52*12%</f>
        <v>261683.65588039302</v>
      </c>
      <c r="Y52" s="84">
        <f>(+V52-O52-T52-K52)*4/100</f>
        <v>966908.5424784725</v>
      </c>
      <c r="Z52" s="83">
        <f>(+V52-O52-T52-K52-I52)*3/100</f>
        <v>725181.4068588543</v>
      </c>
      <c r="AA52" s="84">
        <f>(+V52-O52-T52-K52-I52)*0.5/100</f>
        <v>120863.56780980906</v>
      </c>
      <c r="AB52" s="83">
        <f>+AA52</f>
        <v>120863.56780980906</v>
      </c>
      <c r="AC52" s="84">
        <f>+AB52*2</f>
        <v>241727.13561961812</v>
      </c>
      <c r="AD52" s="83">
        <f>(+H52+L52)*10.875/100</f>
        <v>2412740.7332437504</v>
      </c>
      <c r="AE52" s="84">
        <f>(+H52+L52)*8/100</f>
        <v>1774889.7348000002</v>
      </c>
      <c r="AF52" s="83">
        <f>(+H52+L52)*0.522/100</f>
        <v>115811.55519570003</v>
      </c>
      <c r="AG52" s="84">
        <f>SUM(V52:AF52)</f>
        <v>35219967.29492147</v>
      </c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</row>
    <row r="53" spans="2:74" s="89" customFormat="1" ht="12.75">
      <c r="B53" s="79">
        <v>1</v>
      </c>
      <c r="C53" s="80" t="s">
        <v>141</v>
      </c>
      <c r="D53" s="79">
        <v>2</v>
      </c>
      <c r="E53" s="81">
        <v>1457697</v>
      </c>
      <c r="F53" s="82">
        <v>0.05</v>
      </c>
      <c r="G53" s="83">
        <f>+E53*(1+F53)</f>
        <v>1530581.85</v>
      </c>
      <c r="H53" s="84">
        <f>B53*G53*12</f>
        <v>18366982.200000003</v>
      </c>
      <c r="I53" s="85"/>
      <c r="J53" s="84">
        <f>(IF(+G53&lt;=+$J$4,+$J$6,0))*12*B53</f>
        <v>0</v>
      </c>
      <c r="K53" s="83">
        <f>(IF(+G53&lt;=+$K$4,+$K$6,0))*12*B53</f>
        <v>0</v>
      </c>
      <c r="L53" s="84">
        <f>(IF(+G53&lt;=+$L$4,(G53*0.5),(G53*0.35)))*B53</f>
        <v>535703.6475</v>
      </c>
      <c r="M53" s="83">
        <f>(H53+J53+K53+L53)/24</f>
        <v>787611.9103125002</v>
      </c>
      <c r="N53" s="260">
        <f>(SUM(H53:M53)-I53)/24</f>
        <v>820429.0732421876</v>
      </c>
      <c r="O53" s="260">
        <f>(SUM(H53:N53)-I53)/12</f>
        <v>1709227.2359212243</v>
      </c>
      <c r="P53" s="260"/>
      <c r="Q53" s="83"/>
      <c r="R53" s="83"/>
      <c r="S53" s="80" t="s">
        <v>141</v>
      </c>
      <c r="T53" s="84">
        <f>H53/180</f>
        <v>102038.79000000002</v>
      </c>
      <c r="U53" s="83">
        <f>((J53+K53+L53+M53)/12)*23/30</f>
        <v>84545.16063802085</v>
      </c>
      <c r="V53" s="84">
        <f>SUM(H53:U53)</f>
        <v>22406538.017613932</v>
      </c>
      <c r="W53" s="83">
        <f>(+V53-T53-I53)*8.33/100</f>
        <v>1857964.7856602406</v>
      </c>
      <c r="X53" s="83">
        <f>W53*12%</f>
        <v>222955.77427922885</v>
      </c>
      <c r="Y53" s="84">
        <f>(+V53-O53-T53-K53)*4/100</f>
        <v>823810.8796677084</v>
      </c>
      <c r="Z53" s="83">
        <f>(+V53-O53-T53-K53-I53)*3/100</f>
        <v>617858.1597507814</v>
      </c>
      <c r="AA53" s="84">
        <f>(+V53-O53-T53-K53-I53)*0.5/100</f>
        <v>102976.35995846355</v>
      </c>
      <c r="AB53" s="83">
        <f>+AA53</f>
        <v>102976.35995846355</v>
      </c>
      <c r="AC53" s="84">
        <f>+AB53*2</f>
        <v>205952.7199169271</v>
      </c>
      <c r="AD53" s="83">
        <f>(+H53+L53)*10.875/100</f>
        <v>2055667.0859156253</v>
      </c>
      <c r="AE53" s="84">
        <f>(+H53+L53)*8/100</f>
        <v>1512214.8678000004</v>
      </c>
      <c r="AF53" s="83">
        <f>(+H53+L53)*0.522/100</f>
        <v>98672.02012395002</v>
      </c>
      <c r="AG53" s="84">
        <f>SUM(V53:AF53)</f>
        <v>30007587.030645322</v>
      </c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</row>
    <row r="54" spans="2:74" s="100" customFormat="1" ht="12.75">
      <c r="B54" s="91">
        <f>SUM(B52:B53)</f>
        <v>2</v>
      </c>
      <c r="C54" s="92" t="s">
        <v>163</v>
      </c>
      <c r="D54" s="93"/>
      <c r="E54" s="94"/>
      <c r="F54" s="95"/>
      <c r="G54" s="96">
        <f aca="true" t="shared" si="27" ref="G54:AG54">SUM(G52:G53)</f>
        <v>3327028.95</v>
      </c>
      <c r="H54" s="97">
        <f t="shared" si="27"/>
        <v>39924347.400000006</v>
      </c>
      <c r="I54" s="96">
        <f t="shared" si="27"/>
        <v>0</v>
      </c>
      <c r="J54" s="97">
        <f t="shared" si="27"/>
        <v>0</v>
      </c>
      <c r="K54" s="96">
        <f t="shared" si="27"/>
        <v>0</v>
      </c>
      <c r="L54" s="97">
        <f t="shared" si="27"/>
        <v>1164460.1324999998</v>
      </c>
      <c r="M54" s="96">
        <f t="shared" si="27"/>
        <v>1712033.6471875003</v>
      </c>
      <c r="N54" s="261">
        <f t="shared" si="27"/>
        <v>1783368.3824869795</v>
      </c>
      <c r="O54" s="261">
        <f t="shared" si="27"/>
        <v>3715350.7968478743</v>
      </c>
      <c r="P54" s="262"/>
      <c r="Q54" s="106"/>
      <c r="R54" s="106"/>
      <c r="S54" s="92" t="s">
        <v>163</v>
      </c>
      <c r="T54" s="97">
        <f t="shared" si="27"/>
        <v>221801.93000000005</v>
      </c>
      <c r="U54" s="96">
        <f t="shared" si="27"/>
        <v>183775.99148003475</v>
      </c>
      <c r="V54" s="97">
        <f t="shared" si="27"/>
        <v>48705138.280502394</v>
      </c>
      <c r="W54" s="96">
        <f t="shared" si="27"/>
        <v>4038661.917996849</v>
      </c>
      <c r="X54" s="96">
        <f t="shared" si="27"/>
        <v>484639.4301596219</v>
      </c>
      <c r="Y54" s="97">
        <f t="shared" si="27"/>
        <v>1790719.4221461809</v>
      </c>
      <c r="Z54" s="96">
        <f t="shared" si="27"/>
        <v>1343039.5666096357</v>
      </c>
      <c r="AA54" s="97">
        <f t="shared" si="27"/>
        <v>223839.9277682726</v>
      </c>
      <c r="AB54" s="96">
        <f t="shared" si="27"/>
        <v>223839.9277682726</v>
      </c>
      <c r="AC54" s="97">
        <f t="shared" si="27"/>
        <v>447679.8555365452</v>
      </c>
      <c r="AD54" s="96">
        <f t="shared" si="27"/>
        <v>4468407.8191593755</v>
      </c>
      <c r="AE54" s="97">
        <f t="shared" si="27"/>
        <v>3287104.602600001</v>
      </c>
      <c r="AF54" s="96">
        <f t="shared" si="27"/>
        <v>214483.57531965006</v>
      </c>
      <c r="AG54" s="97">
        <f t="shared" si="27"/>
        <v>65227554.3255668</v>
      </c>
      <c r="AH54" s="98"/>
      <c r="AI54" s="98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</row>
    <row r="55" spans="2:74" s="112" customFormat="1" ht="12.75">
      <c r="B55" s="130"/>
      <c r="C55" s="64"/>
      <c r="D55" s="64"/>
      <c r="E55" s="110"/>
      <c r="F55" s="131"/>
      <c r="G55" s="64"/>
      <c r="H55" s="64"/>
      <c r="I55" s="64"/>
      <c r="J55" s="64"/>
      <c r="K55" s="64"/>
      <c r="L55" s="64"/>
      <c r="M55" s="64"/>
      <c r="N55" s="64"/>
      <c r="O55" s="64"/>
      <c r="P55" s="263"/>
      <c r="Q55" s="85"/>
      <c r="R55" s="85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</row>
    <row r="56" spans="16:18" ht="12.75">
      <c r="P56" s="363"/>
      <c r="Q56" s="210"/>
      <c r="R56" s="210"/>
    </row>
    <row r="57" spans="3:4" ht="12.75">
      <c r="C57" s="280"/>
      <c r="D57" s="280"/>
    </row>
    <row r="58" spans="3:4" ht="12.75">
      <c r="C58" s="280" t="s">
        <v>286</v>
      </c>
      <c r="D58" s="280"/>
    </row>
    <row r="60" ht="12.75">
      <c r="C60" s="37"/>
    </row>
  </sheetData>
  <printOptions/>
  <pageMargins left="1.13" right="0.2" top="1" bottom="1" header="0" footer="0"/>
  <pageSetup horizontalDpi="600" verticalDpi="6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00"/>
  <sheetViews>
    <sheetView workbookViewId="0" topLeftCell="A1">
      <selection activeCell="D13" sqref="D13"/>
    </sheetView>
  </sheetViews>
  <sheetFormatPr defaultColWidth="11.421875" defaultRowHeight="12.75"/>
  <cols>
    <col min="1" max="1" width="7.421875" style="0" customWidth="1"/>
    <col min="2" max="2" width="8.8515625" style="0" customWidth="1"/>
    <col min="3" max="3" width="52.57421875" style="0" customWidth="1"/>
    <col min="4" max="8" width="15.140625" style="0" customWidth="1"/>
  </cols>
  <sheetData>
    <row r="1" spans="2:8" s="135" customFormat="1" ht="18" customHeight="1">
      <c r="B1" s="132"/>
      <c r="C1" s="133" t="s">
        <v>165</v>
      </c>
      <c r="D1" s="134"/>
      <c r="E1" s="134"/>
      <c r="F1" s="134"/>
      <c r="G1" s="134"/>
      <c r="H1" s="134"/>
    </row>
    <row r="2" spans="2:8" s="135" customFormat="1" ht="18" customHeight="1">
      <c r="B2" s="136"/>
      <c r="C2" s="137" t="s">
        <v>166</v>
      </c>
      <c r="D2" s="134"/>
      <c r="E2" s="134"/>
      <c r="F2" s="134"/>
      <c r="G2" s="134"/>
      <c r="H2" s="134"/>
    </row>
    <row r="3" spans="2:8" s="135" customFormat="1" ht="12.75" customHeight="1">
      <c r="B3" s="138"/>
      <c r="C3" s="139"/>
      <c r="D3" s="140"/>
      <c r="E3" s="140"/>
      <c r="F3" s="140"/>
      <c r="G3" s="140"/>
      <c r="H3" s="140"/>
    </row>
    <row r="4" spans="2:8" s="144" customFormat="1" ht="14.25" customHeight="1">
      <c r="B4" s="141" t="s">
        <v>167</v>
      </c>
      <c r="C4" s="142" t="s">
        <v>1</v>
      </c>
      <c r="D4" s="143" t="s">
        <v>168</v>
      </c>
      <c r="E4" s="335"/>
      <c r="F4" s="335"/>
      <c r="G4" s="335"/>
      <c r="H4" s="335"/>
    </row>
    <row r="5" spans="2:8" s="144" customFormat="1" ht="14.25" customHeight="1">
      <c r="B5" s="145"/>
      <c r="C5" s="146"/>
      <c r="D5" s="147" t="s">
        <v>169</v>
      </c>
      <c r="E5" s="335"/>
      <c r="F5" s="335"/>
      <c r="G5" s="335"/>
      <c r="H5" s="335"/>
    </row>
    <row r="6" spans="2:8" s="151" customFormat="1" ht="18" customHeight="1">
      <c r="B6" s="148">
        <v>1</v>
      </c>
      <c r="C6" s="149" t="s">
        <v>170</v>
      </c>
      <c r="D6" s="150">
        <f>SUM(D7+D22+D27+D30)</f>
        <v>473684053.5533625</v>
      </c>
      <c r="E6" s="333"/>
      <c r="F6" s="333"/>
      <c r="G6" s="333"/>
      <c r="H6" s="333"/>
    </row>
    <row r="7" spans="2:8" s="151" customFormat="1" ht="18" customHeight="1">
      <c r="B7" s="152">
        <v>1101</v>
      </c>
      <c r="C7" s="153" t="s">
        <v>171</v>
      </c>
      <c r="D7" s="150">
        <f>SUM(D8:D20)</f>
        <v>387513971.07215387</v>
      </c>
      <c r="E7" s="333"/>
      <c r="F7" s="333"/>
      <c r="G7" s="333"/>
      <c r="H7" s="333"/>
    </row>
    <row r="8" spans="2:9" s="151" customFormat="1" ht="18" customHeight="1">
      <c r="B8" s="152">
        <v>110101</v>
      </c>
      <c r="C8" s="153" t="s">
        <v>172</v>
      </c>
      <c r="D8" s="154">
        <f>SUM(PROYENOMINA!H29+PROYENOMINA!U29)</f>
        <v>284614415.495395</v>
      </c>
      <c r="E8" s="276"/>
      <c r="F8" s="276"/>
      <c r="G8" s="276"/>
      <c r="H8" s="276"/>
      <c r="I8" s="151">
        <v>57287059</v>
      </c>
    </row>
    <row r="9" spans="2:8" s="151" customFormat="1" ht="18" customHeight="1">
      <c r="B9" s="152">
        <v>110102</v>
      </c>
      <c r="C9" s="155" t="s">
        <v>173</v>
      </c>
      <c r="D9" s="154"/>
      <c r="E9" s="276"/>
      <c r="F9" s="276"/>
      <c r="G9" s="276"/>
      <c r="H9" s="276"/>
    </row>
    <row r="10" spans="2:8" s="151" customFormat="1" ht="18" customHeight="1">
      <c r="B10" s="152">
        <v>110103</v>
      </c>
      <c r="C10" s="155" t="s">
        <v>174</v>
      </c>
      <c r="D10" s="154">
        <v>3000000</v>
      </c>
      <c r="E10" s="276"/>
      <c r="F10" s="276"/>
      <c r="G10" s="276"/>
      <c r="H10" s="276"/>
    </row>
    <row r="11" spans="2:8" s="151" customFormat="1" ht="18" customHeight="1">
      <c r="B11" s="152">
        <v>110104</v>
      </c>
      <c r="C11" s="155" t="s">
        <v>175</v>
      </c>
      <c r="D11" s="154"/>
      <c r="E11" s="276"/>
      <c r="F11" s="276"/>
      <c r="G11" s="276"/>
      <c r="H11" s="276"/>
    </row>
    <row r="12" spans="2:8" s="151" customFormat="1" ht="18" customHeight="1">
      <c r="B12" s="152">
        <v>11010401</v>
      </c>
      <c r="C12" s="155" t="s">
        <v>176</v>
      </c>
      <c r="D12" s="154"/>
      <c r="E12" s="276"/>
      <c r="F12" s="276"/>
      <c r="G12" s="276"/>
      <c r="H12" s="276"/>
    </row>
    <row r="13" spans="2:9" s="151" customFormat="1" ht="18" customHeight="1">
      <c r="B13" s="152">
        <v>11010402</v>
      </c>
      <c r="C13" s="155" t="s">
        <v>177</v>
      </c>
      <c r="D13" s="154">
        <f>SUM(PROYENOMINA!J29)</f>
        <v>5789160</v>
      </c>
      <c r="E13" s="276"/>
      <c r="F13" s="276"/>
      <c r="G13" s="276"/>
      <c r="H13" s="276"/>
      <c r="I13" s="151">
        <v>5994408</v>
      </c>
    </row>
    <row r="14" spans="2:9" s="151" customFormat="1" ht="18" customHeight="1">
      <c r="B14" s="152">
        <v>11010403</v>
      </c>
      <c r="C14" s="155" t="s">
        <v>178</v>
      </c>
      <c r="D14" s="154">
        <f>SUM(PROYENOMINA!K29)</f>
        <v>13377672</v>
      </c>
      <c r="E14" s="276"/>
      <c r="F14" s="276"/>
      <c r="G14" s="276"/>
      <c r="H14" s="276"/>
      <c r="I14" s="151">
        <v>9616320</v>
      </c>
    </row>
    <row r="15" spans="2:9" s="151" customFormat="1" ht="18" customHeight="1">
      <c r="B15" s="152">
        <v>11010404</v>
      </c>
      <c r="C15" s="155" t="s">
        <v>179</v>
      </c>
      <c r="D15" s="154">
        <f>SUM(PROYENOMINA!L29)</f>
        <v>9505696.147499999</v>
      </c>
      <c r="E15" s="276"/>
      <c r="F15" s="276"/>
      <c r="G15" s="276"/>
      <c r="H15" s="276"/>
      <c r="I15" s="151">
        <v>2599728</v>
      </c>
    </row>
    <row r="16" spans="2:9" s="151" customFormat="1" ht="18" customHeight="1">
      <c r="B16" s="152">
        <v>11010405</v>
      </c>
      <c r="C16" s="155" t="s">
        <v>180</v>
      </c>
      <c r="D16" s="154">
        <f>SUM(PROYENOMINA!M29)</f>
        <v>12942840.997812498</v>
      </c>
      <c r="E16" s="276"/>
      <c r="F16" s="276"/>
      <c r="G16" s="276"/>
      <c r="H16" s="276"/>
      <c r="I16" s="151">
        <v>3089030</v>
      </c>
    </row>
    <row r="17" spans="2:9" s="151" customFormat="1" ht="18" customHeight="1">
      <c r="B17" s="152">
        <v>11010406</v>
      </c>
      <c r="C17" s="155" t="s">
        <v>181</v>
      </c>
      <c r="D17" s="154">
        <f>SUM(PROYENOMINA!N29)</f>
        <v>13482126.03938802</v>
      </c>
      <c r="E17" s="276"/>
      <c r="F17" s="276"/>
      <c r="G17" s="276"/>
      <c r="H17" s="276"/>
      <c r="I17" s="151">
        <v>3397740</v>
      </c>
    </row>
    <row r="18" spans="2:9" s="151" customFormat="1" ht="18" customHeight="1">
      <c r="B18" s="152">
        <v>11010407</v>
      </c>
      <c r="C18" s="155" t="s">
        <v>182</v>
      </c>
      <c r="D18" s="154">
        <f>SUM(PROYENOMINA!O29)</f>
        <v>28087762.582058378</v>
      </c>
      <c r="E18" s="276"/>
      <c r="F18" s="276"/>
      <c r="G18" s="276"/>
      <c r="H18" s="276"/>
      <c r="I18" s="151">
        <v>6703624</v>
      </c>
    </row>
    <row r="19" spans="2:9" s="151" customFormat="1" ht="18" customHeight="1">
      <c r="B19" s="152">
        <v>11010408</v>
      </c>
      <c r="C19" s="155" t="s">
        <v>183</v>
      </c>
      <c r="D19" s="154">
        <f>SUM(PROYENOMINA!T29)</f>
        <v>1566420.3099999998</v>
      </c>
      <c r="E19" s="276"/>
      <c r="F19" s="276"/>
      <c r="G19" s="276"/>
      <c r="H19" s="276"/>
      <c r="I19" s="151">
        <v>3466877</v>
      </c>
    </row>
    <row r="20" spans="2:8" s="151" customFormat="1" ht="18" customHeight="1">
      <c r="B20" s="152">
        <v>11010409</v>
      </c>
      <c r="C20" s="155" t="s">
        <v>184</v>
      </c>
      <c r="D20" s="154">
        <f>SUM(PROYENOMINA!I29)</f>
        <v>15147877.5</v>
      </c>
      <c r="E20" s="276"/>
      <c r="F20" s="276"/>
      <c r="G20" s="276"/>
      <c r="H20" s="276"/>
    </row>
    <row r="21" spans="2:8" s="151" customFormat="1" ht="18" customHeight="1">
      <c r="B21" s="152"/>
      <c r="C21" s="155"/>
      <c r="D21" s="154"/>
      <c r="E21" s="276"/>
      <c r="F21" s="276"/>
      <c r="G21" s="276"/>
      <c r="H21" s="276"/>
    </row>
    <row r="22" spans="2:8" s="151" customFormat="1" ht="18" customHeight="1">
      <c r="B22" s="152">
        <v>1201</v>
      </c>
      <c r="C22" s="155" t="s">
        <v>185</v>
      </c>
      <c r="D22" s="154">
        <f>SUM(D23:D25)</f>
        <v>56800000</v>
      </c>
      <c r="E22" s="276"/>
      <c r="F22" s="276"/>
      <c r="G22" s="276"/>
      <c r="H22" s="276"/>
    </row>
    <row r="23" spans="2:8" s="151" customFormat="1" ht="18" customHeight="1">
      <c r="B23" s="152">
        <v>120102</v>
      </c>
      <c r="C23" s="155" t="s">
        <v>186</v>
      </c>
      <c r="D23" s="154"/>
      <c r="E23" s="276"/>
      <c r="F23" s="276"/>
      <c r="G23" s="276"/>
      <c r="H23" s="276"/>
    </row>
    <row r="24" spans="2:8" s="151" customFormat="1" ht="18" customHeight="1">
      <c r="B24" s="152">
        <v>120103</v>
      </c>
      <c r="C24" s="155" t="s">
        <v>187</v>
      </c>
      <c r="D24" s="154">
        <v>22800000</v>
      </c>
      <c r="E24" s="276"/>
      <c r="F24" s="276"/>
      <c r="G24" s="276"/>
      <c r="H24" s="276"/>
    </row>
    <row r="25" spans="2:8" s="151" customFormat="1" ht="18" customHeight="1">
      <c r="B25" s="152">
        <v>120104</v>
      </c>
      <c r="C25" s="155" t="s">
        <v>188</v>
      </c>
      <c r="D25" s="154">
        <v>34000000</v>
      </c>
      <c r="E25" s="276"/>
      <c r="F25" s="276"/>
      <c r="G25" s="276"/>
      <c r="H25" s="276"/>
    </row>
    <row r="26" spans="2:8" s="151" customFormat="1" ht="18" customHeight="1">
      <c r="B26" s="152"/>
      <c r="C26" s="155"/>
      <c r="D26" s="154"/>
      <c r="E26" s="276"/>
      <c r="F26" s="276"/>
      <c r="G26" s="276"/>
      <c r="H26" s="276"/>
    </row>
    <row r="27" spans="2:8" s="151" customFormat="1" ht="18" customHeight="1">
      <c r="B27" s="152">
        <v>1301</v>
      </c>
      <c r="C27" s="155" t="s">
        <v>189</v>
      </c>
      <c r="D27" s="154">
        <f>D28</f>
        <v>13053369.54720382</v>
      </c>
      <c r="E27" s="276"/>
      <c r="F27" s="276"/>
      <c r="G27" s="276"/>
      <c r="H27" s="276"/>
    </row>
    <row r="28" spans="2:9" s="151" customFormat="1" ht="18" customHeight="1">
      <c r="B28" s="152">
        <v>130101</v>
      </c>
      <c r="C28" s="155" t="s">
        <v>190</v>
      </c>
      <c r="D28" s="154">
        <f>SUM(PROYENOMINA!Y29)</f>
        <v>13053369.54720382</v>
      </c>
      <c r="E28" s="276"/>
      <c r="F28" s="276"/>
      <c r="G28" s="276"/>
      <c r="H28" s="276"/>
      <c r="I28" s="151">
        <v>2887519</v>
      </c>
    </row>
    <row r="29" spans="2:8" s="151" customFormat="1" ht="18" customHeight="1">
      <c r="B29" s="152"/>
      <c r="C29" s="155"/>
      <c r="D29" s="154"/>
      <c r="E29" s="276"/>
      <c r="F29" s="276"/>
      <c r="G29" s="276"/>
      <c r="H29" s="276"/>
    </row>
    <row r="30" spans="2:8" s="151" customFormat="1" ht="18" customHeight="1">
      <c r="B30" s="152">
        <v>1401</v>
      </c>
      <c r="C30" s="155" t="s">
        <v>191</v>
      </c>
      <c r="D30" s="154">
        <f>SUM(D31:D34)+1</f>
        <v>16316712.93400477</v>
      </c>
      <c r="E30" s="276"/>
      <c r="F30" s="276"/>
      <c r="G30" s="276"/>
      <c r="H30" s="276"/>
    </row>
    <row r="31" spans="2:9" s="151" customFormat="1" ht="18" customHeight="1">
      <c r="B31" s="152">
        <v>140101</v>
      </c>
      <c r="C31" s="155" t="s">
        <v>192</v>
      </c>
      <c r="D31" s="154">
        <f>SUM(PROYENOMINA!AA29)</f>
        <v>1631671.1934004775</v>
      </c>
      <c r="E31" s="276"/>
      <c r="F31" s="276"/>
      <c r="G31" s="276"/>
      <c r="H31" s="276"/>
      <c r="I31" s="151">
        <v>360939</v>
      </c>
    </row>
    <row r="32" spans="2:9" s="151" customFormat="1" ht="18" customHeight="1">
      <c r="B32" s="152">
        <v>140102</v>
      </c>
      <c r="C32" s="155" t="s">
        <v>113</v>
      </c>
      <c r="D32" s="154">
        <f>SUM(PROYENOMINA!Z29)</f>
        <v>9790027.16040286</v>
      </c>
      <c r="E32" s="276"/>
      <c r="F32" s="276"/>
      <c r="G32" s="276"/>
      <c r="H32" s="276"/>
      <c r="I32" s="151">
        <v>2165641</v>
      </c>
    </row>
    <row r="33" spans="2:9" s="151" customFormat="1" ht="18" customHeight="1">
      <c r="B33" s="152">
        <v>140103</v>
      </c>
      <c r="C33" s="155" t="s">
        <v>193</v>
      </c>
      <c r="D33" s="154">
        <f>SUM(PROYENOMINA!AC29)</f>
        <v>3263342.386800955</v>
      </c>
      <c r="E33" s="276"/>
      <c r="F33" s="276"/>
      <c r="G33" s="276"/>
      <c r="H33" s="276"/>
      <c r="I33" s="151">
        <v>721879</v>
      </c>
    </row>
    <row r="34" spans="2:9" s="151" customFormat="1" ht="18" customHeight="1">
      <c r="B34" s="152">
        <v>140104</v>
      </c>
      <c r="C34" s="155" t="s">
        <v>194</v>
      </c>
      <c r="D34" s="154">
        <f>SUM(PROYENOMINA!AB29)</f>
        <v>1631671.1934004775</v>
      </c>
      <c r="E34" s="276"/>
      <c r="F34" s="276"/>
      <c r="G34" s="276"/>
      <c r="H34" s="276"/>
      <c r="I34" s="151">
        <v>360939</v>
      </c>
    </row>
    <row r="35" spans="2:8" s="151" customFormat="1" ht="18" customHeight="1">
      <c r="B35" s="152"/>
      <c r="C35" s="155"/>
      <c r="D35" s="154"/>
      <c r="E35" s="276"/>
      <c r="F35" s="276"/>
      <c r="G35" s="276"/>
      <c r="H35" s="276"/>
    </row>
    <row r="36" spans="2:8" s="151" customFormat="1" ht="18" customHeight="1">
      <c r="B36" s="152"/>
      <c r="C36" s="155"/>
      <c r="D36" s="154"/>
      <c r="E36" s="276"/>
      <c r="F36" s="276"/>
      <c r="G36" s="276"/>
      <c r="H36" s="276"/>
    </row>
    <row r="37" spans="2:8" s="151" customFormat="1" ht="18" customHeight="1">
      <c r="B37" s="152"/>
      <c r="C37" s="155"/>
      <c r="D37" s="244"/>
      <c r="E37" s="276"/>
      <c r="F37" s="276"/>
      <c r="G37" s="276"/>
      <c r="H37" s="276"/>
    </row>
    <row r="38" spans="2:8" s="151" customFormat="1" ht="18" customHeight="1">
      <c r="B38" s="275"/>
      <c r="C38" s="235"/>
      <c r="D38" s="276"/>
      <c r="E38" s="276"/>
      <c r="F38" s="276"/>
      <c r="G38" s="276"/>
      <c r="H38" s="276"/>
    </row>
    <row r="39" spans="2:8" s="151" customFormat="1" ht="18" customHeight="1">
      <c r="B39" s="277"/>
      <c r="C39" s="278"/>
      <c r="D39" s="279"/>
      <c r="E39" s="276"/>
      <c r="F39" s="276"/>
      <c r="G39" s="276"/>
      <c r="H39" s="276"/>
    </row>
    <row r="40" spans="2:8" s="151" customFormat="1" ht="18" customHeight="1">
      <c r="B40" s="272" t="s">
        <v>167</v>
      </c>
      <c r="C40" s="273" t="s">
        <v>1</v>
      </c>
      <c r="D40" s="274" t="s">
        <v>168</v>
      </c>
      <c r="E40" s="332"/>
      <c r="F40" s="332"/>
      <c r="G40" s="332"/>
      <c r="H40" s="332"/>
    </row>
    <row r="41" spans="2:8" s="151" customFormat="1" ht="18" customHeight="1">
      <c r="B41" s="145"/>
      <c r="C41" s="146"/>
      <c r="D41" s="147" t="s">
        <v>169</v>
      </c>
      <c r="E41" s="332"/>
      <c r="F41" s="332"/>
      <c r="G41" s="332"/>
      <c r="H41" s="332"/>
    </row>
    <row r="42" spans="2:8" s="151" customFormat="1" ht="18" customHeight="1">
      <c r="B42" s="152"/>
      <c r="C42" s="155"/>
      <c r="D42" s="154"/>
      <c r="E42" s="276"/>
      <c r="F42" s="276"/>
      <c r="G42" s="276"/>
      <c r="H42" s="276"/>
    </row>
    <row r="43" spans="2:8" s="151" customFormat="1" ht="18" customHeight="1">
      <c r="B43" s="156">
        <v>2</v>
      </c>
      <c r="C43" s="157" t="s">
        <v>195</v>
      </c>
      <c r="D43" s="150">
        <f>SUM(D44+D50+D68)</f>
        <v>102783917</v>
      </c>
      <c r="E43" s="333"/>
      <c r="F43" s="333"/>
      <c r="G43" s="333"/>
      <c r="H43" s="333"/>
    </row>
    <row r="44" spans="2:8" s="151" customFormat="1" ht="18" customHeight="1">
      <c r="B44" s="152">
        <v>1501</v>
      </c>
      <c r="C44" s="155" t="s">
        <v>196</v>
      </c>
      <c r="D44" s="150">
        <f>SUM(D45:D48)</f>
        <v>39783917</v>
      </c>
      <c r="E44" s="333"/>
      <c r="F44" s="333"/>
      <c r="G44" s="333"/>
      <c r="H44" s="333"/>
    </row>
    <row r="45" spans="2:8" s="151" customFormat="1" ht="18" customHeight="1">
      <c r="B45" s="152">
        <v>150101</v>
      </c>
      <c r="C45" s="155" t="s">
        <v>197</v>
      </c>
      <c r="D45" s="154">
        <v>10000000</v>
      </c>
      <c r="E45" s="276"/>
      <c r="F45" s="276"/>
      <c r="G45" s="276"/>
      <c r="H45" s="276"/>
    </row>
    <row r="46" spans="2:8" s="151" customFormat="1" ht="18" customHeight="1">
      <c r="B46" s="152">
        <v>150102</v>
      </c>
      <c r="C46" s="155" t="s">
        <v>198</v>
      </c>
      <c r="D46" s="154">
        <v>17000000</v>
      </c>
      <c r="E46" s="276"/>
      <c r="F46" s="276"/>
      <c r="G46" s="276"/>
      <c r="H46" s="276"/>
    </row>
    <row r="47" spans="2:8" s="151" customFormat="1" ht="18" customHeight="1">
      <c r="B47" s="152">
        <v>150103</v>
      </c>
      <c r="C47" s="155" t="s">
        <v>199</v>
      </c>
      <c r="D47" s="244">
        <v>12783917</v>
      </c>
      <c r="E47" s="276"/>
      <c r="F47" s="276"/>
      <c r="G47" s="276"/>
      <c r="H47" s="276"/>
    </row>
    <row r="48" spans="2:8" s="151" customFormat="1" ht="18" customHeight="1">
      <c r="B48" s="152">
        <v>150104</v>
      </c>
      <c r="C48" s="155" t="s">
        <v>200</v>
      </c>
      <c r="D48" s="244">
        <v>0</v>
      </c>
      <c r="E48" s="276"/>
      <c r="F48" s="276"/>
      <c r="G48" s="276"/>
      <c r="H48" s="276"/>
    </row>
    <row r="49" spans="2:8" s="151" customFormat="1" ht="18" customHeight="1">
      <c r="B49" s="152"/>
      <c r="C49" s="155"/>
      <c r="D49" s="154"/>
      <c r="E49" s="276"/>
      <c r="F49" s="276"/>
      <c r="G49" s="276"/>
      <c r="H49" s="276"/>
    </row>
    <row r="50" spans="2:8" s="151" customFormat="1" ht="18" customHeight="1">
      <c r="B50" s="152">
        <v>1601</v>
      </c>
      <c r="C50" s="155" t="s">
        <v>201</v>
      </c>
      <c r="D50" s="150">
        <f>SUM(D51:D66)</f>
        <v>62000000</v>
      </c>
      <c r="E50" s="333"/>
      <c r="F50" s="333"/>
      <c r="G50" s="333"/>
      <c r="H50" s="333"/>
    </row>
    <row r="51" spans="2:8" s="151" customFormat="1" ht="18" customHeight="1">
      <c r="B51" s="152">
        <v>160101</v>
      </c>
      <c r="C51" s="155" t="s">
        <v>202</v>
      </c>
      <c r="D51" s="154">
        <v>9000000</v>
      </c>
      <c r="E51" s="276"/>
      <c r="F51" s="276"/>
      <c r="G51" s="276"/>
      <c r="H51" s="276"/>
    </row>
    <row r="52" spans="2:8" s="151" customFormat="1" ht="18" customHeight="1">
      <c r="B52" s="152">
        <v>160102</v>
      </c>
      <c r="C52" s="155" t="s">
        <v>203</v>
      </c>
      <c r="D52" s="154">
        <v>20000000</v>
      </c>
      <c r="E52" s="276"/>
      <c r="F52" s="276"/>
      <c r="G52" s="276"/>
      <c r="H52" s="276"/>
    </row>
    <row r="53" spans="2:8" s="151" customFormat="1" ht="18" customHeight="1">
      <c r="B53" s="152">
        <v>160103</v>
      </c>
      <c r="C53" s="155" t="s">
        <v>204</v>
      </c>
      <c r="D53" s="154">
        <v>0</v>
      </c>
      <c r="E53" s="276"/>
      <c r="F53" s="276"/>
      <c r="G53" s="276"/>
      <c r="H53" s="276"/>
    </row>
    <row r="54" spans="2:8" s="151" customFormat="1" ht="18" customHeight="1">
      <c r="B54" s="152">
        <v>160104</v>
      </c>
      <c r="C54" s="155" t="s">
        <v>205</v>
      </c>
      <c r="D54" s="154">
        <v>15000000</v>
      </c>
      <c r="E54" s="276"/>
      <c r="F54" s="276"/>
      <c r="G54" s="276"/>
      <c r="H54" s="276"/>
    </row>
    <row r="55" spans="2:8" s="151" customFormat="1" ht="18" customHeight="1">
      <c r="B55" s="152">
        <v>160105</v>
      </c>
      <c r="C55" s="155" t="s">
        <v>206</v>
      </c>
      <c r="D55" s="154">
        <v>3000000</v>
      </c>
      <c r="E55" s="276"/>
      <c r="F55" s="276"/>
      <c r="G55" s="276"/>
      <c r="H55" s="276"/>
    </row>
    <row r="56" spans="2:8" s="151" customFormat="1" ht="18" customHeight="1">
      <c r="B56" s="152">
        <v>160106</v>
      </c>
      <c r="C56" s="155" t="s">
        <v>207</v>
      </c>
      <c r="D56" s="154">
        <v>4000000</v>
      </c>
      <c r="E56" s="276"/>
      <c r="F56" s="276"/>
      <c r="G56" s="276"/>
      <c r="H56" s="276"/>
    </row>
    <row r="57" spans="2:8" s="151" customFormat="1" ht="18" customHeight="1">
      <c r="B57" s="152">
        <v>160107</v>
      </c>
      <c r="C57" s="155" t="s">
        <v>208</v>
      </c>
      <c r="D57" s="154">
        <v>11000000</v>
      </c>
      <c r="E57" s="276"/>
      <c r="F57" s="276"/>
      <c r="G57" s="276"/>
      <c r="H57" s="276"/>
    </row>
    <row r="58" spans="2:8" s="151" customFormat="1" ht="18" customHeight="1">
      <c r="B58" s="152">
        <v>160108</v>
      </c>
      <c r="C58" s="155" t="s">
        <v>209</v>
      </c>
      <c r="D58" s="154">
        <v>0</v>
      </c>
      <c r="E58" s="276"/>
      <c r="F58" s="276"/>
      <c r="G58" s="276"/>
      <c r="H58" s="276"/>
    </row>
    <row r="59" spans="2:8" s="151" customFormat="1" ht="18" customHeight="1">
      <c r="B59" s="152">
        <v>160109</v>
      </c>
      <c r="C59" s="155" t="s">
        <v>289</v>
      </c>
      <c r="D59" s="154"/>
      <c r="E59" s="276"/>
      <c r="F59" s="276"/>
      <c r="G59" s="276"/>
      <c r="H59" s="276"/>
    </row>
    <row r="60" spans="2:8" s="151" customFormat="1" ht="18" customHeight="1">
      <c r="B60" s="152">
        <v>16010901</v>
      </c>
      <c r="C60" s="155" t="s">
        <v>210</v>
      </c>
      <c r="D60" s="154">
        <v>0</v>
      </c>
      <c r="E60" s="276"/>
      <c r="F60" s="276"/>
      <c r="G60" s="276"/>
      <c r="H60" s="276"/>
    </row>
    <row r="61" spans="2:8" s="151" customFormat="1" ht="18" customHeight="1">
      <c r="B61" s="152">
        <v>16010902</v>
      </c>
      <c r="C61" s="155" t="s">
        <v>211</v>
      </c>
      <c r="D61" s="154">
        <v>0</v>
      </c>
      <c r="E61" s="276"/>
      <c r="F61" s="276"/>
      <c r="G61" s="276"/>
      <c r="H61" s="276"/>
    </row>
    <row r="62" spans="2:8" s="151" customFormat="1" ht="18" customHeight="1">
      <c r="B62" s="152">
        <v>16010903</v>
      </c>
      <c r="C62" s="155" t="s">
        <v>212</v>
      </c>
      <c r="D62" s="154">
        <v>0</v>
      </c>
      <c r="E62" s="276"/>
      <c r="F62" s="276"/>
      <c r="G62" s="276"/>
      <c r="H62" s="276"/>
    </row>
    <row r="63" spans="2:8" s="151" customFormat="1" ht="18" customHeight="1">
      <c r="B63" s="152">
        <v>16010904</v>
      </c>
      <c r="C63" s="155" t="s">
        <v>213</v>
      </c>
      <c r="D63" s="154"/>
      <c r="E63" s="276"/>
      <c r="F63" s="276"/>
      <c r="G63" s="276"/>
      <c r="H63" s="276"/>
    </row>
    <row r="64" spans="2:8" s="151" customFormat="1" ht="18" customHeight="1">
      <c r="B64" s="152">
        <v>16010905</v>
      </c>
      <c r="C64" s="155" t="s">
        <v>214</v>
      </c>
      <c r="D64" s="154"/>
      <c r="E64" s="276"/>
      <c r="F64" s="276"/>
      <c r="G64" s="276"/>
      <c r="H64" s="276"/>
    </row>
    <row r="65" spans="2:8" s="151" customFormat="1" ht="18" customHeight="1">
      <c r="B65" s="152">
        <v>16010906</v>
      </c>
      <c r="C65" s="155" t="s">
        <v>215</v>
      </c>
      <c r="D65" s="154"/>
      <c r="E65" s="276"/>
      <c r="F65" s="276"/>
      <c r="G65" s="276"/>
      <c r="H65" s="276"/>
    </row>
    <row r="66" spans="2:8" s="151" customFormat="1" ht="18" customHeight="1">
      <c r="B66" s="152">
        <v>16010907</v>
      </c>
      <c r="C66" s="155" t="s">
        <v>281</v>
      </c>
      <c r="D66" s="154"/>
      <c r="E66" s="276"/>
      <c r="F66" s="276"/>
      <c r="G66" s="276"/>
      <c r="H66" s="276"/>
    </row>
    <row r="67" spans="2:8" s="151" customFormat="1" ht="18" customHeight="1">
      <c r="B67" s="152"/>
      <c r="C67" s="155"/>
      <c r="D67" s="154"/>
      <c r="E67" s="276"/>
      <c r="F67" s="276"/>
      <c r="G67" s="276"/>
      <c r="H67" s="276"/>
    </row>
    <row r="68" spans="2:8" s="151" customFormat="1" ht="18" customHeight="1">
      <c r="B68" s="152">
        <v>23</v>
      </c>
      <c r="C68" s="155" t="s">
        <v>216</v>
      </c>
      <c r="D68" s="150">
        <v>1000000</v>
      </c>
      <c r="E68" s="333"/>
      <c r="F68" s="333"/>
      <c r="G68" s="333"/>
      <c r="H68" s="333"/>
    </row>
    <row r="69" spans="2:8" s="151" customFormat="1" ht="18" customHeight="1">
      <c r="B69" s="152"/>
      <c r="C69" s="155"/>
      <c r="D69" s="154"/>
      <c r="E69" s="276"/>
      <c r="F69" s="276"/>
      <c r="G69" s="276"/>
      <c r="H69" s="276"/>
    </row>
    <row r="70" spans="2:8" s="151" customFormat="1" ht="18" customHeight="1">
      <c r="B70" s="156">
        <v>3</v>
      </c>
      <c r="C70" s="157" t="s">
        <v>217</v>
      </c>
      <c r="D70" s="150">
        <f>+D71+D80</f>
        <v>324188072.6982818</v>
      </c>
      <c r="E70" s="333"/>
      <c r="F70" s="333"/>
      <c r="G70" s="333"/>
      <c r="H70" s="333"/>
    </row>
    <row r="71" spans="2:8" s="151" customFormat="1" ht="18" customHeight="1">
      <c r="B71" s="152">
        <v>3601</v>
      </c>
      <c r="C71" s="155" t="s">
        <v>218</v>
      </c>
      <c r="D71" s="154">
        <f>SUM(D72:D75)-1</f>
        <v>96281451.715994</v>
      </c>
      <c r="E71" s="276"/>
      <c r="F71" s="276"/>
      <c r="G71" s="276"/>
      <c r="H71" s="276"/>
    </row>
    <row r="72" spans="2:9" s="151" customFormat="1" ht="18" customHeight="1">
      <c r="B72" s="152">
        <v>360101</v>
      </c>
      <c r="C72" s="155" t="s">
        <v>219</v>
      </c>
      <c r="D72" s="308">
        <f>SUM(PROYENOMINA!W29)</f>
        <v>30637712.78273742</v>
      </c>
      <c r="E72" s="334"/>
      <c r="F72" s="334"/>
      <c r="G72" s="334"/>
      <c r="H72" s="334"/>
      <c r="I72" s="151">
        <v>8257433</v>
      </c>
    </row>
    <row r="73" spans="2:9" s="151" customFormat="1" ht="18" customHeight="1">
      <c r="B73" s="152">
        <v>360102</v>
      </c>
      <c r="C73" s="155" t="s">
        <v>220</v>
      </c>
      <c r="D73" s="308">
        <f>SUM(PROYENOMINA!AE29+PROYENOMINA!AE44)</f>
        <v>32425888.6518</v>
      </c>
      <c r="E73" s="334"/>
      <c r="F73" s="334"/>
      <c r="G73" s="334"/>
      <c r="H73" s="334"/>
      <c r="I73" s="151">
        <v>4682079</v>
      </c>
    </row>
    <row r="74" spans="2:9" s="151" customFormat="1" ht="18" customHeight="1">
      <c r="B74" s="152">
        <v>360103</v>
      </c>
      <c r="C74" s="155" t="s">
        <v>221</v>
      </c>
      <c r="D74" s="308">
        <f>SUM(PROYENOMINA!AD29)</f>
        <v>31696422.02429063</v>
      </c>
      <c r="E74" s="334"/>
      <c r="F74" s="334"/>
      <c r="G74" s="334"/>
      <c r="H74" s="334"/>
      <c r="I74" s="151">
        <v>6364700</v>
      </c>
    </row>
    <row r="75" spans="2:9" s="151" customFormat="1" ht="18" customHeight="1">
      <c r="B75" s="152">
        <v>360104</v>
      </c>
      <c r="C75" s="155" t="s">
        <v>222</v>
      </c>
      <c r="D75" s="308">
        <f>SUM(PROYENOMINA!AF29)+1</f>
        <v>1521429.2571659503</v>
      </c>
      <c r="E75" s="334"/>
      <c r="F75" s="334"/>
      <c r="G75" s="334"/>
      <c r="H75" s="334"/>
      <c r="I75" s="151">
        <v>305505</v>
      </c>
    </row>
    <row r="76" spans="2:8" s="151" customFormat="1" ht="18" customHeight="1">
      <c r="B76" s="275"/>
      <c r="C76" s="235"/>
      <c r="D76" s="276"/>
      <c r="E76" s="276"/>
      <c r="F76" s="276"/>
      <c r="G76" s="276"/>
      <c r="H76" s="276"/>
    </row>
    <row r="77" spans="2:8" s="151" customFormat="1" ht="18" customHeight="1">
      <c r="B77" s="141" t="s">
        <v>167</v>
      </c>
      <c r="C77" s="142" t="s">
        <v>1</v>
      </c>
      <c r="D77" s="143" t="s">
        <v>168</v>
      </c>
      <c r="E77" s="332"/>
      <c r="F77" s="332"/>
      <c r="G77" s="332"/>
      <c r="H77" s="332"/>
    </row>
    <row r="78" spans="2:8" s="151" customFormat="1" ht="18" customHeight="1">
      <c r="B78" s="145"/>
      <c r="C78" s="146"/>
      <c r="D78" s="147" t="s">
        <v>169</v>
      </c>
      <c r="E78" s="332"/>
      <c r="F78" s="332"/>
      <c r="G78" s="332"/>
      <c r="H78" s="332"/>
    </row>
    <row r="79" spans="2:8" s="151" customFormat="1" ht="18" customHeight="1">
      <c r="B79" s="152"/>
      <c r="C79" s="155"/>
      <c r="D79" s="154"/>
      <c r="E79" s="276"/>
      <c r="F79" s="276"/>
      <c r="G79" s="276"/>
      <c r="H79" s="276"/>
    </row>
    <row r="80" spans="2:8" s="151" customFormat="1" ht="18" customHeight="1">
      <c r="B80" s="156">
        <v>4601</v>
      </c>
      <c r="C80" s="157" t="s">
        <v>223</v>
      </c>
      <c r="D80" s="150">
        <f>SUM(D82+D81+D83)</f>
        <v>227906620.98228782</v>
      </c>
      <c r="E80" s="333"/>
      <c r="F80" s="333"/>
      <c r="G80" s="333"/>
      <c r="H80" s="333"/>
    </row>
    <row r="81" spans="2:8" s="151" customFormat="1" ht="18" customHeight="1">
      <c r="B81" s="152">
        <v>460101</v>
      </c>
      <c r="C81" s="155" t="s">
        <v>224</v>
      </c>
      <c r="D81" s="154">
        <v>5000000</v>
      </c>
      <c r="E81" s="276"/>
      <c r="F81" s="276"/>
      <c r="G81" s="276"/>
      <c r="H81" s="276"/>
    </row>
    <row r="82" spans="2:8" s="151" customFormat="1" ht="18" customHeight="1">
      <c r="B82" s="152">
        <v>460102</v>
      </c>
      <c r="C82" s="155" t="s">
        <v>274</v>
      </c>
      <c r="D82" s="154">
        <v>1300000</v>
      </c>
      <c r="E82" s="276"/>
      <c r="F82" s="276"/>
      <c r="G82" s="276"/>
      <c r="H82" s="276"/>
    </row>
    <row r="83" spans="2:8" s="151" customFormat="1" ht="18" customHeight="1">
      <c r="B83" s="152">
        <v>460103</v>
      </c>
      <c r="C83" s="155" t="s">
        <v>225</v>
      </c>
      <c r="D83" s="154">
        <f>SUM(D84:D91)</f>
        <v>221606620.98228782</v>
      </c>
      <c r="E83" s="276"/>
      <c r="F83" s="276"/>
      <c r="G83" s="276"/>
      <c r="H83" s="276"/>
    </row>
    <row r="84" spans="2:8" s="151" customFormat="1" ht="18" customHeight="1">
      <c r="B84" s="152">
        <v>46010301</v>
      </c>
      <c r="C84" s="155" t="s">
        <v>226</v>
      </c>
      <c r="D84" s="154">
        <f>SUM(INGRESOS04!E8)</f>
        <v>35112000</v>
      </c>
      <c r="E84" s="276"/>
      <c r="F84" s="276"/>
      <c r="G84" s="276"/>
      <c r="H84" s="276"/>
    </row>
    <row r="85" spans="2:8" s="151" customFormat="1" ht="18" customHeight="1">
      <c r="B85" s="152">
        <v>46010302</v>
      </c>
      <c r="C85" s="155" t="s">
        <v>227</v>
      </c>
      <c r="D85" s="154">
        <f>SUM(INGRESOS04!E69)</f>
        <v>68953850.7</v>
      </c>
      <c r="E85" s="276"/>
      <c r="F85" s="276"/>
      <c r="G85" s="276"/>
      <c r="H85" s="276"/>
    </row>
    <row r="86" spans="2:8" s="151" customFormat="1" ht="18" customHeight="1">
      <c r="B86" s="152">
        <v>46010303</v>
      </c>
      <c r="C86" s="155" t="s">
        <v>228</v>
      </c>
      <c r="D86" s="154">
        <f>SUM(INGRESOS04!E20+INGRESOS04!E17+INGRESOS04!E19+INGRESOS04!E44)</f>
        <v>3678241.9670836106</v>
      </c>
      <c r="E86" s="276"/>
      <c r="F86" s="276"/>
      <c r="G86" s="276"/>
      <c r="H86" s="276"/>
    </row>
    <row r="87" spans="2:8" s="151" customFormat="1" ht="18" customHeight="1">
      <c r="B87" s="152">
        <v>46010304</v>
      </c>
      <c r="C87" s="155" t="s">
        <v>229</v>
      </c>
      <c r="D87" s="154">
        <f>SUM(INGRESOS04!E15)</f>
        <v>6300000</v>
      </c>
      <c r="E87" s="276"/>
      <c r="F87" s="276"/>
      <c r="G87" s="276"/>
      <c r="H87" s="276"/>
    </row>
    <row r="88" spans="2:8" s="151" customFormat="1" ht="18" customHeight="1">
      <c r="B88" s="152">
        <v>46010305</v>
      </c>
      <c r="C88" s="357" t="s">
        <v>266</v>
      </c>
      <c r="D88" s="244">
        <f>SUM(INGRESOS04!E31)-SUM(INGRESOS04!E31)*0.2</f>
        <v>41259176.31218381</v>
      </c>
      <c r="E88" s="276"/>
      <c r="F88" s="276"/>
      <c r="G88" s="276"/>
      <c r="H88" s="276"/>
    </row>
    <row r="89" spans="2:10" s="151" customFormat="1" ht="18" customHeight="1">
      <c r="B89" s="355">
        <v>46010306</v>
      </c>
      <c r="C89" s="245" t="s">
        <v>285</v>
      </c>
      <c r="D89" s="154">
        <f>SUM(INGRESOS04!F74*0.15)</f>
        <v>1895039.179349518</v>
      </c>
      <c r="E89" s="276"/>
      <c r="F89" s="276"/>
      <c r="G89" s="276"/>
      <c r="H89" s="276"/>
      <c r="I89" s="270"/>
      <c r="J89" s="270"/>
    </row>
    <row r="90" spans="2:10" s="151" customFormat="1" ht="18" customHeight="1">
      <c r="B90" s="355">
        <v>46010307</v>
      </c>
      <c r="C90" s="245" t="s">
        <v>288</v>
      </c>
      <c r="D90" s="154">
        <f>(SUM(INGRESOS04!E31)+SUM(INGRESOS04!E32))*0.2</f>
        <v>21133497.82717094</v>
      </c>
      <c r="E90" s="276"/>
      <c r="F90" s="276"/>
      <c r="G90" s="276"/>
      <c r="H90" s="276"/>
      <c r="I90" s="270"/>
      <c r="J90" s="270"/>
    </row>
    <row r="91" spans="2:8" s="151" customFormat="1" ht="18" customHeight="1">
      <c r="B91" s="355">
        <v>46010307</v>
      </c>
      <c r="C91" s="245" t="s">
        <v>279</v>
      </c>
      <c r="D91" s="154">
        <f>SUM(INGRESOS04!E32)-SUM(INGRESOS04!E32)*0.2</f>
        <v>43274814.99649994</v>
      </c>
      <c r="E91" s="276"/>
      <c r="F91" s="276"/>
      <c r="G91" s="276"/>
      <c r="H91" s="276"/>
    </row>
    <row r="92" spans="2:9" s="151" customFormat="1" ht="18" customHeight="1">
      <c r="B92" s="356" t="s">
        <v>278</v>
      </c>
      <c r="C92" s="158"/>
      <c r="D92" s="358">
        <f>+D94-D83</f>
        <v>693576491.2693565</v>
      </c>
      <c r="E92" s="333"/>
      <c r="F92" s="333"/>
      <c r="G92" s="333"/>
      <c r="H92" s="333"/>
      <c r="I92" s="151">
        <f>SUM(I8:I91)</f>
        <v>118261420</v>
      </c>
    </row>
    <row r="93" spans="2:8" s="151" customFormat="1" ht="18" customHeight="1">
      <c r="B93" s="356" t="s">
        <v>317</v>
      </c>
      <c r="C93" s="158"/>
      <c r="D93" s="358">
        <v>14527069</v>
      </c>
      <c r="E93" s="333"/>
      <c r="F93" s="333"/>
      <c r="G93" s="333"/>
      <c r="H93" s="333"/>
    </row>
    <row r="94" spans="2:8" s="151" customFormat="1" ht="18" customHeight="1">
      <c r="B94" s="157" t="s">
        <v>110</v>
      </c>
      <c r="C94" s="159"/>
      <c r="D94" s="359">
        <f>+D70+D43+D6+D93</f>
        <v>915183112.2516444</v>
      </c>
      <c r="E94" s="333"/>
      <c r="F94" s="333"/>
      <c r="G94" s="333"/>
      <c r="H94" s="333"/>
    </row>
    <row r="98" ht="12.75">
      <c r="C98" s="280" t="s">
        <v>286</v>
      </c>
    </row>
    <row r="100" ht="12.75">
      <c r="C100" s="37"/>
    </row>
  </sheetData>
  <printOptions/>
  <pageMargins left="0.6692913385826772" right="0.5511811023622047" top="1.4173228346456694" bottom="0.9448818897637796" header="0.5905511811023623" footer="0.1968503937007874"/>
  <pageSetup horizontalDpi="120" verticalDpi="120" orientation="portrait" paperSize="128" scale="95" r:id="rId1"/>
  <headerFooter alignWithMargins="0">
    <oddHeader>&amp;C
</oddHeader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45">
      <selection activeCell="D60" sqref="D60"/>
    </sheetView>
  </sheetViews>
  <sheetFormatPr defaultColWidth="11.421875" defaultRowHeight="12.75"/>
  <cols>
    <col min="2" max="2" width="8.8515625" style="0" customWidth="1"/>
    <col min="3" max="3" width="52.8515625" style="0" customWidth="1"/>
    <col min="4" max="4" width="14.421875" style="0" customWidth="1"/>
  </cols>
  <sheetData>
    <row r="1" spans="2:4" s="135" customFormat="1" ht="18" customHeight="1">
      <c r="B1" s="132"/>
      <c r="C1" s="160" t="s">
        <v>230</v>
      </c>
      <c r="D1" s="134"/>
    </row>
    <row r="2" spans="2:4" s="135" customFormat="1" ht="18" customHeight="1">
      <c r="B2" s="136"/>
      <c r="C2" s="161" t="s">
        <v>231</v>
      </c>
      <c r="D2" s="134"/>
    </row>
    <row r="3" spans="2:4" s="135" customFormat="1" ht="12.75" customHeight="1">
      <c r="B3" s="138"/>
      <c r="C3" s="139"/>
      <c r="D3" s="140"/>
    </row>
    <row r="4" spans="2:4" s="144" customFormat="1" ht="14.25" customHeight="1">
      <c r="B4" s="141" t="s">
        <v>167</v>
      </c>
      <c r="C4" s="142" t="s">
        <v>1</v>
      </c>
      <c r="D4" s="143" t="s">
        <v>168</v>
      </c>
    </row>
    <row r="5" spans="2:4" s="144" customFormat="1" ht="14.25" customHeight="1">
      <c r="B5" s="145"/>
      <c r="C5" s="146"/>
      <c r="D5" s="147" t="s">
        <v>169</v>
      </c>
    </row>
    <row r="6" spans="2:4" s="162" customFormat="1" ht="18" customHeight="1">
      <c r="B6" s="148">
        <v>1</v>
      </c>
      <c r="C6" s="149" t="s">
        <v>170</v>
      </c>
      <c r="D6" s="150">
        <f>SUM(D7+D22+D25)</f>
        <v>55090753.58621097</v>
      </c>
    </row>
    <row r="7" spans="2:4" s="151" customFormat="1" ht="18" customHeight="1">
      <c r="B7" s="152">
        <v>1103</v>
      </c>
      <c r="C7" s="153" t="s">
        <v>171</v>
      </c>
      <c r="D7" s="154">
        <f>SUM(D8:D19)</f>
        <v>50933537.16101019</v>
      </c>
    </row>
    <row r="8" spans="2:4" s="151" customFormat="1" ht="18" customHeight="1">
      <c r="B8" s="152">
        <v>110301</v>
      </c>
      <c r="C8" s="153" t="s">
        <v>172</v>
      </c>
      <c r="D8" s="154">
        <f>SUM(PROYENOMINA!H39+PROYENOMINA!U39)</f>
        <v>40785977.76132378</v>
      </c>
    </row>
    <row r="9" spans="2:4" s="151" customFormat="1" ht="18" customHeight="1">
      <c r="B9" s="152"/>
      <c r="C9" s="155" t="s">
        <v>173</v>
      </c>
      <c r="D9" s="154"/>
    </row>
    <row r="10" spans="2:4" s="151" customFormat="1" ht="18" customHeight="1">
      <c r="B10" s="152">
        <v>110303</v>
      </c>
      <c r="C10" s="155" t="s">
        <v>174</v>
      </c>
      <c r="D10" s="154"/>
    </row>
    <row r="11" spans="2:4" s="151" customFormat="1" ht="18" customHeight="1">
      <c r="B11" s="152">
        <v>110304</v>
      </c>
      <c r="C11" s="155" t="s">
        <v>175</v>
      </c>
      <c r="D11" s="154"/>
    </row>
    <row r="12" spans="2:4" s="151" customFormat="1" ht="18" customHeight="1">
      <c r="B12" s="152">
        <v>11030401</v>
      </c>
      <c r="C12" s="155" t="s">
        <v>176</v>
      </c>
      <c r="D12" s="154"/>
    </row>
    <row r="13" spans="2:4" s="151" customFormat="1" ht="18" customHeight="1">
      <c r="B13" s="152">
        <v>11030402</v>
      </c>
      <c r="C13" s="155" t="s">
        <v>177</v>
      </c>
      <c r="D13" s="154">
        <f>SUM(PROYENOMINA!J39)</f>
        <v>445320</v>
      </c>
    </row>
    <row r="14" spans="2:4" s="151" customFormat="1" ht="18" customHeight="1">
      <c r="B14" s="152">
        <v>11030403</v>
      </c>
      <c r="C14" s="155" t="s">
        <v>178</v>
      </c>
      <c r="D14" s="154">
        <f>SUM(PROYENOMINA!K39)</f>
        <v>637032</v>
      </c>
    </row>
    <row r="15" spans="2:4" s="151" customFormat="1" ht="18" customHeight="1">
      <c r="B15" s="152">
        <v>11030404</v>
      </c>
      <c r="C15" s="155" t="s">
        <v>179</v>
      </c>
      <c r="D15" s="154">
        <f>SUM(PROYENOMINA!L39)</f>
        <v>1309591.7625</v>
      </c>
    </row>
    <row r="16" spans="2:4" s="151" customFormat="1" ht="18" customHeight="1">
      <c r="B16" s="152">
        <v>11030405</v>
      </c>
      <c r="C16" s="155" t="s">
        <v>180</v>
      </c>
      <c r="D16" s="154">
        <f>SUM(PROYENOMINA!M39)</f>
        <v>1787953.0234375</v>
      </c>
    </row>
    <row r="17" spans="2:4" s="151" customFormat="1" ht="18" customHeight="1">
      <c r="B17" s="152">
        <v>11030406</v>
      </c>
      <c r="C17" s="155" t="s">
        <v>181</v>
      </c>
      <c r="D17" s="154">
        <f>SUM(PROYENOMINA!N39)</f>
        <v>1862451.0660807292</v>
      </c>
    </row>
    <row r="18" spans="2:4" s="151" customFormat="1" ht="18" customHeight="1">
      <c r="B18" s="152">
        <v>11030407</v>
      </c>
      <c r="C18" s="155" t="s">
        <v>182</v>
      </c>
      <c r="D18" s="154">
        <f>SUM(PROYENOMINA!O39)</f>
        <v>3880106.387668186</v>
      </c>
    </row>
    <row r="19" spans="2:4" s="151" customFormat="1" ht="18" customHeight="1">
      <c r="B19" s="152">
        <v>11030408</v>
      </c>
      <c r="C19" s="155" t="s">
        <v>183</v>
      </c>
      <c r="D19" s="154">
        <f>SUM(PROYENOMINA!T39)</f>
        <v>225105.16</v>
      </c>
    </row>
    <row r="20" spans="2:4" s="151" customFormat="1" ht="18" customHeight="1">
      <c r="B20" s="152"/>
      <c r="C20" s="155" t="s">
        <v>232</v>
      </c>
      <c r="D20" s="154">
        <v>0</v>
      </c>
    </row>
    <row r="21" spans="2:4" s="151" customFormat="1" ht="18" customHeight="1">
      <c r="B21" s="152"/>
      <c r="C21" s="155"/>
      <c r="D21" s="154"/>
    </row>
    <row r="22" spans="2:4" s="151" customFormat="1" ht="18" customHeight="1">
      <c r="B22" s="152">
        <v>1303</v>
      </c>
      <c r="C22" s="155" t="s">
        <v>189</v>
      </c>
      <c r="D22" s="154">
        <f>D23</f>
        <v>1847651.7445336806</v>
      </c>
    </row>
    <row r="23" spans="2:4" s="151" customFormat="1" ht="18" customHeight="1">
      <c r="B23" s="152">
        <v>130301</v>
      </c>
      <c r="C23" s="155" t="s">
        <v>190</v>
      </c>
      <c r="D23" s="154">
        <f>SUM(PROYENOMINA!Y39)</f>
        <v>1847651.7445336806</v>
      </c>
    </row>
    <row r="24" spans="2:4" s="151" customFormat="1" ht="18" customHeight="1">
      <c r="B24" s="152"/>
      <c r="C24" s="155"/>
      <c r="D24" s="154"/>
    </row>
    <row r="25" spans="2:4" s="151" customFormat="1" ht="18" customHeight="1">
      <c r="B25" s="152">
        <v>1403</v>
      </c>
      <c r="C25" s="155" t="s">
        <v>191</v>
      </c>
      <c r="D25" s="154">
        <f>SUM(D26:D29)</f>
        <v>2309564.6806671005</v>
      </c>
    </row>
    <row r="26" spans="2:4" s="151" customFormat="1" ht="18" customHeight="1">
      <c r="B26" s="152">
        <v>140301</v>
      </c>
      <c r="C26" s="155" t="s">
        <v>192</v>
      </c>
      <c r="D26" s="154">
        <f>SUM(PROYENOMINA!AA39)</f>
        <v>230956.46806671008</v>
      </c>
    </row>
    <row r="27" spans="2:4" s="151" customFormat="1" ht="18" customHeight="1">
      <c r="B27" s="152">
        <v>140302</v>
      </c>
      <c r="C27" s="155" t="s">
        <v>113</v>
      </c>
      <c r="D27" s="154">
        <f>SUM(PROYENOMINA!Z39)</f>
        <v>1385738.8084002603</v>
      </c>
    </row>
    <row r="28" spans="2:4" s="151" customFormat="1" ht="18" customHeight="1">
      <c r="B28" s="152">
        <v>140303</v>
      </c>
      <c r="C28" s="155" t="s">
        <v>193</v>
      </c>
      <c r="D28" s="154">
        <f>SUM(PROYENOMINA!AC39)</f>
        <v>461912.93613342015</v>
      </c>
    </row>
    <row r="29" spans="2:4" s="151" customFormat="1" ht="18" customHeight="1">
      <c r="B29" s="152">
        <v>140304</v>
      </c>
      <c r="C29" s="155" t="s">
        <v>194</v>
      </c>
      <c r="D29" s="154">
        <f>SUM(PROYENOMINA!AB39)</f>
        <v>230956.46806671008</v>
      </c>
    </row>
    <row r="30" spans="2:4" s="151" customFormat="1" ht="18" customHeight="1">
      <c r="B30" s="152"/>
      <c r="C30" s="155"/>
      <c r="D30" s="154"/>
    </row>
    <row r="31" spans="2:4" s="162" customFormat="1" ht="18" customHeight="1">
      <c r="B31" s="156">
        <v>2</v>
      </c>
      <c r="C31" s="157" t="s">
        <v>195</v>
      </c>
      <c r="D31" s="150">
        <f>SUM(D32+D41)</f>
        <v>6499727</v>
      </c>
    </row>
    <row r="32" spans="2:4" s="151" customFormat="1" ht="18" customHeight="1">
      <c r="B32" s="152">
        <v>1503</v>
      </c>
      <c r="C32" s="155" t="s">
        <v>196</v>
      </c>
      <c r="D32" s="154">
        <f>SUM(D33:D35)</f>
        <v>3308785</v>
      </c>
    </row>
    <row r="33" spans="2:4" s="151" customFormat="1" ht="18" customHeight="1">
      <c r="B33" s="152"/>
      <c r="C33" s="155" t="s">
        <v>197</v>
      </c>
      <c r="D33" s="154">
        <v>1000000</v>
      </c>
    </row>
    <row r="34" spans="2:4" s="151" customFormat="1" ht="18" customHeight="1">
      <c r="B34" s="152">
        <v>150302</v>
      </c>
      <c r="C34" s="155" t="s">
        <v>198</v>
      </c>
      <c r="D34" s="154">
        <v>1208785</v>
      </c>
    </row>
    <row r="35" spans="2:4" s="151" customFormat="1" ht="18" customHeight="1">
      <c r="B35" s="152">
        <v>150303</v>
      </c>
      <c r="C35" s="155" t="s">
        <v>199</v>
      </c>
      <c r="D35" s="154">
        <v>1100000</v>
      </c>
    </row>
    <row r="36" spans="2:4" s="151" customFormat="1" ht="18" customHeight="1">
      <c r="B36" s="152"/>
      <c r="C36" s="155"/>
      <c r="D36" s="244"/>
    </row>
    <row r="37" spans="2:4" s="151" customFormat="1" ht="18" customHeight="1">
      <c r="B37" s="275"/>
      <c r="C37" s="235"/>
      <c r="D37" s="276"/>
    </row>
    <row r="38" spans="2:4" s="151" customFormat="1" ht="18" customHeight="1">
      <c r="B38" s="275"/>
      <c r="C38" s="235"/>
      <c r="D38" s="276"/>
    </row>
    <row r="39" spans="2:4" s="151" customFormat="1" ht="18" customHeight="1">
      <c r="B39" s="141" t="s">
        <v>167</v>
      </c>
      <c r="C39" s="142" t="s">
        <v>1</v>
      </c>
      <c r="D39" s="143" t="s">
        <v>168</v>
      </c>
    </row>
    <row r="40" spans="2:4" s="151" customFormat="1" ht="18" customHeight="1">
      <c r="B40" s="145"/>
      <c r="C40" s="146"/>
      <c r="D40" s="147" t="s">
        <v>169</v>
      </c>
    </row>
    <row r="41" spans="2:4" s="151" customFormat="1" ht="18" customHeight="1">
      <c r="B41" s="152">
        <v>1603</v>
      </c>
      <c r="C41" s="155" t="s">
        <v>201</v>
      </c>
      <c r="D41" s="244">
        <f>SUM(D42:D48)</f>
        <v>3190942</v>
      </c>
    </row>
    <row r="42" spans="2:4" s="151" customFormat="1" ht="18" customHeight="1">
      <c r="B42" s="152"/>
      <c r="C42" s="155" t="s">
        <v>202</v>
      </c>
      <c r="D42" s="154">
        <v>290942</v>
      </c>
    </row>
    <row r="43" spans="2:4" s="151" customFormat="1" ht="18" customHeight="1">
      <c r="B43" s="152"/>
      <c r="C43" s="155" t="s">
        <v>203</v>
      </c>
      <c r="D43" s="154">
        <v>0</v>
      </c>
    </row>
    <row r="44" spans="2:4" s="151" customFormat="1" ht="18" customHeight="1">
      <c r="B44" s="152"/>
      <c r="C44" s="155" t="s">
        <v>204</v>
      </c>
      <c r="D44" s="154">
        <v>0</v>
      </c>
    </row>
    <row r="45" spans="2:4" s="151" customFormat="1" ht="18" customHeight="1">
      <c r="B45" s="152">
        <v>160304</v>
      </c>
      <c r="C45" s="155" t="s">
        <v>205</v>
      </c>
      <c r="D45" s="154">
        <v>2200000</v>
      </c>
    </row>
    <row r="46" spans="2:4" s="151" customFormat="1" ht="18" customHeight="1">
      <c r="B46" s="152"/>
      <c r="C46" s="155" t="s">
        <v>206</v>
      </c>
      <c r="D46" s="154">
        <v>0</v>
      </c>
    </row>
    <row r="47" spans="2:4" s="151" customFormat="1" ht="18" customHeight="1">
      <c r="B47" s="152"/>
      <c r="C47" s="155" t="s">
        <v>207</v>
      </c>
      <c r="D47" s="154">
        <v>0</v>
      </c>
    </row>
    <row r="48" spans="2:4" s="151" customFormat="1" ht="18" customHeight="1">
      <c r="B48" s="152">
        <v>160305</v>
      </c>
      <c r="C48" s="155" t="s">
        <v>208</v>
      </c>
      <c r="D48" s="154">
        <v>700000</v>
      </c>
    </row>
    <row r="49" spans="2:4" s="151" customFormat="1" ht="18" customHeight="1">
      <c r="B49" s="152"/>
      <c r="C49" s="155"/>
      <c r="D49" s="154"/>
    </row>
    <row r="50" spans="2:4" s="151" customFormat="1" ht="18" customHeight="1">
      <c r="B50" s="152"/>
      <c r="C50" s="155"/>
      <c r="D50" s="154"/>
    </row>
    <row r="51" spans="2:4" s="162" customFormat="1" ht="18" customHeight="1">
      <c r="B51" s="156">
        <v>3</v>
      </c>
      <c r="C51" s="157" t="s">
        <v>217</v>
      </c>
      <c r="D51" s="150">
        <f>+D52</f>
        <v>12090654.394302499</v>
      </c>
    </row>
    <row r="52" spans="2:4" s="151" customFormat="1" ht="18" customHeight="1">
      <c r="B52" s="152">
        <v>3603</v>
      </c>
      <c r="C52" s="155" t="s">
        <v>218</v>
      </c>
      <c r="D52" s="154">
        <f>SUM(D53:D56)</f>
        <v>12090654.394302499</v>
      </c>
    </row>
    <row r="53" spans="2:4" s="151" customFormat="1" ht="18" customHeight="1">
      <c r="B53" s="152">
        <v>360301</v>
      </c>
      <c r="C53" s="155" t="s">
        <v>219</v>
      </c>
      <c r="D53" s="154">
        <f>SUM(PROYENOMINA!W39+PROYENOMINA!X39)</f>
        <v>4730893.871966247</v>
      </c>
    </row>
    <row r="54" spans="2:4" s="151" customFormat="1" ht="18" customHeight="1">
      <c r="B54" s="152">
        <v>360302</v>
      </c>
      <c r="C54" s="155" t="s">
        <v>220</v>
      </c>
      <c r="D54" s="154">
        <f>SUM(PROYENOMINA!AE39)+1</f>
        <v>3346282.645</v>
      </c>
    </row>
    <row r="55" spans="2:4" s="151" customFormat="1" ht="18" customHeight="1">
      <c r="B55" s="152">
        <v>360303</v>
      </c>
      <c r="C55" s="155" t="s">
        <v>221</v>
      </c>
      <c r="D55" s="154">
        <v>3795133</v>
      </c>
    </row>
    <row r="56" spans="2:4" s="151" customFormat="1" ht="18" customHeight="1">
      <c r="B56" s="152">
        <v>360304</v>
      </c>
      <c r="C56" s="155" t="s">
        <v>222</v>
      </c>
      <c r="D56" s="154">
        <f>SUM(PROYENOMINA!AF39)</f>
        <v>218344.87733625</v>
      </c>
    </row>
    <row r="57" spans="2:4" s="151" customFormat="1" ht="18" customHeight="1">
      <c r="B57" s="152"/>
      <c r="C57" s="155"/>
      <c r="D57" s="154"/>
    </row>
    <row r="58" spans="2:4" s="162" customFormat="1" ht="18" customHeight="1">
      <c r="B58" s="156"/>
      <c r="C58" s="157" t="s">
        <v>110</v>
      </c>
      <c r="D58" s="150">
        <f>+D51+D31+D6</f>
        <v>73681134.98051347</v>
      </c>
    </row>
    <row r="60" ht="12.75">
      <c r="C60" s="235"/>
    </row>
    <row r="62" ht="12.75">
      <c r="C62" s="280" t="s">
        <v>286</v>
      </c>
    </row>
  </sheetData>
  <printOptions/>
  <pageMargins left="0.2362204724409449" right="0.35433070866141736" top="1.4960629921259843" bottom="0.984251968503937" header="0" footer="0"/>
  <pageSetup horizontalDpi="120" verticalDpi="120" orientation="portrait" paperSize="12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Argente</cp:lastModifiedBy>
  <cp:lastPrinted>2008-03-24T20:34:23Z</cp:lastPrinted>
  <dcterms:created xsi:type="dcterms:W3CDTF">2003-10-16T15:11:17Z</dcterms:created>
  <dcterms:modified xsi:type="dcterms:W3CDTF">2008-10-20T22:59:45Z</dcterms:modified>
  <cp:category/>
  <cp:version/>
  <cp:contentType/>
  <cp:contentStatus/>
</cp:coreProperties>
</file>