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2120" windowHeight="7020" activeTab="1"/>
  </bookViews>
  <sheets>
    <sheet name="PARTICIPACION" sheetId="1" r:id="rId1"/>
    <sheet name="DESARROLLO TERRI" sheetId="2" r:id="rId2"/>
    <sheet name="DESARROLLO ECON" sheetId="3" r:id="rId3"/>
    <sheet name="resumen" sheetId="4" r:id="rId4"/>
  </sheets>
  <externalReferences>
    <externalReference r:id="rId7"/>
    <externalReference r:id="rId8"/>
  </externalReferences>
  <definedNames>
    <definedName name="_xlnm.Print_Area" localSheetId="1">'DESARROLLO TERRI'!$A$1:$X$41</definedName>
    <definedName name="_xlnm.Print_Area" localSheetId="0">'PARTICIPACION'!$A$1:$Z$73</definedName>
    <definedName name="OLE_LINK1" localSheetId="1">'DESARROLLO TERRI'!$C$5</definedName>
  </definedNames>
  <calcPr fullCalcOnLoad="1"/>
</workbook>
</file>

<file path=xl/sharedStrings.xml><?xml version="1.0" encoding="utf-8"?>
<sst xmlns="http://schemas.openxmlformats.org/spreadsheetml/2006/main" count="507" uniqueCount="204">
  <si>
    <t xml:space="preserve">  Actualización y ejecución del plan maestro de acueducto y alcantarillado.
 Control de pérdidas y reducción de índice de agua no contabilizada.
 Restitución y expansión de redes de alcantarillado y optimización del sistema de redes.
 Preservación y Aprovechamiento del recurso hídrico en el municipio de Dosquebradas.
 Prevención y mitigación del riesgo para el sistema de acueducto y alcantarillado.
 Formulación, adopción e implementación del plan de gestión integral de residuos sólidos.
 Adecuación e implementación de escombreras municipales.
 Modernización, mantenimiento y expansión de alumbrado público en la zona urbana y rural.
 Electrificación en la zona rural.
 Diseñar y gestionar la realización del Plan Maestro de Alcantarillado como prioridad ambiental y de saneamiento básico del municipio y exigir a las nuevas urbanizaciones la implemntación de plantas de tratamiento de aguas residuales, de conformidad con la Ley. </t>
  </si>
  <si>
    <t xml:space="preserve">  Ø Fortalecimiento del Comitè de Estratificaciòn Municipal 2004
Ø Actualizaciòn de la estratificaciòn socioeconomica del Municipio 
Ø Creaciòn de la unidad de servicios publicos domiciliarios </t>
  </si>
  <si>
    <t xml:space="preserve"> Ø Construcción, adecuación y dotación de los Centros de Desarrollo Vecinal.</t>
  </si>
  <si>
    <t xml:space="preserve"> Ø Evaluar las condiciones para la creación del Instituto Municipal de Tránsito y Transporte.
Ø Campaña de señalización, prevención, educación vial y cultura ciudadana (Se realizará a través de las pasantías de los establecimientos educativos).
Ø Sistematización de la Secretaría de Transito.
Ø Fortalecimiento del sector operativo.
Ø Escuela de conducción.
Ø Ampliación de la red de semaforización.
Ø Ruede en Risaralda pague en Risaralda.
Ø Un guarda Cívico.
Ø Calidad y Mercadeo.</t>
  </si>
  <si>
    <t xml:space="preserve"> Ø Diagnostico de los sistemas  administrativos, financieros e informáticos.
Ø Implementación del presupuesto participativo en todo el municipio..
Ø Diseño e implementación de los sistemas administrativos, financieros e informáticos.
Ø Programa de Desarrollo y Bienestar Social del Talento Humano.
Ø Reestructuración organizacional de la administración Municipal con base al desarrollo de competencias.  Ø Modernización del Concejo Municipal mediante la sistematización del archivo, instalaciones locativas y mejoramiento de los equipos de computo. </t>
  </si>
  <si>
    <t xml:space="preserve">  Ampliación de la cobertura en todos los niveles educativos.
</t>
  </si>
  <si>
    <t xml:space="preserve">  Ampliación, construcción (Terminación) y reparación de plantas físicas.
 Dotación, reparación y reposición de mobiliario, canastas escolares y software educativo.
 Elaboración y diseño de la Política de distribución de cupos y organización de la población escolarizada.</t>
  </si>
  <si>
    <t xml:space="preserve">  Adecuación de la estructura administrativa de la Secretaría de Educación municipal a las nuevas responsabilidades.
 Implementar el Sistema de Información educativa.
 Dotación del software para el manejo de las plantas de personal y la nómina del magisterio.
 Mejoramiento de los sistemas de evaluación y promoción del magisterio y de los funcionarios de la Secretaría de Educación.
 Apoyo económico a estudios que contribuyan a la identificación y el establecimiento de políticas educativas municipales que mejoren la prestación del servicio educativo.
 Formulación del Plan Educativo Municipal PEM.
</t>
  </si>
  <si>
    <t xml:space="preserve">  Organización y fortalecimiento institucional para la gestión cultural en el Municipio.
 Impulso al Plan Municipal de Cultura y consolidación del Consejo de Cultura del municipio.
 La Casa de la Cultura como centro aglutinante de las políticas culturales. 
 Centros culturales en las diferentes centralidades.
 Estampilla Procultura
</t>
  </si>
  <si>
    <t xml:space="preserve">  Evaluar las condiciones de apertura del Víacrucis de la Badea y gestionar la inclusión de la Ermita Jesús de la Nueva Esperanza como patrimonio Histórico 
 Protección, conservación, recuperación, rehabilitación y divulgación del patrimonio histórico.
 Archivo histórico y documental del Municipio.
</t>
  </si>
  <si>
    <t>Fomentar y estimular la investigación artística y cultural y fortalecer las expresiones culturales.</t>
  </si>
  <si>
    <t xml:space="preserve">  Apoyo económico a las investigaciones culturales, artísticas y expresiones culturales.
 Conformación y apoyo económico a la orquesta sinfónica municipal.
 Apoyo económico a colegios que diseñen o ejecuten especialidades en música o artes.
 Desarrollar la red de bibliotecas públicas comunitarias.
 Feria del vestido, la moda y la manufactura. 
 Impulso y apoyo al teatro móvil y su presencia en los barrios.
 Escuelas comunitarias de arte. 
</t>
  </si>
  <si>
    <t> Apoyo técnico, pedagógico, económico y organizativo para la realización de eventos deportivos, recreativos y de actividad física en el sector urbano o rural; y dotación de implementos deportivos para colegios, clubes, juntas de acción comunal y organizaciones al servicio del municipio sin ánimo de lucro.
 Consolidación de zonas de recreación o corredores ambientales y desarrollo de la política de espacios verdes.
 Apoyo financiero y técnico y organizativo a la conformación de seleccionados deportivos, juegos intercolegiados, campeonatos ínter barrios e interveredales</t>
  </si>
  <si>
    <t xml:space="preserve">Plan de OrdenamientoTerritorial: Dosquebradas Ciudad Cuenca en reordenamiento </t>
  </si>
  <si>
    <t>Fortalecimiento institucional, administrativo, tècnico y financiero de las empresas de SPD del municipio.</t>
  </si>
  <si>
    <t xml:space="preserve"> Construcción, mantenimiento y dotación de escenarios deportivos y recreativos. 
 Recuperación de los parques de la ciudad para lo niños, jóvenes, adultos mayores y familia
</t>
  </si>
  <si>
    <t xml:space="preserve">  Enseñanza del deporte y la recreación y fomento de las escuelas deportivas para la iniciación, formación y perfeccionamiento de los practicantes
 Los parques, el deporte y la recreación dirigida
 Vamos de caminata.
</t>
  </si>
  <si>
    <t xml:space="preserve"> Fomentar la producción limpia en el sector urbano y sostenible en el sector rural.
 Implementar  procesos productivos a partir de la Agroecología.
 Fomentar los procesos de soberanía y Seguridad Alimentaria.
 Implementación de cultivos alternativos con respecto a la demanda.
 Impulso a procesos de producción  sostenible de especies menores
 Elaboración y desarrollo de un programa de Sanidad Agropecuaria.
 Apoyo a la producción de especies maderables.
 Agroindustrialización de la Guadua y la Fibra de Plátano. 
 Apoyo a los procesos de comercialización. 
 Formulación del Plan de Desarrollo Forestal.
 Diseñar y construir galerías filtrantes en el Municipio.
 </t>
  </si>
  <si>
    <t xml:space="preserve">  Financiación, apoyo técnico  y  capacitación a las Mypimes.
 Fomento de las fami y microempresas artesanales.
 Apoyo a la conformación y articulación de empresas de economía solidaria.
</t>
  </si>
  <si>
    <t xml:space="preserve">  Consejos Territoriales de empleo y Observatorio Local de Empleo.
 Impulsar procesos agroindustriales que permitan generar empleo en el campo y la ciudad.
 Formulación y ejecución del proyecto “Guardianes y Guardianas de Quebradas</t>
  </si>
  <si>
    <t>Cofinanciación y Cooperación</t>
  </si>
  <si>
    <t>Generar procesos de coooperación técnica del orden nacional e internacional</t>
  </si>
  <si>
    <t>Prevenir y controlar la Lepra y la Tuberculosis en Dosquebradas.</t>
  </si>
  <si>
    <t xml:space="preserve"> Ø Formulación e Implementación de Planes de Manejo de Microcuencas.
Ø Consolidación de zonas forestales protectoras.
Ø Formulación del Plan de Manejo Forestal.
Ø Pertinencia y Participación Comunitaria en la gestión Ambiental a través de la creación de los Consejos de Agua y Cuenca y apoyo a los Promotores Ambientales Comunitarios.
Ø Desarrollo del Sistema de Gestión Ambiental SIGAM.
Ø Adquisición y Administración de áreas de Importancia Estratégica para la conservación del recurso hídrico (Art:111 Ley99/93).
Ø Mantenimiento de zonas verdes, guaduales, bosques y adecuación de áreas liberadas por reubicación.
Ø Desarrollar corredores ecoturísticos en Zonas de Importancia ambiental y paisajística del Municipio.
Ø Construcción de sistemas sépticos en la zona rural del Municipio.
Ø Articulación del municipio al Sistema de Áreas Protegidas.
Ø Fortalecimiento de la Educación Ambiental Municipal.
Ø Construcción de cocinas sin humo.
</t>
  </si>
  <si>
    <t xml:space="preserve"> Ø Ajuste e implementación del Plan Municipal para la prevención y Atención de desastres y el Plan Local de Emergencias y Contingencias.
Ø Fortalecimiento del sistema de prevención y atención de desastres. 
Ø Fortalecimiento de los organismos de socorro, la OMPADE, la Brigada de emergencia de la Alcaldía Municipal y el CLOPAD.
Ø Capacitación Comunitaria en educación ambiental y Gestión Local del riesgo.
Ø Actualización del Inventario de Viviendas localizadas en Zonas de Riesgo urbano y rural
Ø Mitigación del riesgo Hidrológico y Geotécnico en el municipio de Dosquebradas.
Ø Fondo para la adquisición de ayudas Humanitarias para damnificados por emergencias.</t>
  </si>
  <si>
    <t xml:space="preserve">  Ø Plan de desarrollo sectorial para los acueductos comunitarios.
Ø Buscar la cooperación público – privada para fortalecer la prestación de servicios de Serviciudad.
Ø Fortalecimiento técnico, administrativo y financiero de Serviciudad.</t>
  </si>
  <si>
    <t xml:space="preserve"> o Formulación e implementación de la política de vivienda municipal.
o Proceso de reubicación de vivienda y mejoramiento integral del hábitat.
o Proyectos de Vivienda nueva urbana y rural, VIS y VIP y estratos 5 y 6.
o Creación del Banco de Tierra Municipal.
o Creación del Banco Virtual de Materiales.
o Proceso de Titulación y Legalización de Predios.
o Atención de vivienda para población vulnerable.
o Creación de Empresa de Integración y Gestión Inmobiliaria.
o Fortalecimiento del IDM como entidad que propicie la gestión de proyectos de vivienda.
o Creación de la Mesa de Trabajo de Vivienda.
o Gestionar la Política de microcrédito.
o Gestión y recuperación de los predios de la nación.
o Desarrollar procesos de renovación y consolidación urbana.
o Implementar un programa de mejoramiento barrial integral.
o Implementar la política de gestión Inmobiliaria: Arrendamiento de vivienda urbana, titulación de predios y acceso a vivienda usada.
o Desarrollo de la política de esfuerzo municipal.
o Desarrollar programas de vivienda para mujeres cabeza de hogar.
o Desarrollar programas para las familias desplazadas.
o Implementar programas de vivienda para familias Afrocolombianas e indígenas.
o Fortalecimiento y regulación de las Organizaciones Populares de Vivienda.</t>
  </si>
  <si>
    <t>Desarrollar un estudio del déficit de vivienda municipal, que permita conocer: los planes de vivienda preexistentes que cumplan normatividad para legalización, proyectos de vivienda con licencia por realizar, viviendas en zona de riesgo (reubicación y mejoramiento, áreas disponibles y óptimas para proyectos de vivienda, etc.)</t>
  </si>
  <si>
    <t xml:space="preserve"> Ø Participación en el Estudio de Déficit de Vivienda Metropolitano.</t>
  </si>
  <si>
    <t>Formulacion y Elaboración de un Estatuto de Plusvalías y desarrollo de los Instrumentos de Gestión .</t>
  </si>
  <si>
    <t xml:space="preserve"> Ø Elaboración y aplicación del Estatuto de Plusvalías en el municipio de Dosquebradas</t>
  </si>
  <si>
    <t xml:space="preserve"> Ø Actualización del Plan Vial del Municipio.
Ø Recuperación y modernización de la malla vial urbana.
Ø Modernización y reestructuración de las  Secretarias de Obras Públicas y Transito Municipal.
Ø Mantenimiento de vías y canalización de aguas superficiales en las vías rurales.
Ø Articulación de la malla vial municipal.
Ø Sistema Integrado de Transporte Masivo “MEGABUS”.</t>
  </si>
  <si>
    <t xml:space="preserve"> Ø Conformación de nuevos escenarios de participación enmarcados en la Gestión Municipal.
Ø Dosquebradas, un modelo de ciudad Participativa.
Ø Generación de Comités Intercomunales para co-desarrollar procesos de desarrollo sostenible</t>
  </si>
  <si>
    <t xml:space="preserve"> Ø Implementación de un sistema moderno e integral de información a nivel Municipal (Intranet, Bibliotecas virtuales, SIG entre otros).
Ø Modernización y conectividad de todas las instancias públicas y educativas del Municipio. 
Ø Recuperación de herramientas comunicativas en las diferentes zonas del municipio para fortalecimiento de la imagen institucional. 
Ø Dosquebradas en Comunicación Social, con la ciudadanía.
</t>
  </si>
  <si>
    <t xml:space="preserve"> Ø Fortalecimiento del Sistema de Control Interno Municipal
Ø Rediseño a los procesos y procedimientos administrativos y financieros
Ø Implementación del Sistema Gerencial de Servicio y Atención al usuario. 
Ø Activación de los Comités de Desarrollo Municipal y de asesoría al Usuario.
</t>
  </si>
  <si>
    <t>MODERNIZACIÓN INSTITUCIONAL Y PRESUPUESTO PARTICIPATIVO</t>
  </si>
  <si>
    <t>Modernización de la estructura organizacional y administrativa</t>
  </si>
  <si>
    <t>Implementación del sistema de información gerencial eficiente</t>
  </si>
  <si>
    <t>TRANSFER</t>
  </si>
  <si>
    <t>TRANS</t>
  </si>
  <si>
    <t>Elaboración y actualización de inventarios y elementos estadísticos necesarios para la formulación de proyectos de vivienda</t>
  </si>
  <si>
    <t>Dosquebradas en Ruta por el Derecho a la Vida.</t>
  </si>
  <si>
    <t>PROGRAMAS</t>
  </si>
  <si>
    <t>RECURSOS</t>
  </si>
  <si>
    <t xml:space="preserve">RECURSOS </t>
  </si>
  <si>
    <t>VALOR</t>
  </si>
  <si>
    <t>PROPIOS</t>
  </si>
  <si>
    <t>TRANSFERENCIAS</t>
  </si>
  <si>
    <t>OTROS</t>
  </si>
  <si>
    <t xml:space="preserve">TOTAL </t>
  </si>
  <si>
    <t>Generación de una cultura de participación para la convivencia</t>
  </si>
  <si>
    <t>Construcción de identidad y sentido de pertenencia hacia el municipio</t>
  </si>
  <si>
    <t>EQUIDAD Y DESARROLLO SOCIAL</t>
  </si>
  <si>
    <t>PROGRAMA</t>
  </si>
  <si>
    <t>OBJETIVO</t>
  </si>
  <si>
    <t>R. PROPIOS</t>
  </si>
  <si>
    <t>TOTAL</t>
  </si>
  <si>
    <t>Ampliación de cobertura educativa</t>
  </si>
  <si>
    <t>Ampliar la cobertura educativa en los niveles educativos donde el sistema presenta desequilibrios, especialmente en Básica Secundaria y media</t>
  </si>
  <si>
    <t>Mejorar los niveles de eficiencia del sistema en el manejo de los recursos puestos a disposición del sector educativo</t>
  </si>
  <si>
    <t>Consolidación de la descentralización educativa municipal</t>
  </si>
  <si>
    <t>Realizar las adecuaciones necesarias para asumir con eficiencia y eficacia las nuevas competencias en el manejo autónomo del sector educativo municipal</t>
  </si>
  <si>
    <t>CULTURA</t>
  </si>
  <si>
    <t>Organización y fortalecimiento institucional para la gestión cultural en el Municipio</t>
  </si>
  <si>
    <t>Propender por aglutinar los esfuerzos del gobierno municipal en organizar y fomentar lo cultural en el municipio como eje fundamental del desarrollo municipal.</t>
  </si>
  <si>
    <t>Rehabilitación, recuperación y conservación de obras, patrimonio cultural de la ciudad</t>
  </si>
  <si>
    <t xml:space="preserve">Contribuir a la protección y utilización racional de los recursos naturales del territorio, desde el enfoque de desarrollo sostenible.  Potenciar el agua como eje estrucuturante del desarrollo y planear el uso y manejo de los recursos de manera que se consiga reestablecer el equilibrio territorial urbano-rural- regional. </t>
  </si>
  <si>
    <t>Elaborar el Estatuto de Plusvalías del municipio.</t>
  </si>
  <si>
    <t>Este programa busca lograr la integración comunitaria, tomando como base la consolidación de equipamientos colectivos de carácter municipal, zonal y barrial.</t>
  </si>
  <si>
    <t xml:space="preserve">          </t>
  </si>
  <si>
    <t>Ø Crear una unidad ambiental para atender los temas relacionados con la planeación ambiental del Municipio.
Ø Fortalecimiento de la Delegación Municipal de la CARDER.
Ø Fortalecimiento del Comité Ambiental Municipal a través de la participación de los diferentes actores de la sociedad y ONG ambientales.  Ø Solicitar a la CARDER el fortalecimiento de la Delegación Municipal, asi como la implementación  del Plan de Gestión Ambiental Departamental.</t>
  </si>
  <si>
    <t>Ø Creación de la gerencia del Plan de Desarrollo y Plan de Ordenamiento Territorial.
Ø Transformación del Banco de Proyectos como opción para la consecución, aplicación y seguimiento a los recursos de cofinanciación.
Ø Estudios, diseños, diagnósticos y asesorías para procesos de planificación y desarrollo territorial municipal.
Ø Fortalecimiento de la estructura financiera y tributaria municipal para la toma de decisiones. 
Ø Implementación de procesos de negociación de carácter local, metropolitano, regional  Nacional e Internacional. 
Ø Procesos de implementación actualización, y cofinanciación de las bases de datos Municipales. 
Ø Conformación y reactivación de los Comités Municipales Competitivos para el desarrollo Municipal.
Ø Construcción, adecuación y mejoramiento locativos de las instalaciones del municipio para beneficio de sus usuarios.</t>
  </si>
  <si>
    <t xml:space="preserve">  Reconstrucción del Centro Histórico y Cultural de Municipio.
 Elaboración de estudios e investigaciones sobre la vida de los barrios y los principales personajes.
 Recorridos urbanos, del barrio a la ciudad y de la ciudad a la Ecorregión Cafetera.
</t>
  </si>
  <si>
    <t>Proteger, conservar, rehabilitar, rescatar y divulgar el patrimonio cultural del municipio para que sirva de testimonio de la identidad local.</t>
  </si>
  <si>
    <t>Fomento y estímulo a la creación, investigación y a la actividad artística y cultural</t>
  </si>
  <si>
    <t xml:space="preserve">Construcción de infraestructura para la cultura </t>
  </si>
  <si>
    <t>Fomentar, planificar, coordinar, asesorar y divulgar, la práctica del deporte, la recreación, el aprovechamiento del tiempo libre, la promoción de la educación extraescolar, de la niñez y la juventud en todos los niveles y estamentos sociales del Municipio.</t>
  </si>
  <si>
    <t>Ampliación de la cobertura en las distintas modalidades de recreación, deporte, aprovechamiento del tiempo libre y educación extraescolar.</t>
  </si>
  <si>
    <t>Ampliar la cobertura en las distintas modalidades de recreación, deporte, aprovechamiento del tiempo libre y  de la educación extraescolar.</t>
  </si>
  <si>
    <t>Fomentar, planificar, coordinar, asesorar y divulgar, la práctica del deporte, la recreación, el aprovechamiento del tiempo libre, la promoción de la educación extraescolar, de la niñez y la juventud en todos los niveles y estamentos sociales del Municipio</t>
  </si>
  <si>
    <t>Planificar y programar la construcción de instalaciones deportivas con los equipamientos necesarios, procurando su óptima utilización y uso de los equipos y materiales estinados a la práctica del deporte y la recreación.</t>
  </si>
  <si>
    <t>Elevación de los niveles técnicos y formativos en la práctica del deporte.</t>
  </si>
  <si>
    <t>Ordenar y difundir la enseñanza del deporte y la recreación y fomentar las escuelas deportivas para la iniciación, formación y perfeccionamiento de los practicantes y cuidar la práctica deportiva en la edad escolar, su continuidad y eficiencia.</t>
  </si>
  <si>
    <t>Impulsar el deporte de alto rendimiento</t>
  </si>
  <si>
    <t>APOYO A GRUPOS VULNERABLES</t>
  </si>
  <si>
    <t>Atención integral a la población vulnerable</t>
  </si>
  <si>
    <t>garantizar el acceso de la población con necesidades básicas insatisfechas (NBI), a los servicios públicos, educación, salud, vivienda de interés social, cultura, deporte y recreación y atención especial a los grupos poblacionales con limitaciones físicas y/o mentales.</t>
  </si>
  <si>
    <t>SALUD</t>
  </si>
  <si>
    <t>Apoyo y fomento a las MIPYMES.</t>
  </si>
  <si>
    <t xml:space="preserve">Generación de empleo </t>
  </si>
  <si>
    <t>Crear espacios de concertación entre los diferentes agentes del desarrollo para impulsar y/o crear nuevas fuentes generadoras de empleo</t>
  </si>
  <si>
    <t>Fomentar la apropiacion de los Derechos Humanos en todos habitantes del municipio, haciedolos parte de su cotidianidad</t>
  </si>
  <si>
    <t xml:space="preserve">Impulso a los sectores estratégicos de la economía.        </t>
  </si>
  <si>
    <t>Reconversión socio-ambiental de sistemas productivos urbanos y rurales</t>
  </si>
  <si>
    <t>Otros</t>
  </si>
  <si>
    <t>DESARROLLO TERRITORIAL Y HABITAT SOSTENIBLE</t>
  </si>
  <si>
    <t xml:space="preserve">OTROS </t>
  </si>
  <si>
    <t xml:space="preserve">VALOR </t>
  </si>
  <si>
    <t>Gestión Integral del Riesgo</t>
  </si>
  <si>
    <t>Gestión Ambiental Institucional</t>
  </si>
  <si>
    <t>Mejoramiento de la accesibilidad y la movilidad del municipio.</t>
  </si>
  <si>
    <t>Fortalecimiento de la convivencia ciudadana.</t>
  </si>
  <si>
    <t>TRANSFER.</t>
  </si>
  <si>
    <t>EDUCACIÓN</t>
  </si>
  <si>
    <t>DESARROLLO ECONOMICO, COMPETITIVIDAD Y GENERACIÓN DE EMPLEO</t>
  </si>
  <si>
    <t>El derecho a la vida, convivencia pacifica y equidad</t>
  </si>
  <si>
    <t>Mejor eficiencia en la prestación del servicio educativo</t>
  </si>
  <si>
    <t>Fortalecimiento institucional para la orientación de la política del deporte, la recreación y el esparcimiento en el municipio.</t>
  </si>
  <si>
    <t>Planificar y optimizar recursos técnicos y administrativos de las empresas prestadoras de servicios públicos domiciliarios de Dosquebradas.</t>
  </si>
  <si>
    <t xml:space="preserve">La sociedad civil participa en la gestión municipal </t>
  </si>
  <si>
    <t xml:space="preserve">Estructurar un sistema de información gerencial,  que  permita contar con herramientas modernas que faciliten los procesos de información y de comunicación social, fortaleciendo este proceso como instrumento de gestión para la toma de decisiones y de construcción de la Imagen Institucional. 
Generar una sociedad caracterizada por un modo de ser comunicacional que atraviesa todas las actividades (industria, entretenimiento, educación, organización, servicios, comercio, etc), dando  lugar relevante  a la información como fuente de riqueza. 
</t>
  </si>
  <si>
    <t>Generar estrategias financieras, competitivas y de planificación que permitan la autosostenibilidad municipal para mejorar su posicionamiento a nivel nacional, brindando a la ciudadanía  la optimización de los servicios y recursos para la ejecución del Plan de Desarrollo 2004-2007.</t>
  </si>
  <si>
    <t>Fortalecimiento institucional municipal</t>
  </si>
  <si>
    <t>Dosquebradas, en proceso de recuperación de su gobernabilidad democrática</t>
  </si>
  <si>
    <t>Justicia, seguridad integral y paz</t>
  </si>
  <si>
    <t>Formular el plan de seguridad municipal "El Gran Pacto social"</t>
  </si>
  <si>
    <t xml:space="preserve">Fortalecer la plataforma productiva del municipio, de manera que permita la generación de empleo productivo y facilite el ingreso de la economía  municipal a los escenarios globales  </t>
  </si>
  <si>
    <t>TOTAL 2004-2007</t>
  </si>
  <si>
    <t>Formular un modelo de ocupación territorial para el Municipio de Dosquebradas en el marco del desarrollo sostenible y calidad urbana, articulando su base ambiental, la interrelación urbano-rural, el manejo integral del agua y el ejercicio de los Derechos Humanos; donde las quebradas sean el patrón de ordenamiento territorial.</t>
  </si>
  <si>
    <t xml:space="preserve">    Agua y medio ambiente                   </t>
  </si>
  <si>
    <t> Incremento de la cobertura de la poblaciòn en la base de datos del SISBEN
 Ampliaciòn de la cobertura del Règimèn Subsidiado del Sistema General de Seguridad Social para la poblaciòn pobre y vulnerable de Dosquebradas.</t>
  </si>
  <si>
    <t xml:space="preserve"> </t>
  </si>
  <si>
    <t>Avanzar en la construcción de sociedad y estado para la convivencia mediante el desarrollo del sentido cívico, solidario y colectivo.  La generaciòn de Canales Informativos y de comunicación para la coordinación y complementariedad de las instancias democráticas.</t>
  </si>
  <si>
    <t>Fomentar la identidad y pertenencia de los ciudadadanos y ciudadanas hacia el municipio</t>
  </si>
  <si>
    <t>La calidad educativa prioridad municipal: “Un problema de equidad con los niños, las niñas y jóvenes de la ciudad”</t>
  </si>
  <si>
    <t>Considerar la calidad de la educación como el eje central de la política educativa municipal y la prioridad máxima de la gestión educativa, tanto de la administración central como de cada una de las instituciones educativas presentes en la localidad.  Esta encaminado a la reorganización del sistema educativo local y a desarrollar programas, proyectos, acciones y estrategias que conduzcan a un mejoramiento sustancial de la calidad de la educaciòn, tanto en lo que aprenden los niños en sus instituciones educativas como en  la administración y manejo del servicio educativo municipal</t>
  </si>
  <si>
    <t> Implementaciòn del Plan Territorial de Salud Mental de Dosquebradas 2003 - 2007
 Construcciòn y dotaciòn de la "CASA POR LA VIDA" 2006</t>
  </si>
  <si>
    <t> Prevenciòn y control de tuberculosis
 Prevenciòn y control de la lepra.</t>
  </si>
  <si>
    <t> Atención integral al niño y al adolescente: fomento de grupos juveniles, creación de la escuela de liderazgo juvenil,  la oficina y la casa de la juventud; apoyo a los Consejos de juventudes. Hogares de paso para niños desprotegidos y comedores infantiles.
 Atención integral a la mujer: incentivos al trabajo de madres comunitarias; cumplimiento de ley de cuotas en la administración municipal, vivienda de interés social para madres cabeza de familia; fomento de cooperativas y empresas solidarias para madres cabeza familia.
 Atención integral a la población con discapacidad.
 Atención integral a la tercera edad: uso adecuado del ocio y el tiempo; manejo adecuado de deficiencias cognitivas, problemas y toma de decisiones; actividades para el manejo de la auto imagen y las relaciones con los demás.
 Atención a Minorías étnicas.
 Ampliación de la cobertura de menores discapacitados en los establecimientos educativos regulares.
 Formulación de un proyecto de vivienda para  Madres cabeza de hogar,Comunitarias  y hogares infantiles de Bienestar Familiar.
 Articulación a los programas nacionales de deportistas discapacitados.</t>
  </si>
  <si>
    <t xml:space="preserve">  Fortalecimiento y consolidación del sector industrial, manufacturero  y comercial.
 Definición y gestión de acciones empresariales.
 Montaje del observatorio para la competitividad.
 Identificación y consolidación de cadenas productivas.
 Fortalecimiento del sistema de ciencia, innovación y tecnología.
 Apoyo al turismo como una alternativa complementaria.
 Desarrollo del programa de vivienda rural eco-turística.
 Promoción social y económica de las organizaciones de la economía solidaria.
 Formulación del Plan Estratégico exportador.
 Implementación del Programa de EMPLEO VERDE.
 Formulación y ejecución del proyecto de cadenas productivas.
 Creación y puesta en funcionamiento del Banco de Pobres
 Implementación del acuerdo regional de competitividad.
 Implementación de la Agenda de Conectividad para el desarrollo empresarial.
 Gestión para la implementación de la plaza de ferias y el matadero de Dosquebradas </t>
  </si>
  <si>
    <t>Mejorar, mantener o construir la infraestructura de salud municipal y asegurar la dotación de elementos enesarios para una adecuada atención a los habitantes del municipio de Dosquebradas.</t>
  </si>
  <si>
    <t>DEPORTE, RECREACIÓN Y EDUCACION FISICA</t>
  </si>
  <si>
    <t>Ampliación y mejoramiento de la infraestructura para el deporte, la recreación y la educaciòn fisica.</t>
  </si>
  <si>
    <t>Reducción del impacto en salud de la violencia e implementación de las políticas de salud mental y reducción de la demanda de sustancias psicoactivas en el municipio de Dosquebradas.</t>
  </si>
  <si>
    <t xml:space="preserve">MUNICIPIO DE DOSQUEBRADAS </t>
  </si>
  <si>
    <t>PLAN DE DESARROLLO 2004-2007 "DOSQUEBRADAS, UN PROYECTO COLECTIVO DE CIUDAD QUE DEJA HUELLA"</t>
  </si>
  <si>
    <t>Mejoramiento integral en la prestación de los servicios públicos domiciliarios</t>
  </si>
  <si>
    <t xml:space="preserve"> Ofrecer mejor calidad, cobertura y confiabilidad en la prestación de los servicios públicos domicialiarios del Municipio</t>
  </si>
  <si>
    <t>Implementar el plan de gestión prevención, atención de desastres y del riesgo y realizar las acciones necesarias para la prevención y atención de desastres y la mitigación dle riesgo del Municipio</t>
  </si>
  <si>
    <t>Desarrollar una estrategia de articulación entre los diferentes sectores que actuan en el manejo de los recursos naturales.</t>
  </si>
  <si>
    <t xml:space="preserve">Integraciòn de las empresas de servicios publicos domiciliarios para el desarrollo Municipal </t>
  </si>
  <si>
    <t xml:space="preserve">Generar un proceso de planificaciòn , coordinaciòn interinstitucional y desarrollo organizado del municipio en materia de servicios pùblicos </t>
  </si>
  <si>
    <t>Lograr la funcionalidad y competitividad territorial del Municipio, bajo los parametros de sostenibilidad ambiental, calidad de vida y proteccion fisica de todos los habitantes.</t>
  </si>
  <si>
    <t>Con este programa se busca garantizar a todos los habitantes del municipio unas óptimas condiciones de movilidad, seguridad y protección de su integridad, desde una perspectiva de reconocimiento de lo colectivo, el afianzamiento de la identidad cultural y de convivencia ciudadana.</t>
  </si>
  <si>
    <t>Generar la reestructuración organizacional y el ajuste laboral en el Municipio, acorde con los lineamientos del Plan de  desarrollo 2004-2007 y las facultades concedidas por el Honorable Concejo Municipal a la administraciòn.</t>
  </si>
  <si>
    <t>Propiciar la interacción de Instituciones, ciudadanos y políticos, asumiendo la responsabilidad de participar activamente en la planeación, ejecución y evaluación de las estrategias de desarrollo, bienestar y equidad del municipio, aplicando los lineamientos del Plan de Desarrollo.    Generar espacios para la sociedad civil en el asunto de los manejos colectivos, fortaleciendo la gestiòn y la democracia, lo cual generarà cultura politica en la medida que esta participe del proceso de desarrollo institucional y municipal.</t>
  </si>
  <si>
    <t xml:space="preserve">Garantizar la gobernabilidad democrática, a través de la construcción y fortalecimiento de las capacidades institucionales,  el fortalecimiento del Estado de derecho </t>
  </si>
  <si>
    <t>Formulación e implementación de una politica de vivienda y Habitat sostenible</t>
  </si>
  <si>
    <t>Formular de manera colectiva una política de vivienda y hábitat sostenible que articule el desarrollo armónico del municipio, atienda la oferta y demanda, genere desarrollo económico sustentable y se articule con el sector privado en el marco del Plan de Ordenamiento Territorial  respondiendo a las condiciones metropolitanas del desarrollo</t>
  </si>
  <si>
    <r>
      <t>Armonizar los ecosistemas con el uso del suelo y los sistemas de producción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tanto a nivel rural como industrial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disminuyendo el impacto negativo que sobre el ambiente estos han generado</t>
    </r>
    <r>
      <rPr>
        <b/>
        <sz val="10"/>
        <rFont val="Times New Roman"/>
        <family val="1"/>
      </rPr>
      <t>;</t>
    </r>
    <r>
      <rPr>
        <sz val="10"/>
        <rFont val="Times New Roman"/>
        <family val="1"/>
      </rPr>
      <t xml:space="preserve"> e impulsando un desarrollo sostenible que favorezca la competitividad del municipio.</t>
    </r>
  </si>
  <si>
    <r>
      <t>Generar las condiciones necesarias para la creación y el fortalecimiento de  pequeñas y medianas industrias</t>
    </r>
    <r>
      <rPr>
        <b/>
        <sz val="10"/>
        <color indexed="17"/>
        <rFont val="Times New Roman"/>
        <family val="1"/>
      </rPr>
      <t xml:space="preserve">, </t>
    </r>
    <r>
      <rPr>
        <sz val="10"/>
        <rFont val="Times New Roman"/>
        <family val="1"/>
      </rPr>
      <t>que les permitan consolidarse en los escenarios locales, regionales,  nacionales e internacionales.                                   Impulsar los procesos  asociativos y de economía solidaria en el municipio.</t>
    </r>
  </si>
  <si>
    <t>PARTICIPACIÓN, CONVIVENCIA CIUDADANA Y DERECHOS HUMANOS</t>
  </si>
  <si>
    <t>MATRIZ PLURIANUAL DE INVERSIONES</t>
  </si>
  <si>
    <t>RESUMEN POR DIMENSIONES</t>
  </si>
  <si>
    <t>FUENTES DE FINANCIACION</t>
  </si>
  <si>
    <t>COMPONENTE DIMENSION</t>
  </si>
  <si>
    <t>R PROPIOS</t>
  </si>
  <si>
    <t>PARTICIPACION, CONVIVENCIA CIUDADANA</t>
  </si>
  <si>
    <t>Y DERECHOS HUMANOS</t>
  </si>
  <si>
    <t>Educación</t>
  </si>
  <si>
    <t>Cultura</t>
  </si>
  <si>
    <t>Salud</t>
  </si>
  <si>
    <t>Deportes Recreación y esparcimiento</t>
  </si>
  <si>
    <t>Apoyo Grupos vulnerables</t>
  </si>
  <si>
    <t>DESARROLLO ECONOMICO Y COMPETITIVIDAD</t>
  </si>
  <si>
    <t>Y GENERACION DE EMPLEO</t>
  </si>
  <si>
    <t>MODERNIZACION INSTITUCIONAL Y PRESUPUESTO</t>
  </si>
  <si>
    <t>PARTICIPATIVO</t>
  </si>
  <si>
    <t>PROYECTOS</t>
  </si>
  <si>
    <t xml:space="preserve"> Participación directa de los ciudadanos en la priorización de la inversión municipal. Realización de cabildos, foros y talleres como instancias pedagógicas.
 Escuela para la participación y convivencia.
 Ejecución de talleres municipales de como construir ciudad. 
 Programa de LINEA DE DEBATE PUBLICO, a partir de  instancias como: organizaciones juveniles y consejo juvenil, en los barrios y veredas del municipio. 
 Mesa de trabajo permanente de participación para la convivencia con grupos de adulto mayor, juventud, mujer, desplazados, JAC, comuneros, discapacitados y grupos étnicos. Crear las condiciones necesarias para que los diferentes Espacios de Participación funcionen adecuadamente. 
 Fortalecer los Jueces de Paz y de Reconsideración.
 Fortalecimiento de la democracia local.
 Fortalecimiento de las organizaciones de la sociedad civil.
 Creación del sistema de Planeación Participativa.
</t>
  </si>
  <si>
    <t xml:space="preserve"> Creación  del Comité de Derechos Humanos como organismo ad-honorem asesor de la alcaldía y responsable al seguimiento de las actividades asumidas en desarrollo de este propósito.
 Creación del observatorio  de la violencia y  el conflicto armado.
 Fortalecer la Mesa Municipal de Paz.
 Bachillerato para adultos con énfasis en derechos humanos y convivencia pacífica.
 Escuela de formación en derechos humanos y participación ciudadana
 Conformación de veedurías de lucha contra la corrupción. 
 Desarrollo de Proyectos encaminados al mejoramiento de los derechos de la familia, relaciones sociales, culturales y de género.
 Proyecto Dosquebradas, territorio de paz.
</t>
  </si>
  <si>
    <t xml:space="preserve">  Fortalecimiento de los comités de seguridad y convivencia ciudadana.
 Alcaldía Nocturna.
 Construcción de la Casa de la Justicia. 
 Fortalecimiento de los permanentes e inspecciones de Policía. 
 Apoyar el SIAU (Sistema de atención al usuario y la UAOD (UNIDAD DE ATENCION Y ORIENTACION AL DESPLAZADO) 
 Articulación del proyecto educativo para democracia, la paz y convivencia. 
 Proyecto AQUÍ ESTAMOS dirigido a jóvenes de sector educativo.
 Construcción del Centro de Reeducación del Joven Infractor.  
 Creación y fortalecimiento de los comités barriales de atención y prevención de desastres.
 Fortalecimiento de la Comisaría de Familia Municipal. 
 Fortalecimiento de la Familia como núcleo básico de desarrollo.
 Formulación y ejecución conjunta y coordinada de un plan justicia y convivencia para el área metropolitana de Pereira, Dosquebradas y La Virginia
 Desarrollar el sistema integral de seguridad y emergencia ciudadana.
</t>
  </si>
  <si>
    <t>Reducción de enfermedades inmunoprevenibles prevalentes en la infancia y mortalidad infantil</t>
  </si>
  <si>
    <t>Alcanzar niveles efectivos de vacunación en la población infantil menor de 5 años de edad del municipio de Dosquebradas</t>
  </si>
  <si>
    <t>Salud sexual y reproductiva</t>
  </si>
  <si>
    <t>Formular el Plan Territorial de Salud Sexual y Reproductiva de Dosquebradas, articulado a la política nacional en esta materia.</t>
  </si>
  <si>
    <t>Salud Ambiental</t>
  </si>
  <si>
    <t>Desarrollar actividades de Información, educación y comunicación IEC. E impulsar políticas públicas para la promoción de entornos favorables a la salud y reducción de factores de riesgo del ambiente en el municipio de Dosquebradas</t>
  </si>
  <si>
    <t>Promoción de estilos de vida saludable para la prevención y control de enfermedades crónicas.</t>
  </si>
  <si>
    <t>Lograr la acción integrada para la reducción de la morbimortalidad por enfermedades crónicas en la población de Dosquebradas.</t>
  </si>
  <si>
    <t>Fortalecimiento del Plan Nacional de Alimentación y Nutrición e implementación de la política nacional de seguridad alimentaria y nutricional.</t>
  </si>
  <si>
    <t>Formular e implementar el plan territorial de la política nacional de seguridad alimentaria y nutricional en el municipio de Dosquebradas.</t>
  </si>
  <si>
    <t>Formular e implementar el plan territorial para la mitigación de los impactos de la violencia y el uso de sustancias psicoactivas en la salud mental de la población del municipio de Dosquebradas.</t>
  </si>
  <si>
    <t>Otras enfrmedades prioritarias de interés para la salud pública.</t>
  </si>
  <si>
    <t xml:space="preserve"> Plan ampliado de inmunizaciones de Dosquebradas</t>
  </si>
  <si>
    <t>Ampliación de la cobertura de la poblacion sisbenizada y afiliada dentro del Régimen Subsidiado de Salud en el municipio de Dosquebradas.</t>
  </si>
  <si>
    <t>Incrementar el número de personas dentro del Sistema General de Seguridad Social en Salud SGSSS del municipio de Dosquebradas.</t>
  </si>
  <si>
    <t>Aseguramiento de la prestación de los servicios asistenciales de salud para la población de escasos recursos económicos de Dosquebradas.</t>
  </si>
  <si>
    <t>Asegurar la prestación de los servicios asistenciales de salud a la población afiliada al régimen subsidiado, vinculada y no vinculada al SGSSS de niveles 1 y 2 o en condicones de extrema pobreza del municipio de Dosquebradas.</t>
  </si>
  <si>
    <t>Fortalecimiento de la infraestructura pública para la prestación de servicios asistenciales de salud en Dosquebradas.</t>
  </si>
  <si>
    <t>Fortalecimiento institucional del Sistema Local de Salud de Dosquebradas.</t>
  </si>
  <si>
    <t>Proveer a la Secretaría de Salud del municipio de Dosquebradas de una capacidad institucional adecuada para las labores de planeación, ejecución, monitoreo, evaluación y coordinación del Sistema Local de Salud.</t>
  </si>
  <si>
    <t> Aseguramiento de la prestaciòn de los servicios asistenciales de salud de primero y segundo nivel para la poblaciòn afiliada al Règimen Subsidiado.
 Prestaciòn de los servicios asistenciales de salud de primer nivel a la poblaciòn vinculada al SGSSS de escasos recursos economicos. 
Prestaciòn de los servicios asistenciales de salud de primer nivel a la poblaciòn no asegurada dentro del SGSSS</t>
  </si>
  <si>
    <t> Dotaciòn de elementos necesarios para la prestaciòn de servicios de salud en los puestos y centros de salud del municipio.
 Mejoramiento y mantenimiento de la infraestructura de los centros y puestos de salud municipales.
Construcciòn de centros y puestos de salud del municipio, conforme a las prioridades establecidas en el proceso de revisiòn del Plan de Ordenamiento Territotial de Dosquebradas.</t>
  </si>
  <si>
    <t> Estudiar la creaciòn del Instituto Municipal de Salud.
 Elaboracion de los lineamientos de la Politica Local de Salud.
Consolidacciòn del Sistema Local de Salud. Actualizaciòn en aspectos cientificos y normativos de los funcionarios vinculados al SSD.</t>
  </si>
  <si>
    <t xml:space="preserve"> Gestionar la adecuación del Centro Cultural Municipal “Casa Grande”.</t>
  </si>
  <si>
    <t>Impulsar las gestiones pertinentes para la adecuación de escenarios que aglutinen vinculen y articulen los ciudadanos del Municipio con los gestores culturales de la ciudad y a estos con el gobierno Municipal alrededor de las expresiones culturales que dan identidad y sentido de pertenencia</t>
  </si>
  <si>
    <t xml:space="preserve">  Apoyo técnico, pedagógico  y económico para la formulación de los PEI.
 Programas de formación, actualización, acompañamiento y asesoría a los docentes y directivos - docentes en servicio.
 Sistema de acreditación de calidad para las instituciones  educativas.
 Parque Temático Interactivo dotado de insumos educativos que contribuyan al mejoramiento de la calidad, como bibliotecas, laboratorios de ciencias y de informática; materiales de apoyo para los docentes en los temas y aspectos que se detectaron las mayores dificultades en las pruebas censales y del ICFES, entre otros.
 Planes de mejoramiento pedagógico para las instituciones educativas.
 Consolidación del sistema de información de los PEI en la Secretaría de Educación Municipal.
 Implementar el sistema municipal de incentivos educativos.
 Apoyo financiero y técnico a  las diez mejores propuestas en investigación educativa y pedagógica.
 Fomento para el diseño y formulación de modalidades en la educación media que formen a los jóvenes en áreas de las ciencias naturales, matemáticas,  tecnología y del medio ambiente.
 Servicio social ambiental para estudiantes.
 Feria de la ciencia.
 Gratuidad educativa más nutrición efectiva para los niños y jóvenes de escasos recursos a través de la escuela.
 Educación para adultos con énfasis en derechos humanos y convivencia pacífica.
 Acceso a la educación superior.
 Servicios públicos (pago).
 Reforzamiento estructural de edificaciones educativas.
 Fortalecimiento de la red nacional de bibliotecas públicas.
 Articulación al Plan Nacional de Lectura y bibliotecas públicas.
 Implementación de la cátedra de Derechos Humanos y convivencia pacífica.
 Formulación del proyecto Música para la Convivencia.
 Fortalecer la Unidad de apoyo integral a niños y niñas  con problemas de aprendizaje
</t>
  </si>
  <si>
    <t> Promoción de la organización y fortalecimiento institucional para la orientación de la política del deporte, la recreación y el esparcimiento en el municipio. 
 Formulación de la política municipal del deporte, la recreación y la educación física.
 Institucionalizar el torneo de ajederez, " Paz y hermandad de las Américas".</t>
  </si>
  <si>
    <t xml:space="preserve"> Plan territorial de Salud Sexual y Reproductiva de Dosquebradas, en el cual se incorporan las siguientes componentes:   Promociòn de la Maternidad segura.   Promociòn de la salud sexual y reproductiva SSr de los y las adolescentes.    Prevenciòn del Cancer del cuello uterino.   Atenciòn de las victimas de la violencia domestica y sexual.</t>
  </si>
  <si>
    <t> Inspecciòn , vigilancia y control de factores de riesgo para el ambiente y la salud en Dosquebradas..
 Prevenciòn y control de enfermedades transmitidas por vectores (fiebre amarilla, dengue, malaria, leishmaniasis, chagas) en Dosquebradas. 
Prevenciòn y control de zoonosis en Dosquebradas.   Vigilancia de la calidad de agua para consumo humano. Vigilancia y control de factores de riesgo  para las instituciones de salud en Dosquebradas.    Vigilancia y control de vertimiento de aguas residuales y residuos sòlidos de Dosquebradas.   Vigilancia y control de la calidad del aire de Dosquebradas.</t>
  </si>
  <si>
    <t> Formulaciòn del Plan  Territorial Intersectorial para enfermedades crònicas de Dosquebradas.</t>
  </si>
  <si>
    <t>Plan territorial de Seguridad Alimentaria y Nutricional en el municipio de Dosquebradas.</t>
  </si>
  <si>
    <t>  Revisión general y ajuste del Plan de Ordenamiento Territorial.                                Formulación del Plan Parcial del Centro. Actualización de la base cartográfica municipal.
 Desarrollo del Expediente Municipal.
 Elaboración del Plan Maestro de Espacio Público y Equipamiento Colectivo.
 Actualización del catastro municipal.
 Formulación de  planes parciales de las áreas de expansión.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</si>
</sst>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-C0A]dddd\,\ dd&quot; de &quot;mmmm&quot; de &quot;yyyy"/>
    <numFmt numFmtId="184" formatCode="00000"/>
    <numFmt numFmtId="185" formatCode="[$€-2]\ #,##0.00_);[Red]\([$€-2]\ #,##0.00\)"/>
  </numFmts>
  <fonts count="25">
    <font>
      <sz val="10"/>
      <name val="Arial"/>
      <family val="0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8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2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17"/>
      <name val="Times New Roman"/>
      <family val="1"/>
    </font>
    <font>
      <sz val="1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11"/>
      <name val="Arial"/>
      <family val="2"/>
    </font>
    <font>
      <sz val="10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169" fontId="9" fillId="0" borderId="0" xfId="18" applyFont="1" applyAlignment="1">
      <alignment vertical="center"/>
    </xf>
    <xf numFmtId="0" fontId="0" fillId="0" borderId="0" xfId="0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9" fontId="9" fillId="0" borderId="0" xfId="18" applyFont="1" applyAlignment="1">
      <alignment vertical="center" wrapText="1"/>
    </xf>
    <xf numFmtId="169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top" wrapText="1"/>
    </xf>
    <xf numFmtId="169" fontId="9" fillId="0" borderId="3" xfId="18" applyFont="1" applyBorder="1" applyAlignment="1">
      <alignment vertical="center"/>
    </xf>
    <xf numFmtId="169" fontId="9" fillId="0" borderId="4" xfId="18" applyFont="1" applyBorder="1" applyAlignment="1">
      <alignment vertical="center"/>
    </xf>
    <xf numFmtId="169" fontId="9" fillId="0" borderId="5" xfId="18" applyFont="1" applyBorder="1" applyAlignment="1">
      <alignment vertical="center"/>
    </xf>
    <xf numFmtId="0" fontId="4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9" fontId="9" fillId="0" borderId="7" xfId="18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9" fontId="9" fillId="0" borderId="8" xfId="18" applyFont="1" applyBorder="1" applyAlignment="1">
      <alignment vertical="center" wrapText="1"/>
    </xf>
    <xf numFmtId="169" fontId="9" fillId="0" borderId="4" xfId="18" applyFont="1" applyBorder="1" applyAlignment="1">
      <alignment vertical="center" wrapText="1"/>
    </xf>
    <xf numFmtId="169" fontId="9" fillId="0" borderId="5" xfId="18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9" fontId="0" fillId="0" borderId="0" xfId="0" applyNumberFormat="1" applyAlignment="1">
      <alignment/>
    </xf>
    <xf numFmtId="169" fontId="0" fillId="0" borderId="0" xfId="18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2" borderId="0" xfId="0" applyFont="1" applyFill="1" applyBorder="1" applyAlignment="1">
      <alignment horizontal="center" vertical="top" wrapText="1"/>
    </xf>
    <xf numFmtId="169" fontId="9" fillId="0" borderId="9" xfId="18" applyFont="1" applyBorder="1" applyAlignment="1">
      <alignment vertical="center" wrapText="1"/>
    </xf>
    <xf numFmtId="169" fontId="9" fillId="0" borderId="10" xfId="18" applyFont="1" applyBorder="1" applyAlignment="1">
      <alignment vertical="center" wrapText="1"/>
    </xf>
    <xf numFmtId="169" fontId="9" fillId="0" borderId="11" xfId="18" applyFont="1" applyBorder="1" applyAlignment="1">
      <alignment vertical="center" wrapText="1"/>
    </xf>
    <xf numFmtId="169" fontId="9" fillId="0" borderId="8" xfId="18" applyFont="1" applyBorder="1" applyAlignment="1">
      <alignment vertical="center" wrapText="1"/>
    </xf>
    <xf numFmtId="169" fontId="9" fillId="0" borderId="4" xfId="18" applyFont="1" applyBorder="1" applyAlignment="1">
      <alignment vertical="center" wrapText="1"/>
    </xf>
    <xf numFmtId="169" fontId="9" fillId="0" borderId="5" xfId="18" applyFont="1" applyBorder="1" applyAlignment="1">
      <alignment vertical="center" wrapText="1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9" fontId="9" fillId="0" borderId="9" xfId="18" applyFont="1" applyBorder="1" applyAlignment="1">
      <alignment vertical="center"/>
    </xf>
    <xf numFmtId="169" fontId="9" fillId="0" borderId="10" xfId="18" applyFont="1" applyBorder="1" applyAlignment="1">
      <alignment vertical="center"/>
    </xf>
    <xf numFmtId="169" fontId="9" fillId="0" borderId="11" xfId="18" applyFont="1" applyBorder="1" applyAlignment="1">
      <alignment vertical="center"/>
    </xf>
    <xf numFmtId="169" fontId="9" fillId="0" borderId="8" xfId="18" applyFont="1" applyBorder="1" applyAlignment="1">
      <alignment vertical="center"/>
    </xf>
    <xf numFmtId="169" fontId="12" fillId="2" borderId="15" xfId="18" applyFont="1" applyFill="1" applyBorder="1" applyAlignment="1">
      <alignment vertical="center" wrapText="1"/>
    </xf>
    <xf numFmtId="169" fontId="12" fillId="2" borderId="16" xfId="18" applyFont="1" applyFill="1" applyBorder="1" applyAlignment="1">
      <alignment vertical="center" wrapText="1"/>
    </xf>
    <xf numFmtId="169" fontId="12" fillId="2" borderId="17" xfId="18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9" fontId="9" fillId="0" borderId="8" xfId="18" applyFont="1" applyBorder="1" applyAlignment="1">
      <alignment horizontal="center" vertical="center" wrapText="1"/>
    </xf>
    <xf numFmtId="169" fontId="9" fillId="0" borderId="4" xfId="18" applyFont="1" applyBorder="1" applyAlignment="1">
      <alignment horizontal="center" vertical="center" wrapText="1"/>
    </xf>
    <xf numFmtId="169" fontId="9" fillId="0" borderId="5" xfId="18" applyFont="1" applyBorder="1" applyAlignment="1">
      <alignment horizontal="center" vertical="center" wrapText="1"/>
    </xf>
    <xf numFmtId="169" fontId="9" fillId="0" borderId="7" xfId="18" applyFont="1" applyBorder="1" applyAlignment="1">
      <alignment horizontal="center" vertical="center" wrapText="1"/>
    </xf>
    <xf numFmtId="169" fontId="9" fillId="0" borderId="3" xfId="18" applyFont="1" applyBorder="1" applyAlignment="1">
      <alignment horizontal="center" vertical="center" wrapText="1"/>
    </xf>
    <xf numFmtId="169" fontId="9" fillId="0" borderId="18" xfId="18" applyFont="1" applyBorder="1" applyAlignment="1">
      <alignment horizontal="center" vertical="center" wrapText="1"/>
    </xf>
    <xf numFmtId="169" fontId="5" fillId="0" borderId="19" xfId="0" applyNumberFormat="1" applyFont="1" applyBorder="1" applyAlignment="1">
      <alignment vertical="center" wrapText="1"/>
    </xf>
    <xf numFmtId="169" fontId="5" fillId="0" borderId="20" xfId="0" applyNumberFormat="1" applyFont="1" applyBorder="1" applyAlignment="1">
      <alignment vertical="center" wrapText="1"/>
    </xf>
    <xf numFmtId="169" fontId="5" fillId="0" borderId="21" xfId="0" applyNumberFormat="1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69" fontId="9" fillId="0" borderId="18" xfId="18" applyFont="1" applyBorder="1" applyAlignment="1">
      <alignment vertical="center" wrapText="1"/>
    </xf>
    <xf numFmtId="169" fontId="5" fillId="0" borderId="22" xfId="0" applyNumberFormat="1" applyFont="1" applyBorder="1" applyAlignment="1">
      <alignment vertical="center" wrapText="1"/>
    </xf>
    <xf numFmtId="169" fontId="5" fillId="0" borderId="23" xfId="0" applyNumberFormat="1" applyFont="1" applyBorder="1" applyAlignment="1">
      <alignment vertical="center" wrapText="1"/>
    </xf>
    <xf numFmtId="169" fontId="5" fillId="0" borderId="24" xfId="0" applyNumberFormat="1" applyFont="1" applyBorder="1" applyAlignment="1">
      <alignment vertical="center" wrapText="1"/>
    </xf>
    <xf numFmtId="169" fontId="9" fillId="0" borderId="25" xfId="18" applyFont="1" applyBorder="1" applyAlignment="1">
      <alignment vertical="center"/>
    </xf>
    <xf numFmtId="169" fontId="9" fillId="0" borderId="3" xfId="18" applyFont="1" applyBorder="1" applyAlignment="1">
      <alignment vertical="center" wrapText="1"/>
    </xf>
    <xf numFmtId="169" fontId="9" fillId="0" borderId="7" xfId="18" applyFont="1" applyBorder="1" applyAlignment="1">
      <alignment vertical="center" wrapText="1"/>
    </xf>
    <xf numFmtId="169" fontId="9" fillId="0" borderId="25" xfId="18" applyFont="1" applyBorder="1" applyAlignment="1">
      <alignment vertical="center" wrapText="1"/>
    </xf>
    <xf numFmtId="169" fontId="9" fillId="0" borderId="26" xfId="18" applyFont="1" applyBorder="1" applyAlignment="1">
      <alignment vertical="center" wrapText="1"/>
    </xf>
    <xf numFmtId="169" fontId="9" fillId="0" borderId="27" xfId="18" applyFont="1" applyBorder="1" applyAlignment="1">
      <alignment vertical="center" wrapText="1"/>
    </xf>
    <xf numFmtId="169" fontId="9" fillId="0" borderId="13" xfId="18" applyFont="1" applyBorder="1" applyAlignment="1">
      <alignment vertical="center" wrapText="1"/>
    </xf>
    <xf numFmtId="169" fontId="9" fillId="0" borderId="9" xfId="18" applyFont="1" applyBorder="1" applyAlignment="1">
      <alignment horizontal="center" vertical="center"/>
    </xf>
    <xf numFmtId="169" fontId="9" fillId="0" borderId="10" xfId="18" applyFont="1" applyBorder="1" applyAlignment="1">
      <alignment horizontal="center" vertical="center"/>
    </xf>
    <xf numFmtId="169" fontId="5" fillId="0" borderId="22" xfId="18" applyFont="1" applyBorder="1" applyAlignment="1">
      <alignment horizontal="center" vertical="center"/>
    </xf>
    <xf numFmtId="169" fontId="5" fillId="0" borderId="23" xfId="18" applyFont="1" applyBorder="1" applyAlignment="1">
      <alignment horizontal="center" vertical="center"/>
    </xf>
    <xf numFmtId="169" fontId="5" fillId="0" borderId="24" xfId="18" applyFont="1" applyBorder="1" applyAlignment="1">
      <alignment horizontal="center" vertical="center"/>
    </xf>
    <xf numFmtId="169" fontId="5" fillId="0" borderId="22" xfId="0" applyNumberFormat="1" applyFont="1" applyBorder="1" applyAlignment="1">
      <alignment vertical="top" wrapText="1"/>
    </xf>
    <xf numFmtId="169" fontId="5" fillId="0" borderId="23" xfId="0" applyNumberFormat="1" applyFont="1" applyBorder="1" applyAlignment="1">
      <alignment vertical="top" wrapText="1"/>
    </xf>
    <xf numFmtId="169" fontId="5" fillId="0" borderId="24" xfId="0" applyNumberFormat="1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169" fontId="0" fillId="0" borderId="0" xfId="18" applyFont="1" applyAlignment="1">
      <alignment/>
    </xf>
    <xf numFmtId="0" fontId="0" fillId="0" borderId="0" xfId="0" applyFont="1" applyAlignment="1">
      <alignment/>
    </xf>
    <xf numFmtId="169" fontId="4" fillId="2" borderId="0" xfId="18" applyFont="1" applyFill="1" applyBorder="1" applyAlignment="1">
      <alignment horizontal="left" vertical="top" wrapText="1"/>
    </xf>
    <xf numFmtId="3" fontId="4" fillId="2" borderId="0" xfId="18" applyNumberFormat="1" applyFont="1" applyFill="1" applyBorder="1" applyAlignment="1">
      <alignment horizontal="left" vertical="top" wrapText="1"/>
    </xf>
    <xf numFmtId="169" fontId="4" fillId="3" borderId="8" xfId="18" applyFont="1" applyFill="1" applyBorder="1" applyAlignment="1">
      <alignment horizontal="center" vertical="center" wrapText="1"/>
    </xf>
    <xf numFmtId="169" fontId="4" fillId="3" borderId="4" xfId="18" applyFont="1" applyFill="1" applyBorder="1" applyAlignment="1">
      <alignment horizontal="center" vertical="center" wrapText="1"/>
    </xf>
    <xf numFmtId="3" fontId="4" fillId="3" borderId="4" xfId="18" applyNumberFormat="1" applyFont="1" applyFill="1" applyBorder="1" applyAlignment="1">
      <alignment horizontal="center" vertical="center" wrapText="1"/>
    </xf>
    <xf numFmtId="169" fontId="4" fillId="3" borderId="5" xfId="18" applyFont="1" applyFill="1" applyBorder="1" applyAlignment="1">
      <alignment horizontal="center" vertical="center" wrapText="1"/>
    </xf>
    <xf numFmtId="169" fontId="4" fillId="3" borderId="15" xfId="18" applyFont="1" applyFill="1" applyBorder="1" applyAlignment="1">
      <alignment horizontal="center" vertical="center" wrapText="1"/>
    </xf>
    <xf numFmtId="169" fontId="4" fillId="3" borderId="16" xfId="18" applyFont="1" applyFill="1" applyBorder="1" applyAlignment="1">
      <alignment horizontal="center" vertical="center" wrapText="1"/>
    </xf>
    <xf numFmtId="169" fontId="4" fillId="3" borderId="17" xfId="18" applyFont="1" applyFill="1" applyBorder="1" applyAlignment="1">
      <alignment horizontal="center" vertical="center" wrapText="1"/>
    </xf>
    <xf numFmtId="169" fontId="0" fillId="0" borderId="8" xfId="18" applyFont="1" applyBorder="1" applyAlignment="1">
      <alignment vertical="center" wrapText="1"/>
    </xf>
    <xf numFmtId="169" fontId="0" fillId="0" borderId="4" xfId="18" applyFont="1" applyBorder="1" applyAlignment="1">
      <alignment vertical="center" wrapText="1"/>
    </xf>
    <xf numFmtId="3" fontId="0" fillId="0" borderId="4" xfId="18" applyNumberFormat="1" applyFont="1" applyBorder="1" applyAlignment="1">
      <alignment vertical="center" wrapText="1"/>
    </xf>
    <xf numFmtId="169" fontId="0" fillId="0" borderId="5" xfId="18" applyFont="1" applyBorder="1" applyAlignment="1">
      <alignment vertical="center" wrapText="1"/>
    </xf>
    <xf numFmtId="169" fontId="0" fillId="0" borderId="9" xfId="18" applyFont="1" applyBorder="1" applyAlignment="1">
      <alignment vertical="center" wrapText="1"/>
    </xf>
    <xf numFmtId="169" fontId="0" fillId="0" borderId="10" xfId="18" applyFont="1" applyBorder="1" applyAlignment="1">
      <alignment vertical="center" wrapText="1"/>
    </xf>
    <xf numFmtId="169" fontId="0" fillId="0" borderId="11" xfId="18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169" fontId="0" fillId="0" borderId="15" xfId="18" applyFont="1" applyBorder="1" applyAlignment="1">
      <alignment vertical="center" wrapText="1"/>
    </xf>
    <xf numFmtId="169" fontId="0" fillId="0" borderId="16" xfId="18" applyFont="1" applyBorder="1" applyAlignment="1">
      <alignment vertical="center" wrapText="1"/>
    </xf>
    <xf numFmtId="169" fontId="0" fillId="0" borderId="17" xfId="18" applyFont="1" applyBorder="1" applyAlignment="1">
      <alignment vertical="center" wrapText="1"/>
    </xf>
    <xf numFmtId="169" fontId="4" fillId="0" borderId="15" xfId="18" applyFont="1" applyBorder="1" applyAlignment="1">
      <alignment vertical="center" wrapText="1"/>
    </xf>
    <xf numFmtId="169" fontId="4" fillId="0" borderId="16" xfId="18" applyFont="1" applyBorder="1" applyAlignment="1">
      <alignment horizontal="center" vertical="center" wrapText="1"/>
    </xf>
    <xf numFmtId="3" fontId="4" fillId="0" borderId="16" xfId="18" applyNumberFormat="1" applyFont="1" applyBorder="1" applyAlignment="1">
      <alignment vertical="center" wrapText="1"/>
    </xf>
    <xf numFmtId="169" fontId="4" fillId="0" borderId="17" xfId="18" applyFont="1" applyBorder="1" applyAlignment="1">
      <alignment vertical="center" wrapText="1"/>
    </xf>
    <xf numFmtId="169" fontId="4" fillId="0" borderId="22" xfId="18" applyFont="1" applyBorder="1" applyAlignment="1">
      <alignment vertical="center" wrapText="1"/>
    </xf>
    <xf numFmtId="169" fontId="4" fillId="0" borderId="23" xfId="18" applyFont="1" applyBorder="1" applyAlignment="1">
      <alignment vertical="center" wrapText="1"/>
    </xf>
    <xf numFmtId="169" fontId="4" fillId="0" borderId="24" xfId="18" applyFont="1" applyBorder="1" applyAlignment="1">
      <alignment vertical="center" wrapText="1"/>
    </xf>
    <xf numFmtId="169" fontId="0" fillId="0" borderId="0" xfId="18" applyFont="1" applyBorder="1" applyAlignment="1">
      <alignment/>
    </xf>
    <xf numFmtId="3" fontId="4" fillId="3" borderId="16" xfId="18" applyNumberFormat="1" applyFont="1" applyFill="1" applyBorder="1" applyAlignment="1">
      <alignment horizontal="center" vertical="center" wrapText="1"/>
    </xf>
    <xf numFmtId="169" fontId="4" fillId="3" borderId="30" xfId="18" applyFont="1" applyFill="1" applyBorder="1" applyAlignment="1">
      <alignment horizontal="center" vertical="center" wrapText="1"/>
    </xf>
    <xf numFmtId="169" fontId="0" fillId="0" borderId="31" xfId="18" applyFont="1" applyBorder="1" applyAlignment="1">
      <alignment vertical="center" wrapText="1"/>
    </xf>
    <xf numFmtId="3" fontId="0" fillId="0" borderId="31" xfId="18" applyNumberFormat="1" applyFont="1" applyBorder="1" applyAlignment="1">
      <alignment vertical="center" wrapText="1"/>
    </xf>
    <xf numFmtId="169" fontId="0" fillId="0" borderId="32" xfId="18" applyFont="1" applyBorder="1" applyAlignment="1">
      <alignment vertical="center" wrapText="1"/>
    </xf>
    <xf numFmtId="3" fontId="0" fillId="0" borderId="32" xfId="18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3" fontId="0" fillId="0" borderId="0" xfId="18" applyNumberFormat="1" applyFont="1" applyAlignment="1">
      <alignment/>
    </xf>
    <xf numFmtId="169" fontId="0" fillId="0" borderId="0" xfId="18" applyFont="1" applyAlignment="1">
      <alignment horizontal="center"/>
    </xf>
    <xf numFmtId="0" fontId="0" fillId="0" borderId="0" xfId="0" applyFont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169" fontId="0" fillId="0" borderId="0" xfId="18" applyFont="1" applyAlignment="1">
      <alignment vertical="center" wrapText="1"/>
    </xf>
    <xf numFmtId="0" fontId="4" fillId="0" borderId="0" xfId="18" applyNumberFormat="1" applyFont="1" applyAlignment="1">
      <alignment vertical="center" wrapText="1"/>
    </xf>
    <xf numFmtId="0" fontId="4" fillId="0" borderId="0" xfId="0" applyNumberFormat="1" applyFont="1" applyAlignment="1">
      <alignment/>
    </xf>
    <xf numFmtId="169" fontId="4" fillId="3" borderId="15" xfId="18" applyFont="1" applyFill="1" applyBorder="1" applyAlignment="1">
      <alignment vertical="center" wrapText="1"/>
    </xf>
    <xf numFmtId="169" fontId="4" fillId="3" borderId="16" xfId="18" applyFont="1" applyFill="1" applyBorder="1" applyAlignment="1">
      <alignment vertical="center" wrapText="1"/>
    </xf>
    <xf numFmtId="169" fontId="4" fillId="3" borderId="17" xfId="18" applyFont="1" applyFill="1" applyBorder="1" applyAlignment="1">
      <alignment vertical="center" wrapText="1"/>
    </xf>
    <xf numFmtId="169" fontId="4" fillId="0" borderId="0" xfId="18" applyFont="1" applyAlignment="1">
      <alignment vertical="center" wrapText="1"/>
    </xf>
    <xf numFmtId="169" fontId="0" fillId="0" borderId="9" xfId="18" applyFont="1" applyBorder="1" applyAlignment="1">
      <alignment vertical="center" wrapText="1"/>
    </xf>
    <xf numFmtId="169" fontId="0" fillId="0" borderId="10" xfId="18" applyFont="1" applyBorder="1" applyAlignment="1">
      <alignment vertical="center" wrapText="1"/>
    </xf>
    <xf numFmtId="169" fontId="0" fillId="0" borderId="11" xfId="18" applyFont="1" applyBorder="1" applyAlignment="1">
      <alignment vertical="center" wrapText="1"/>
    </xf>
    <xf numFmtId="169" fontId="0" fillId="0" borderId="8" xfId="18" applyFont="1" applyBorder="1" applyAlignment="1">
      <alignment vertical="center" wrapText="1"/>
    </xf>
    <xf numFmtId="169" fontId="0" fillId="0" borderId="4" xfId="18" applyFont="1" applyBorder="1" applyAlignment="1">
      <alignment vertical="center" wrapText="1"/>
    </xf>
    <xf numFmtId="169" fontId="0" fillId="0" borderId="5" xfId="18" applyFont="1" applyBorder="1" applyAlignment="1">
      <alignment vertical="center" wrapText="1"/>
    </xf>
    <xf numFmtId="169" fontId="0" fillId="0" borderId="15" xfId="18" applyFont="1" applyBorder="1" applyAlignment="1">
      <alignment vertical="center" wrapText="1"/>
    </xf>
    <xf numFmtId="169" fontId="0" fillId="0" borderId="16" xfId="18" applyFont="1" applyBorder="1" applyAlignment="1">
      <alignment vertical="center" wrapText="1"/>
    </xf>
    <xf numFmtId="169" fontId="0" fillId="0" borderId="17" xfId="18" applyFont="1" applyBorder="1" applyAlignment="1">
      <alignment vertical="center" wrapText="1"/>
    </xf>
    <xf numFmtId="169" fontId="17" fillId="0" borderId="0" xfId="18" applyFont="1" applyAlignment="1">
      <alignment vertical="center" wrapText="1"/>
    </xf>
    <xf numFmtId="0" fontId="17" fillId="0" borderId="0" xfId="0" applyFont="1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4" fillId="0" borderId="37" xfId="0" applyFont="1" applyBorder="1" applyAlignment="1">
      <alignment/>
    </xf>
    <xf numFmtId="169" fontId="0" fillId="0" borderId="37" xfId="0" applyNumberFormat="1" applyBorder="1" applyAlignment="1">
      <alignment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169" fontId="4" fillId="0" borderId="40" xfId="0" applyNumberFormat="1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center" wrapText="1"/>
    </xf>
    <xf numFmtId="169" fontId="0" fillId="0" borderId="42" xfId="18" applyFont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169" fontId="9" fillId="0" borderId="43" xfId="18" applyFont="1" applyBorder="1" applyAlignment="1">
      <alignment vertical="center" wrapText="1"/>
    </xf>
    <xf numFmtId="169" fontId="9" fillId="0" borderId="44" xfId="18" applyFont="1" applyBorder="1" applyAlignment="1">
      <alignment vertical="center" wrapText="1"/>
    </xf>
    <xf numFmtId="169" fontId="9" fillId="0" borderId="45" xfId="18" applyFont="1" applyBorder="1" applyAlignment="1">
      <alignment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18" applyNumberFormat="1" applyFont="1" applyBorder="1" applyAlignment="1">
      <alignment vertical="center" wrapText="1"/>
    </xf>
    <xf numFmtId="169" fontId="3" fillId="0" borderId="0" xfId="18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18" applyNumberFormat="1" applyFont="1" applyBorder="1" applyAlignment="1">
      <alignment vertical="center" wrapText="1"/>
    </xf>
    <xf numFmtId="169" fontId="9" fillId="0" borderId="0" xfId="18" applyFont="1" applyBorder="1" applyAlignment="1">
      <alignment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169" fontId="4" fillId="3" borderId="56" xfId="18" applyFont="1" applyFill="1" applyBorder="1" applyAlignment="1">
      <alignment horizontal="center" vertical="center" wrapText="1"/>
    </xf>
    <xf numFmtId="49" fontId="4" fillId="3" borderId="57" xfId="0" applyNumberFormat="1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vertical="center" wrapText="1"/>
    </xf>
    <xf numFmtId="49" fontId="4" fillId="3" borderId="59" xfId="0" applyNumberFormat="1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vertical="center" wrapText="1"/>
    </xf>
    <xf numFmtId="169" fontId="0" fillId="0" borderId="0" xfId="18" applyFont="1" applyBorder="1" applyAlignment="1">
      <alignment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18" applyNumberFormat="1" applyFont="1" applyBorder="1" applyAlignment="1">
      <alignment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169" fontId="0" fillId="0" borderId="45" xfId="18" applyFont="1" applyBorder="1" applyAlignment="1">
      <alignment vertical="center" wrapText="1"/>
    </xf>
    <xf numFmtId="169" fontId="0" fillId="0" borderId="43" xfId="18" applyFont="1" applyBorder="1" applyAlignment="1">
      <alignment vertical="center" wrapText="1"/>
    </xf>
    <xf numFmtId="3" fontId="0" fillId="0" borderId="43" xfId="18" applyNumberFormat="1" applyFont="1" applyBorder="1" applyAlignment="1">
      <alignment vertical="center" wrapText="1"/>
    </xf>
    <xf numFmtId="169" fontId="0" fillId="0" borderId="44" xfId="18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169" fontId="0" fillId="0" borderId="65" xfId="18" applyFont="1" applyBorder="1" applyAlignment="1">
      <alignment vertical="center" wrapText="1"/>
    </xf>
    <xf numFmtId="3" fontId="0" fillId="0" borderId="65" xfId="18" applyNumberFormat="1" applyFont="1" applyBorder="1" applyAlignment="1">
      <alignment vertical="center" wrapText="1"/>
    </xf>
    <xf numFmtId="169" fontId="15" fillId="0" borderId="0" xfId="18" applyFont="1" applyBorder="1" applyAlignment="1">
      <alignment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9" fontId="0" fillId="0" borderId="7" xfId="18" applyFont="1" applyBorder="1" applyAlignment="1">
      <alignment vertical="center" wrapText="1"/>
    </xf>
    <xf numFmtId="169" fontId="0" fillId="0" borderId="3" xfId="18" applyFont="1" applyBorder="1" applyAlignment="1">
      <alignment vertical="center" wrapText="1"/>
    </xf>
    <xf numFmtId="3" fontId="0" fillId="0" borderId="3" xfId="18" applyNumberFormat="1" applyFont="1" applyBorder="1" applyAlignment="1">
      <alignment vertical="center" wrapText="1"/>
    </xf>
    <xf numFmtId="169" fontId="0" fillId="0" borderId="18" xfId="18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0" xfId="0" applyFont="1" applyBorder="1" applyAlignment="1">
      <alignment vertical="center" wrapText="1"/>
    </xf>
    <xf numFmtId="169" fontId="0" fillId="0" borderId="70" xfId="18" applyFont="1" applyBorder="1" applyAlignment="1">
      <alignment vertical="center" wrapText="1"/>
    </xf>
    <xf numFmtId="3" fontId="0" fillId="0" borderId="70" xfId="18" applyNumberFormat="1" applyFont="1" applyBorder="1" applyAlignment="1">
      <alignment vertical="center" wrapText="1"/>
    </xf>
    <xf numFmtId="169" fontId="4" fillId="3" borderId="7" xfId="18" applyFont="1" applyFill="1" applyBorder="1" applyAlignment="1">
      <alignment horizontal="center" vertical="center" wrapText="1"/>
    </xf>
    <xf numFmtId="169" fontId="4" fillId="3" borderId="3" xfId="18" applyFont="1" applyFill="1" applyBorder="1" applyAlignment="1">
      <alignment horizontal="center" vertical="center" wrapText="1"/>
    </xf>
    <xf numFmtId="3" fontId="4" fillId="3" borderId="3" xfId="18" applyNumberFormat="1" applyFont="1" applyFill="1" applyBorder="1" applyAlignment="1">
      <alignment horizontal="center" vertical="center" wrapText="1"/>
    </xf>
    <xf numFmtId="169" fontId="4" fillId="3" borderId="18" xfId="18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65" xfId="0" applyFont="1" applyBorder="1" applyAlignment="1">
      <alignment horizontal="center" vertical="center" wrapText="1"/>
    </xf>
    <xf numFmtId="169" fontId="4" fillId="0" borderId="71" xfId="18" applyFont="1" applyBorder="1" applyAlignment="1">
      <alignment horizontal="center" vertical="center" wrapText="1"/>
    </xf>
    <xf numFmtId="3" fontId="4" fillId="0" borderId="71" xfId="18" applyNumberFormat="1" applyFont="1" applyBorder="1" applyAlignment="1">
      <alignment vertical="center" wrapText="1"/>
    </xf>
    <xf numFmtId="169" fontId="4" fillId="0" borderId="71" xfId="18" applyFont="1" applyBorder="1" applyAlignment="1">
      <alignment vertical="center" wrapText="1"/>
    </xf>
    <xf numFmtId="49" fontId="2" fillId="0" borderId="72" xfId="18" applyNumberFormat="1" applyFont="1" applyBorder="1" applyAlignment="1">
      <alignment vertical="center" wrapText="1"/>
    </xf>
    <xf numFmtId="49" fontId="2" fillId="0" borderId="73" xfId="18" applyNumberFormat="1" applyFont="1" applyBorder="1" applyAlignment="1">
      <alignment vertical="center" wrapText="1"/>
    </xf>
    <xf numFmtId="169" fontId="9" fillId="0" borderId="7" xfId="18" applyFont="1" applyBorder="1" applyAlignment="1">
      <alignment vertical="center" wrapText="1"/>
    </xf>
    <xf numFmtId="0" fontId="2" fillId="0" borderId="74" xfId="0" applyFont="1" applyBorder="1" applyAlignment="1">
      <alignment horizontal="left" vertical="center" wrapText="1"/>
    </xf>
    <xf numFmtId="49" fontId="2" fillId="0" borderId="62" xfId="18" applyNumberFormat="1" applyFont="1" applyBorder="1" applyAlignment="1">
      <alignment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169" fontId="2" fillId="0" borderId="32" xfId="18" applyFont="1" applyBorder="1" applyAlignment="1">
      <alignment vertical="center" wrapText="1"/>
    </xf>
    <xf numFmtId="0" fontId="2" fillId="0" borderId="77" xfId="0" applyNumberFormat="1" applyFont="1" applyBorder="1" applyAlignment="1">
      <alignment vertical="top" wrapText="1"/>
    </xf>
    <xf numFmtId="0" fontId="10" fillId="0" borderId="65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78" xfId="0" applyNumberFormat="1" applyFont="1" applyBorder="1" applyAlignment="1">
      <alignment vertical="top" wrapText="1"/>
    </xf>
    <xf numFmtId="0" fontId="5" fillId="0" borderId="79" xfId="0" applyFont="1" applyBorder="1" applyAlignment="1">
      <alignment horizontal="center" vertical="center" wrapText="1"/>
    </xf>
    <xf numFmtId="0" fontId="2" fillId="0" borderId="32" xfId="18" applyNumberFormat="1" applyFont="1" applyBorder="1" applyAlignment="1">
      <alignment vertical="center" wrapText="1"/>
    </xf>
    <xf numFmtId="0" fontId="7" fillId="3" borderId="80" xfId="0" applyFont="1" applyFill="1" applyBorder="1" applyAlignment="1">
      <alignment horizontal="center" vertical="center" wrapText="1"/>
    </xf>
    <xf numFmtId="0" fontId="7" fillId="3" borderId="81" xfId="0" applyFont="1" applyFill="1" applyBorder="1" applyAlignment="1">
      <alignment horizontal="center" vertical="center" wrapText="1"/>
    </xf>
    <xf numFmtId="0" fontId="7" fillId="3" borderId="75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 wrapText="1"/>
    </xf>
    <xf numFmtId="0" fontId="3" fillId="3" borderId="81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169" fontId="9" fillId="0" borderId="45" xfId="18" applyFont="1" applyBorder="1" applyAlignment="1">
      <alignment vertical="center" wrapText="1"/>
    </xf>
    <xf numFmtId="0" fontId="1" fillId="2" borderId="0" xfId="0" applyFont="1" applyFill="1" applyBorder="1" applyAlignment="1">
      <alignment horizontal="left" vertical="top" wrapText="1"/>
    </xf>
    <xf numFmtId="169" fontId="9" fillId="0" borderId="4" xfId="18" applyFont="1" applyBorder="1" applyAlignment="1">
      <alignment vertical="center" wrapText="1"/>
    </xf>
    <xf numFmtId="169" fontId="9" fillId="0" borderId="3" xfId="18" applyFont="1" applyBorder="1" applyAlignment="1">
      <alignment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69" fontId="9" fillId="0" borderId="13" xfId="18" applyFont="1" applyBorder="1" applyAlignment="1">
      <alignment horizontal="center" vertical="center" wrapText="1"/>
    </xf>
    <xf numFmtId="169" fontId="9" fillId="0" borderId="8" xfId="18" applyFont="1" applyBorder="1" applyAlignment="1">
      <alignment vertical="center" wrapText="1"/>
    </xf>
    <xf numFmtId="169" fontId="9" fillId="0" borderId="18" xfId="18" applyFont="1" applyBorder="1" applyAlignment="1">
      <alignment horizontal="center" vertical="center" wrapText="1"/>
    </xf>
    <xf numFmtId="169" fontId="9" fillId="0" borderId="12" xfId="18" applyFont="1" applyBorder="1" applyAlignment="1">
      <alignment horizontal="center" vertical="center" wrapText="1"/>
    </xf>
    <xf numFmtId="169" fontId="9" fillId="0" borderId="14" xfId="18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top" wrapText="1"/>
    </xf>
    <xf numFmtId="0" fontId="2" fillId="0" borderId="65" xfId="0" applyFont="1" applyBorder="1" applyAlignment="1">
      <alignment horizontal="left" vertical="top" wrapText="1"/>
    </xf>
    <xf numFmtId="0" fontId="10" fillId="0" borderId="88" xfId="0" applyFont="1" applyBorder="1" applyAlignment="1">
      <alignment vertical="center" wrapText="1"/>
    </xf>
    <xf numFmtId="0" fontId="10" fillId="0" borderId="89" xfId="0" applyFont="1" applyBorder="1" applyAlignment="1">
      <alignment vertical="center" wrapText="1"/>
    </xf>
    <xf numFmtId="0" fontId="3" fillId="3" borderId="90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6" fillId="2" borderId="0" xfId="0" applyFont="1" applyFill="1" applyBorder="1" applyAlignment="1">
      <alignment horizontal="left" vertical="top" wrapText="1"/>
    </xf>
    <xf numFmtId="0" fontId="10" fillId="0" borderId="91" xfId="18" applyNumberFormat="1" applyFont="1" applyBorder="1" applyAlignment="1">
      <alignment horizontal="center" vertical="top" wrapText="1"/>
    </xf>
    <xf numFmtId="0" fontId="0" fillId="0" borderId="92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169" fontId="9" fillId="0" borderId="9" xfId="18" applyFont="1" applyBorder="1" applyAlignment="1">
      <alignment vertical="center" wrapText="1"/>
    </xf>
    <xf numFmtId="0" fontId="18" fillId="0" borderId="98" xfId="0" applyFont="1" applyBorder="1" applyAlignment="1">
      <alignment horizontal="left" vertical="top" wrapText="1"/>
    </xf>
    <xf numFmtId="0" fontId="18" fillId="0" borderId="99" xfId="0" applyFont="1" applyBorder="1" applyAlignment="1">
      <alignment horizontal="left" vertical="top" wrapText="1"/>
    </xf>
    <xf numFmtId="0" fontId="3" fillId="3" borderId="80" xfId="0" applyFont="1" applyFill="1" applyBorder="1" applyAlignment="1">
      <alignment horizontal="center" vertical="top" wrapText="1"/>
    </xf>
    <xf numFmtId="0" fontId="3" fillId="3" borderId="81" xfId="0" applyFont="1" applyFill="1" applyBorder="1" applyAlignment="1">
      <alignment horizontal="center" vertical="top" wrapText="1"/>
    </xf>
    <xf numFmtId="0" fontId="3" fillId="3" borderId="86" xfId="0" applyFont="1" applyFill="1" applyBorder="1" applyAlignment="1">
      <alignment horizontal="center" vertical="top" wrapText="1"/>
    </xf>
    <xf numFmtId="0" fontId="3" fillId="3" borderId="87" xfId="0" applyFont="1" applyFill="1" applyBorder="1" applyAlignment="1">
      <alignment horizontal="center" vertical="top" wrapText="1"/>
    </xf>
    <xf numFmtId="0" fontId="3" fillId="3" borderId="59" xfId="0" applyFont="1" applyFill="1" applyBorder="1" applyAlignment="1">
      <alignment horizontal="center" vertical="top" wrapText="1"/>
    </xf>
    <xf numFmtId="0" fontId="3" fillId="3" borderId="60" xfId="0" applyFont="1" applyFill="1" applyBorder="1" applyAlignment="1">
      <alignment horizontal="center" vertical="top" wrapText="1"/>
    </xf>
    <xf numFmtId="0" fontId="19" fillId="0" borderId="28" xfId="0" applyFont="1" applyBorder="1" applyAlignment="1">
      <alignment vertical="center" wrapText="1"/>
    </xf>
    <xf numFmtId="0" fontId="19" fillId="0" borderId="77" xfId="0" applyFont="1" applyBorder="1" applyAlignment="1">
      <alignment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2" xfId="0" applyFont="1" applyFill="1" applyBorder="1" applyAlignment="1">
      <alignment horizontal="center" vertical="center" wrapText="1"/>
    </xf>
    <xf numFmtId="49" fontId="19" fillId="0" borderId="100" xfId="0" applyNumberFormat="1" applyFont="1" applyBorder="1" applyAlignment="1">
      <alignment horizontal="left" vertical="center" wrapText="1"/>
    </xf>
    <xf numFmtId="49" fontId="19" fillId="0" borderId="81" xfId="0" applyNumberFormat="1" applyFont="1" applyBorder="1" applyAlignment="1">
      <alignment horizontal="left" vertical="center" wrapText="1"/>
    </xf>
    <xf numFmtId="49" fontId="19" fillId="0" borderId="49" xfId="0" applyNumberFormat="1" applyFont="1" applyBorder="1" applyAlignment="1">
      <alignment horizontal="left" vertical="center" wrapText="1"/>
    </xf>
    <xf numFmtId="49" fontId="19" fillId="0" borderId="76" xfId="0" applyNumberFormat="1" applyFont="1" applyBorder="1" applyAlignment="1">
      <alignment horizontal="left" vertical="center" wrapText="1"/>
    </xf>
    <xf numFmtId="0" fontId="10" fillId="0" borderId="32" xfId="0" applyFont="1" applyBorder="1" applyAlignment="1">
      <alignment vertical="top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9" fontId="9" fillId="0" borderId="3" xfId="18" applyFont="1" applyBorder="1" applyAlignment="1">
      <alignment horizontal="center" vertical="center"/>
    </xf>
    <xf numFmtId="169" fontId="9" fillId="0" borderId="101" xfId="18" applyFont="1" applyBorder="1" applyAlignment="1">
      <alignment horizontal="center" vertical="center"/>
    </xf>
    <xf numFmtId="169" fontId="9" fillId="0" borderId="10" xfId="18" applyFont="1" applyBorder="1" applyAlignment="1">
      <alignment vertical="center" wrapText="1"/>
    </xf>
    <xf numFmtId="169" fontId="9" fillId="0" borderId="43" xfId="18" applyFont="1" applyBorder="1" applyAlignment="1">
      <alignment vertical="center" wrapText="1"/>
    </xf>
    <xf numFmtId="169" fontId="9" fillId="0" borderId="18" xfId="18" applyFont="1" applyBorder="1" applyAlignment="1">
      <alignment horizontal="center" vertical="center"/>
    </xf>
    <xf numFmtId="169" fontId="9" fillId="0" borderId="102" xfId="18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9" fontId="9" fillId="0" borderId="7" xfId="18" applyFont="1" applyBorder="1" applyAlignment="1">
      <alignment horizontal="center" vertical="center"/>
    </xf>
    <xf numFmtId="169" fontId="9" fillId="0" borderId="103" xfId="18" applyFont="1" applyBorder="1" applyAlignment="1">
      <alignment horizontal="center" vertical="center"/>
    </xf>
    <xf numFmtId="169" fontId="9" fillId="0" borderId="8" xfId="18" applyFont="1" applyBorder="1" applyAlignment="1">
      <alignment horizontal="center" vertical="center"/>
    </xf>
    <xf numFmtId="169" fontId="9" fillId="0" borderId="15" xfId="18" applyFont="1" applyBorder="1" applyAlignment="1">
      <alignment horizontal="center" vertical="center"/>
    </xf>
    <xf numFmtId="169" fontId="9" fillId="0" borderId="4" xfId="18" applyFont="1" applyBorder="1" applyAlignment="1">
      <alignment horizontal="center" vertical="center"/>
    </xf>
    <xf numFmtId="169" fontId="9" fillId="0" borderId="16" xfId="18" applyFont="1" applyBorder="1" applyAlignment="1">
      <alignment horizontal="center" vertical="center"/>
    </xf>
    <xf numFmtId="169" fontId="9" fillId="0" borderId="18" xfId="18" applyFont="1" applyBorder="1" applyAlignment="1">
      <alignment vertical="center" wrapText="1"/>
    </xf>
    <xf numFmtId="169" fontId="9" fillId="0" borderId="44" xfId="18" applyFont="1" applyBorder="1" applyAlignment="1">
      <alignment vertical="center" wrapText="1"/>
    </xf>
    <xf numFmtId="169" fontId="9" fillId="0" borderId="11" xfId="18" applyFont="1" applyBorder="1" applyAlignment="1">
      <alignment vertical="center" wrapText="1"/>
    </xf>
    <xf numFmtId="169" fontId="9" fillId="0" borderId="5" xfId="18" applyFont="1" applyBorder="1" applyAlignment="1">
      <alignment vertical="center" wrapText="1"/>
    </xf>
    <xf numFmtId="169" fontId="9" fillId="0" borderId="3" xfId="18" applyFont="1" applyBorder="1" applyAlignment="1">
      <alignment horizontal="center" vertical="center" wrapText="1"/>
    </xf>
    <xf numFmtId="169" fontId="9" fillId="0" borderId="7" xfId="18" applyFont="1" applyBorder="1" applyAlignment="1">
      <alignment horizontal="center" vertical="center" wrapText="1"/>
    </xf>
    <xf numFmtId="0" fontId="3" fillId="3" borderId="10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88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169" fontId="9" fillId="0" borderId="3" xfId="18" applyFont="1" applyBorder="1" applyAlignment="1">
      <alignment vertical="center"/>
    </xf>
    <xf numFmtId="169" fontId="9" fillId="0" borderId="43" xfId="18" applyFont="1" applyBorder="1" applyAlignment="1">
      <alignment vertical="center"/>
    </xf>
    <xf numFmtId="169" fontId="9" fillId="0" borderId="102" xfId="18" applyFont="1" applyBorder="1" applyAlignment="1">
      <alignment vertical="center" wrapText="1"/>
    </xf>
    <xf numFmtId="0" fontId="10" fillId="0" borderId="75" xfId="0" applyFont="1" applyBorder="1" applyAlignment="1">
      <alignment horizontal="left" vertical="center"/>
    </xf>
    <xf numFmtId="0" fontId="24" fillId="0" borderId="74" xfId="0" applyFont="1" applyBorder="1" applyAlignment="1">
      <alignment horizontal="left" vertical="center"/>
    </xf>
    <xf numFmtId="0" fontId="10" fillId="0" borderId="90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169" fontId="9" fillId="0" borderId="7" xfId="18" applyFont="1" applyBorder="1" applyAlignment="1">
      <alignment vertical="center"/>
    </xf>
    <xf numFmtId="169" fontId="9" fillId="0" borderId="45" xfId="18" applyFont="1" applyBorder="1" applyAlignment="1">
      <alignment vertical="center"/>
    </xf>
    <xf numFmtId="169" fontId="9" fillId="0" borderId="13" xfId="18" applyFont="1" applyBorder="1" applyAlignment="1">
      <alignment vertical="center" wrapText="1"/>
    </xf>
    <xf numFmtId="169" fontId="9" fillId="0" borderId="43" xfId="18" applyFont="1" applyBorder="1" applyAlignment="1">
      <alignment horizontal="center" vertical="center"/>
    </xf>
    <xf numFmtId="169" fontId="9" fillId="0" borderId="27" xfId="18" applyFont="1" applyBorder="1" applyAlignment="1">
      <alignment horizontal="center" vertical="center" wrapText="1"/>
    </xf>
    <xf numFmtId="169" fontId="9" fillId="0" borderId="43" xfId="18" applyFont="1" applyBorder="1" applyAlignment="1">
      <alignment horizontal="center" vertical="center" wrapText="1"/>
    </xf>
    <xf numFmtId="169" fontId="9" fillId="0" borderId="25" xfId="18" applyFont="1" applyBorder="1" applyAlignment="1">
      <alignment horizontal="center" vertical="center" wrapText="1"/>
    </xf>
    <xf numFmtId="169" fontId="9" fillId="0" borderId="44" xfId="18" applyFont="1" applyBorder="1" applyAlignment="1">
      <alignment horizontal="center" vertical="center" wrapText="1"/>
    </xf>
    <xf numFmtId="169" fontId="9" fillId="0" borderId="26" xfId="18" applyFont="1" applyBorder="1" applyAlignment="1">
      <alignment horizontal="center" vertical="center" wrapText="1"/>
    </xf>
    <xf numFmtId="169" fontId="9" fillId="0" borderId="45" xfId="18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3" borderId="105" xfId="0" applyFont="1" applyFill="1" applyBorder="1" applyAlignment="1">
      <alignment horizontal="center" vertical="center" wrapText="1"/>
    </xf>
    <xf numFmtId="0" fontId="3" fillId="3" borderId="106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top" wrapText="1"/>
    </xf>
    <xf numFmtId="0" fontId="1" fillId="2" borderId="105" xfId="0" applyFont="1" applyFill="1" applyBorder="1" applyAlignment="1">
      <alignment horizontal="center" vertical="center" wrapText="1"/>
    </xf>
    <xf numFmtId="0" fontId="1" fillId="2" borderId="106" xfId="0" applyFont="1" applyFill="1" applyBorder="1" applyAlignment="1">
      <alignment horizontal="center" vertical="center" wrapText="1"/>
    </xf>
    <xf numFmtId="0" fontId="5" fillId="3" borderId="107" xfId="0" applyFont="1" applyFill="1" applyBorder="1" applyAlignment="1">
      <alignment horizontal="center"/>
    </xf>
    <xf numFmtId="0" fontId="5" fillId="3" borderId="108" xfId="0" applyFont="1" applyFill="1" applyBorder="1" applyAlignment="1">
      <alignment horizontal="center"/>
    </xf>
    <xf numFmtId="0" fontId="5" fillId="3" borderId="109" xfId="0" applyFont="1" applyFill="1" applyBorder="1" applyAlignment="1">
      <alignment horizontal="center"/>
    </xf>
    <xf numFmtId="0" fontId="5" fillId="3" borderId="107" xfId="0" applyFont="1" applyFill="1" applyBorder="1" applyAlignment="1">
      <alignment horizontal="center"/>
    </xf>
    <xf numFmtId="0" fontId="5" fillId="3" borderId="108" xfId="0" applyFont="1" applyFill="1" applyBorder="1" applyAlignment="1">
      <alignment horizontal="center"/>
    </xf>
    <xf numFmtId="0" fontId="5" fillId="3" borderId="109" xfId="0" applyFont="1" applyFill="1" applyBorder="1" applyAlignment="1">
      <alignment horizontal="center"/>
    </xf>
    <xf numFmtId="0" fontId="12" fillId="3" borderId="107" xfId="0" applyFont="1" applyFill="1" applyBorder="1" applyAlignment="1">
      <alignment horizontal="center" vertical="top" wrapText="1"/>
    </xf>
    <xf numFmtId="0" fontId="12" fillId="3" borderId="108" xfId="0" applyFont="1" applyFill="1" applyBorder="1" applyAlignment="1">
      <alignment horizontal="center" vertical="top" wrapText="1"/>
    </xf>
    <xf numFmtId="0" fontId="12" fillId="3" borderId="109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65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5" fillId="0" borderId="84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2" fillId="0" borderId="110" xfId="18" applyNumberFormat="1" applyFont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0" fontId="5" fillId="0" borderId="111" xfId="0" applyFont="1" applyBorder="1" applyAlignment="1">
      <alignment horizontal="center" vertical="top" wrapText="1"/>
    </xf>
    <xf numFmtId="0" fontId="5" fillId="0" borderId="112" xfId="0" applyFont="1" applyBorder="1" applyAlignment="1">
      <alignment horizontal="center" vertical="top" wrapText="1"/>
    </xf>
    <xf numFmtId="0" fontId="6" fillId="2" borderId="3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169" fontId="5" fillId="0" borderId="29" xfId="18" applyFont="1" applyBorder="1" applyAlignment="1">
      <alignment horizontal="center" vertical="center" wrapText="1"/>
    </xf>
    <xf numFmtId="169" fontId="5" fillId="0" borderId="32" xfId="18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9" fontId="5" fillId="0" borderId="61" xfId="18" applyFont="1" applyBorder="1" applyAlignment="1">
      <alignment horizontal="center" vertical="center" wrapText="1"/>
    </xf>
    <xf numFmtId="169" fontId="5" fillId="0" borderId="65" xfId="18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169" fontId="5" fillId="0" borderId="104" xfId="18" applyFont="1" applyBorder="1" applyAlignment="1">
      <alignment horizontal="center" vertical="center" wrapText="1"/>
    </xf>
    <xf numFmtId="169" fontId="5" fillId="0" borderId="31" xfId="18" applyFont="1" applyBorder="1" applyAlignment="1">
      <alignment horizontal="center" vertical="center" wrapText="1"/>
    </xf>
    <xf numFmtId="169" fontId="2" fillId="0" borderId="31" xfId="18" applyFont="1" applyBorder="1" applyAlignment="1">
      <alignment vertical="center" wrapText="1"/>
    </xf>
    <xf numFmtId="169" fontId="2" fillId="0" borderId="65" xfId="18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top" wrapText="1"/>
    </xf>
    <xf numFmtId="0" fontId="3" fillId="3" borderId="113" xfId="0" applyFont="1" applyFill="1" applyBorder="1" applyAlignment="1">
      <alignment horizontal="center" vertical="center" wrapText="1"/>
    </xf>
    <xf numFmtId="0" fontId="3" fillId="3" borderId="114" xfId="0" applyFont="1" applyFill="1" applyBorder="1" applyAlignment="1">
      <alignment horizontal="center" vertical="center" wrapText="1"/>
    </xf>
    <xf numFmtId="0" fontId="3" fillId="3" borderId="115" xfId="0" applyFont="1" applyFill="1" applyBorder="1" applyAlignment="1">
      <alignment horizontal="center" vertical="center" wrapText="1"/>
    </xf>
    <xf numFmtId="0" fontId="3" fillId="3" borderId="116" xfId="0" applyFont="1" applyFill="1" applyBorder="1" applyAlignment="1">
      <alignment horizontal="center" vertical="center" wrapText="1"/>
    </xf>
    <xf numFmtId="169" fontId="2" fillId="0" borderId="90" xfId="18" applyFont="1" applyBorder="1" applyAlignment="1">
      <alignment horizontal="center" vertical="center" wrapText="1"/>
    </xf>
    <xf numFmtId="169" fontId="2" fillId="0" borderId="72" xfId="18" applyFont="1" applyBorder="1" applyAlignment="1">
      <alignment horizontal="center" vertical="center" wrapText="1"/>
    </xf>
    <xf numFmtId="169" fontId="2" fillId="0" borderId="47" xfId="18" applyFont="1" applyBorder="1" applyAlignment="1">
      <alignment horizontal="center" vertical="center" wrapText="1"/>
    </xf>
    <xf numFmtId="169" fontId="2" fillId="0" borderId="49" xfId="18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vertical="center" wrapText="1"/>
    </xf>
    <xf numFmtId="169" fontId="5" fillId="0" borderId="28" xfId="18" applyFont="1" applyBorder="1" applyAlignment="1">
      <alignment horizontal="center" vertical="center" wrapText="1"/>
    </xf>
    <xf numFmtId="0" fontId="3" fillId="3" borderId="117" xfId="0" applyFont="1" applyFill="1" applyBorder="1" applyAlignment="1">
      <alignment horizontal="center" vertical="top" wrapText="1"/>
    </xf>
    <xf numFmtId="0" fontId="3" fillId="3" borderId="118" xfId="0" applyFont="1" applyFill="1" applyBorder="1" applyAlignment="1">
      <alignment horizontal="center" vertical="top" wrapText="1"/>
    </xf>
    <xf numFmtId="0" fontId="3" fillId="3" borderId="119" xfId="0" applyFont="1" applyFill="1" applyBorder="1" applyAlignment="1">
      <alignment horizontal="center" vertical="top" wrapText="1"/>
    </xf>
    <xf numFmtId="0" fontId="3" fillId="3" borderId="120" xfId="0" applyFont="1" applyFill="1" applyBorder="1" applyAlignment="1">
      <alignment horizontal="center" vertical="top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10" xfId="0" applyFont="1" applyBorder="1" applyAlignment="1">
      <alignment vertical="top" wrapText="1"/>
    </xf>
    <xf numFmtId="0" fontId="2" fillId="0" borderId="9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3" borderId="121" xfId="0" applyFont="1" applyFill="1" applyBorder="1" applyAlignment="1">
      <alignment horizontal="center" vertical="center" wrapText="1"/>
    </xf>
    <xf numFmtId="0" fontId="5" fillId="3" borderId="122" xfId="0" applyFont="1" applyFill="1" applyBorder="1" applyAlignment="1">
      <alignment horizontal="center" vertical="center" wrapText="1"/>
    </xf>
    <xf numFmtId="0" fontId="5" fillId="3" borderId="123" xfId="0" applyFont="1" applyFill="1" applyBorder="1" applyAlignment="1">
      <alignment horizontal="center" vertical="center" wrapText="1"/>
    </xf>
    <xf numFmtId="0" fontId="12" fillId="3" borderId="124" xfId="0" applyFont="1" applyFill="1" applyBorder="1" applyAlignment="1">
      <alignment horizontal="center" vertical="center" wrapText="1"/>
    </xf>
    <xf numFmtId="0" fontId="3" fillId="3" borderId="125" xfId="0" applyFont="1" applyFill="1" applyBorder="1" applyAlignment="1">
      <alignment horizontal="center" vertical="center" wrapText="1"/>
    </xf>
    <xf numFmtId="0" fontId="0" fillId="0" borderId="126" xfId="0" applyBorder="1" applyAlignment="1">
      <alignment/>
    </xf>
    <xf numFmtId="0" fontId="12" fillId="3" borderId="99" xfId="0" applyFont="1" applyFill="1" applyBorder="1" applyAlignment="1">
      <alignment horizontal="center" vertical="center" wrapText="1"/>
    </xf>
    <xf numFmtId="0" fontId="12" fillId="3" borderId="122" xfId="0" applyFont="1" applyFill="1" applyBorder="1" applyAlignment="1">
      <alignment horizontal="center" vertical="center" wrapText="1"/>
    </xf>
    <xf numFmtId="0" fontId="12" fillId="3" borderId="123" xfId="0" applyFont="1" applyFill="1" applyBorder="1" applyAlignment="1">
      <alignment horizontal="center" vertical="center" wrapText="1"/>
    </xf>
    <xf numFmtId="0" fontId="12" fillId="3" borderId="121" xfId="0" applyFont="1" applyFill="1" applyBorder="1" applyAlignment="1">
      <alignment horizontal="center" vertical="center" wrapText="1"/>
    </xf>
    <xf numFmtId="169" fontId="0" fillId="0" borderId="3" xfId="18" applyFont="1" applyBorder="1" applyAlignment="1">
      <alignment horizontal="center" vertical="center" wrapText="1"/>
    </xf>
    <xf numFmtId="169" fontId="0" fillId="0" borderId="13" xfId="18" applyFont="1" applyBorder="1" applyAlignment="1">
      <alignment horizontal="center" vertical="center" wrapText="1"/>
    </xf>
    <xf numFmtId="169" fontId="0" fillId="0" borderId="43" xfId="18" applyFont="1" applyBorder="1" applyAlignment="1">
      <alignment horizontal="center" vertical="center" wrapText="1"/>
    </xf>
    <xf numFmtId="0" fontId="4" fillId="3" borderId="9" xfId="18" applyNumberFormat="1" applyFont="1" applyFill="1" applyBorder="1" applyAlignment="1">
      <alignment horizontal="center" vertical="center" wrapText="1"/>
    </xf>
    <xf numFmtId="0" fontId="4" fillId="3" borderId="10" xfId="18" applyNumberFormat="1" applyFont="1" applyFill="1" applyBorder="1" applyAlignment="1">
      <alignment horizontal="center" vertical="center" wrapText="1"/>
    </xf>
    <xf numFmtId="0" fontId="4" fillId="3" borderId="11" xfId="18" applyNumberFormat="1" applyFont="1" applyFill="1" applyBorder="1" applyAlignment="1">
      <alignment horizontal="center" vertical="center" wrapText="1"/>
    </xf>
    <xf numFmtId="0" fontId="4" fillId="3" borderId="9" xfId="18" applyNumberFormat="1" applyFont="1" applyFill="1" applyBorder="1" applyAlignment="1">
      <alignment horizontal="center"/>
    </xf>
    <xf numFmtId="0" fontId="4" fillId="3" borderId="10" xfId="18" applyNumberFormat="1" applyFont="1" applyFill="1" applyBorder="1" applyAlignment="1">
      <alignment horizontal="center"/>
    </xf>
    <xf numFmtId="0" fontId="4" fillId="3" borderId="127" xfId="18" applyNumberFormat="1" applyFont="1" applyFill="1" applyBorder="1" applyAlignment="1">
      <alignment horizontal="center"/>
    </xf>
    <xf numFmtId="0" fontId="4" fillId="3" borderId="9" xfId="18" applyNumberFormat="1" applyFont="1" applyFill="1" applyBorder="1" applyAlignment="1">
      <alignment horizontal="center" vertical="top" wrapText="1"/>
    </xf>
    <xf numFmtId="0" fontId="4" fillId="3" borderId="10" xfId="18" applyNumberFormat="1" applyFont="1" applyFill="1" applyBorder="1" applyAlignment="1">
      <alignment horizontal="center" vertical="top" wrapText="1"/>
    </xf>
    <xf numFmtId="0" fontId="4" fillId="3" borderId="11" xfId="18" applyNumberFormat="1" applyFont="1" applyFill="1" applyBorder="1" applyAlignment="1">
      <alignment horizontal="center" vertical="top" wrapText="1"/>
    </xf>
    <xf numFmtId="0" fontId="0" fillId="0" borderId="28" xfId="0" applyFont="1" applyBorder="1" applyAlignment="1">
      <alignment vertical="justify" wrapText="1"/>
    </xf>
    <xf numFmtId="0" fontId="0" fillId="0" borderId="77" xfId="0" applyFont="1" applyBorder="1" applyAlignment="1">
      <alignment vertical="justify" wrapText="1"/>
    </xf>
    <xf numFmtId="0" fontId="0" fillId="0" borderId="32" xfId="0" applyFont="1" applyBorder="1" applyAlignment="1">
      <alignment horizontal="center" vertical="center" wrapText="1"/>
    </xf>
    <xf numFmtId="0" fontId="4" fillId="3" borderId="11" xfId="18" applyNumberFormat="1" applyFont="1" applyFill="1" applyBorder="1" applyAlignment="1">
      <alignment horizontal="center"/>
    </xf>
    <xf numFmtId="0" fontId="0" fillId="0" borderId="11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8" fillId="0" borderId="78" xfId="0" applyFont="1" applyBorder="1" applyAlignment="1">
      <alignment vertical="center" wrapText="1"/>
    </xf>
    <xf numFmtId="0" fontId="18" fillId="0" borderId="67" xfId="0" applyFont="1" applyBorder="1" applyAlignment="1">
      <alignment vertical="center" wrapText="1"/>
    </xf>
    <xf numFmtId="0" fontId="0" fillId="0" borderId="78" xfId="0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0" fontId="4" fillId="3" borderId="104" xfId="0" applyFont="1" applyFill="1" applyBorder="1" applyAlignment="1">
      <alignment horizontal="center" vertical="center" wrapText="1"/>
    </xf>
    <xf numFmtId="0" fontId="4" fillId="3" borderId="105" xfId="0" applyFont="1" applyFill="1" applyBorder="1" applyAlignment="1">
      <alignment horizontal="center" vertical="center" wrapText="1"/>
    </xf>
    <xf numFmtId="0" fontId="4" fillId="3" borderId="117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14" fillId="2" borderId="128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88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 wrapText="1"/>
    </xf>
    <xf numFmtId="0" fontId="4" fillId="3" borderId="87" xfId="0" applyFont="1" applyFill="1" applyBorder="1" applyAlignment="1">
      <alignment horizontal="center" vertical="center" wrapText="1"/>
    </xf>
    <xf numFmtId="0" fontId="0" fillId="0" borderId="90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4" fillId="0" borderId="8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left" vertical="top" wrapText="1"/>
    </xf>
    <xf numFmtId="0" fontId="14" fillId="2" borderId="72" xfId="0" applyFont="1" applyFill="1" applyBorder="1" applyAlignment="1">
      <alignment horizontal="left" vertical="top" wrapText="1"/>
    </xf>
    <xf numFmtId="0" fontId="4" fillId="3" borderId="9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3" fontId="0" fillId="0" borderId="3" xfId="18" applyNumberFormat="1" applyFont="1" applyBorder="1" applyAlignment="1">
      <alignment horizontal="center" vertical="center" wrapText="1"/>
    </xf>
    <xf numFmtId="3" fontId="0" fillId="0" borderId="13" xfId="18" applyNumberFormat="1" applyFont="1" applyBorder="1" applyAlignment="1">
      <alignment horizontal="center" vertical="center" wrapText="1"/>
    </xf>
    <xf numFmtId="3" fontId="0" fillId="0" borderId="43" xfId="18" applyNumberFormat="1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  <xf numFmtId="0" fontId="3" fillId="2" borderId="130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31" xfId="0" applyFont="1" applyFill="1" applyBorder="1" applyAlignment="1">
      <alignment horizontal="left" vertical="top" wrapText="1"/>
    </xf>
    <xf numFmtId="0" fontId="4" fillId="3" borderId="124" xfId="18" applyNumberFormat="1" applyFont="1" applyFill="1" applyBorder="1" applyAlignment="1">
      <alignment horizontal="center" vertical="top" wrapText="1"/>
    </xf>
    <xf numFmtId="0" fontId="4" fillId="0" borderId="8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106" xfId="0" applyFont="1" applyFill="1" applyBorder="1" applyAlignment="1">
      <alignment horizontal="center" vertical="center" wrapText="1"/>
    </xf>
    <xf numFmtId="0" fontId="10" fillId="0" borderId="88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10" fillId="0" borderId="106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 wrapText="1"/>
    </xf>
    <xf numFmtId="0" fontId="4" fillId="3" borderId="9" xfId="18" applyNumberFormat="1" applyFont="1" applyFill="1" applyBorder="1" applyAlignment="1">
      <alignment horizontal="center" vertical="center" wrapText="1"/>
    </xf>
    <xf numFmtId="0" fontId="4" fillId="3" borderId="10" xfId="18" applyNumberFormat="1" applyFont="1" applyFill="1" applyBorder="1" applyAlignment="1">
      <alignment horizontal="center" vertical="center" wrapText="1"/>
    </xf>
    <xf numFmtId="0" fontId="4" fillId="3" borderId="11" xfId="18" applyNumberFormat="1" applyFont="1" applyFill="1" applyBorder="1" applyAlignment="1">
      <alignment horizontal="center" vertical="center" wrapText="1"/>
    </xf>
    <xf numFmtId="0" fontId="13" fillId="3" borderId="9" xfId="18" applyNumberFormat="1" applyFont="1" applyFill="1" applyBorder="1" applyAlignment="1">
      <alignment horizontal="center" vertical="center" wrapText="1"/>
    </xf>
    <xf numFmtId="0" fontId="13" fillId="3" borderId="10" xfId="18" applyNumberFormat="1" applyFont="1" applyFill="1" applyBorder="1" applyAlignment="1">
      <alignment horizontal="center" vertical="center" wrapText="1"/>
    </xf>
    <xf numFmtId="0" fontId="13" fillId="3" borderId="11" xfId="18" applyNumberFormat="1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0</xdr:rowOff>
    </xdr:from>
    <xdr:to>
      <xdr:col>1</xdr:col>
      <xdr:colOff>9525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6675" y="139731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2228850" y="139731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dor\Escritorio\Mis%20Documentos%202004\Plan%20de%20financiacion%20Plan%20de%20Desarrol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Max\Mis%20documentos\PROYECTO%20DE%20ACUERDO\matriz%20plurianual%20Plan%20de%20Desarrol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Hoja1"/>
      <sheetName val="Hoja2"/>
      <sheetName val="Hoja3"/>
      <sheetName val="Hoja5"/>
    </sheetNames>
    <sheetDataSet>
      <sheetData sheetId="3">
        <row r="19">
          <cell r="E19">
            <v>26588341.288724214</v>
          </cell>
          <cell r="L19">
            <v>28612568.59392025</v>
          </cell>
          <cell r="S19">
            <v>30798650</v>
          </cell>
          <cell r="Z19">
            <v>33160407.609864175</v>
          </cell>
        </row>
        <row r="20">
          <cell r="E20">
            <v>1000000</v>
          </cell>
          <cell r="L20">
            <v>1300000</v>
          </cell>
          <cell r="S20">
            <v>1600000</v>
          </cell>
          <cell r="Z20">
            <v>1800000</v>
          </cell>
        </row>
        <row r="22">
          <cell r="E22">
            <v>130404.60026999998</v>
          </cell>
          <cell r="L22">
            <v>151982.3762862</v>
          </cell>
          <cell r="S22">
            <v>161101.31886337203</v>
          </cell>
          <cell r="Z22">
            <v>170767.39799517437</v>
          </cell>
        </row>
        <row r="23">
          <cell r="D23">
            <v>215470.8037060978</v>
          </cell>
          <cell r="K23">
            <v>237017.8840767076</v>
          </cell>
          <cell r="R23">
            <v>260719.67248437833</v>
          </cell>
          <cell r="S23">
            <v>193321.58263604643</v>
          </cell>
          <cell r="Y23">
            <v>286791.63973281626</v>
          </cell>
          <cell r="Z23">
            <v>204920.87759420925</v>
          </cell>
        </row>
        <row r="24">
          <cell r="E24">
            <v>182399.99999999997</v>
          </cell>
          <cell r="L24">
            <v>182399.99999999997</v>
          </cell>
        </row>
        <row r="27">
          <cell r="E27">
            <v>3455079.7199999997</v>
          </cell>
          <cell r="F27">
            <v>100000</v>
          </cell>
          <cell r="G27">
            <v>900000</v>
          </cell>
          <cell r="L27">
            <v>3662384.5031999997</v>
          </cell>
          <cell r="M27">
            <v>100000</v>
          </cell>
          <cell r="N27">
            <v>1100000</v>
          </cell>
          <cell r="S27">
            <v>3882127.5733919996</v>
          </cell>
          <cell r="Z27">
            <v>4115055.22779552</v>
          </cell>
          <cell r="AA27">
            <v>100000</v>
          </cell>
          <cell r="AB27">
            <v>1400000</v>
          </cell>
        </row>
        <row r="28">
          <cell r="S28">
            <v>2074930.254744</v>
          </cell>
          <cell r="Z28">
            <v>2199426.07002864</v>
          </cell>
        </row>
        <row r="29">
          <cell r="E29">
            <v>655273.74</v>
          </cell>
          <cell r="L29">
            <v>694590.1644</v>
          </cell>
          <cell r="S29">
            <v>736265.574264</v>
          </cell>
          <cell r="Z29">
            <v>780441.5087198401</v>
          </cell>
        </row>
        <row r="36">
          <cell r="Y36">
            <v>239723.865140551</v>
          </cell>
        </row>
        <row r="45">
          <cell r="D45">
            <v>3100000</v>
          </cell>
          <cell r="K45">
            <v>3350000</v>
          </cell>
          <cell r="R45">
            <v>3700000</v>
          </cell>
          <cell r="Y45">
            <v>4000000</v>
          </cell>
        </row>
        <row r="46">
          <cell r="D46">
            <v>625314.4524206931</v>
          </cell>
          <cell r="K46">
            <v>678742.8093898974</v>
          </cell>
          <cell r="R46">
            <v>711138.4155212919</v>
          </cell>
          <cell r="Y46">
            <v>767116.3684497632</v>
          </cell>
        </row>
        <row r="49">
          <cell r="E49">
            <v>137600</v>
          </cell>
          <cell r="L49">
            <v>137600</v>
          </cell>
        </row>
        <row r="52">
          <cell r="E52">
            <v>477932.0009</v>
          </cell>
        </row>
        <row r="62">
          <cell r="B62">
            <v>1500000</v>
          </cell>
          <cell r="C62">
            <v>800000</v>
          </cell>
        </row>
      </sheetData>
      <sheetData sheetId="4">
        <row r="2">
          <cell r="C2">
            <v>103439.360207</v>
          </cell>
          <cell r="D2">
            <v>110905.28419897705</v>
          </cell>
          <cell r="E2">
            <v>124853.50511643663</v>
          </cell>
          <cell r="F2">
            <v>132344.73321329206</v>
          </cell>
          <cell r="I2">
            <v>41698.28936684629</v>
          </cell>
        </row>
        <row r="3">
          <cell r="C3">
            <v>144815.10428980002</v>
          </cell>
          <cell r="D3">
            <v>155267.3978785679</v>
          </cell>
          <cell r="E3">
            <v>174794.9071630113</v>
          </cell>
          <cell r="F3">
            <v>185282.6264986089</v>
          </cell>
          <cell r="J3">
            <v>129125.25742336804</v>
          </cell>
          <cell r="K3">
            <v>170385.59575021977</v>
          </cell>
          <cell r="L3">
            <v>252366.1692542556</v>
          </cell>
        </row>
        <row r="4">
          <cell r="C4">
            <v>144815.10428980002</v>
          </cell>
          <cell r="D4">
            <v>155267.3978785679</v>
          </cell>
          <cell r="E4">
            <v>174794.9071630113</v>
          </cell>
          <cell r="F4">
            <v>185282.6264986089</v>
          </cell>
        </row>
        <row r="5">
          <cell r="C5">
            <v>165502.9763312</v>
          </cell>
          <cell r="D5">
            <v>177448.4547183633</v>
          </cell>
          <cell r="E5">
            <v>199765.6081862986</v>
          </cell>
          <cell r="F5">
            <v>211751.5731412673</v>
          </cell>
          <cell r="I5">
            <v>66717.26298695405</v>
          </cell>
          <cell r="J5">
            <v>103300.20593869442</v>
          </cell>
          <cell r="K5">
            <v>136308.4766001758</v>
          </cell>
          <cell r="L5">
            <v>201892.93540340447</v>
          </cell>
        </row>
        <row r="6">
          <cell r="C6">
            <v>310318.080621</v>
          </cell>
          <cell r="D6">
            <v>332715.85259693116</v>
          </cell>
          <cell r="E6">
            <v>374560.5153493099</v>
          </cell>
          <cell r="F6">
            <v>397034.1996398762</v>
          </cell>
          <cell r="I6">
            <v>100075.89448043109</v>
          </cell>
          <cell r="J6">
            <v>154950.30890804162</v>
          </cell>
          <cell r="K6">
            <v>204462.7149002637</v>
          </cell>
          <cell r="L6">
            <v>302839.40310510667</v>
          </cell>
        </row>
        <row r="7">
          <cell r="C7">
            <v>62063.6161242</v>
          </cell>
          <cell r="D7">
            <v>66543.17051938623</v>
          </cell>
          <cell r="E7">
            <v>74912.10306986197</v>
          </cell>
          <cell r="F7">
            <v>79406.83992797523</v>
          </cell>
        </row>
        <row r="8">
          <cell r="C8">
            <v>103439.360207</v>
          </cell>
          <cell r="D8">
            <v>110905.28419897705</v>
          </cell>
          <cell r="E8">
            <v>124853.50511643663</v>
          </cell>
          <cell r="F8">
            <v>132344.73321329206</v>
          </cell>
          <cell r="I8">
            <v>41698.28936684629</v>
          </cell>
          <cell r="J8">
            <v>64562.62871168402</v>
          </cell>
        </row>
        <row r="9">
          <cell r="C9">
            <v>103439.360207</v>
          </cell>
          <cell r="D9">
            <v>110905.28419897705</v>
          </cell>
          <cell r="E9">
            <v>124853.50511643663</v>
          </cell>
          <cell r="F9">
            <v>132344.73321329206</v>
          </cell>
          <cell r="K9">
            <v>170385.59575021977</v>
          </cell>
          <cell r="L9">
            <v>252366.1692542556</v>
          </cell>
        </row>
        <row r="10">
          <cell r="D10">
            <v>155267.3978785679</v>
          </cell>
          <cell r="E10">
            <v>174794.9071630113</v>
          </cell>
          <cell r="F10">
            <v>185282.6264986089</v>
          </cell>
          <cell r="J10">
            <v>129125.25742336804</v>
          </cell>
        </row>
        <row r="11">
          <cell r="C11">
            <v>165502.9763312</v>
          </cell>
          <cell r="D11">
            <v>177448.4547183633</v>
          </cell>
          <cell r="E11">
            <v>199765.6081862986</v>
          </cell>
          <cell r="F11">
            <v>211751.5731412673</v>
          </cell>
        </row>
        <row r="12">
          <cell r="C12">
            <v>103439.360207</v>
          </cell>
          <cell r="D12">
            <v>110905.28419897705</v>
          </cell>
          <cell r="E12">
            <v>124853.50511643663</v>
          </cell>
          <cell r="F12">
            <v>132344.73321329206</v>
          </cell>
          <cell r="I12">
            <v>83396.57873369259</v>
          </cell>
          <cell r="J12">
            <v>129125.25742336804</v>
          </cell>
          <cell r="K12">
            <v>170385.59575021977</v>
          </cell>
          <cell r="L12">
            <v>252366.1692542556</v>
          </cell>
        </row>
        <row r="13">
          <cell r="C13">
            <v>413757.440828</v>
          </cell>
          <cell r="D13">
            <v>443621.1367959082</v>
          </cell>
          <cell r="E13">
            <v>499414.0204657465</v>
          </cell>
          <cell r="F13">
            <v>529378.9328531682</v>
          </cell>
        </row>
        <row r="14">
          <cell r="C14">
            <v>103439.360207</v>
          </cell>
          <cell r="D14">
            <v>110905.28419897705</v>
          </cell>
          <cell r="E14">
            <v>124853.50511643663</v>
          </cell>
          <cell r="F14">
            <v>132344.73321329206</v>
          </cell>
          <cell r="I14">
            <v>41698.28936684629</v>
          </cell>
          <cell r="J14">
            <v>64562.62871168402</v>
          </cell>
          <cell r="K14">
            <v>85192.79787510989</v>
          </cell>
          <cell r="L14">
            <v>126183.0846271278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 (2)"/>
      <sheetName val="Hoja2"/>
      <sheetName val="Hoja3"/>
      <sheetName val="resumen"/>
    </sheetNames>
    <sheetDataSet>
      <sheetData sheetId="0">
        <row r="11">
          <cell r="W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view="pageBreakPreview" zoomScale="60" zoomScaleNormal="50" workbookViewId="0" topLeftCell="A72">
      <selection activeCell="A13" sqref="A13:L14"/>
    </sheetView>
  </sheetViews>
  <sheetFormatPr defaultColWidth="11.421875" defaultRowHeight="12.75"/>
  <cols>
    <col min="1" max="1" width="11.421875" style="5" customWidth="1"/>
    <col min="2" max="2" width="25.7109375" style="5" customWidth="1"/>
    <col min="3" max="3" width="15.28125" style="166" customWidth="1"/>
    <col min="4" max="4" width="30.140625" style="0" customWidth="1"/>
    <col min="5" max="5" width="55.7109375" style="0" customWidth="1"/>
    <col min="6" max="6" width="7.8515625" style="0" customWidth="1"/>
    <col min="7" max="7" width="13.140625" style="0" hidden="1" customWidth="1"/>
    <col min="8" max="8" width="16.7109375" style="0" hidden="1" customWidth="1"/>
    <col min="9" max="9" width="12.8515625" style="0" hidden="1" customWidth="1"/>
    <col min="10" max="10" width="14.28125" style="0" hidden="1" customWidth="1"/>
    <col min="11" max="11" width="13.8515625" style="0" hidden="1" customWidth="1"/>
    <col min="12" max="12" width="14.140625" style="0" hidden="1" customWidth="1"/>
    <col min="13" max="13" width="14.28125" style="0" hidden="1" customWidth="1"/>
    <col min="14" max="14" width="14.421875" style="0" hidden="1" customWidth="1"/>
    <col min="15" max="15" width="13.8515625" style="0" hidden="1" customWidth="1"/>
    <col min="16" max="16" width="16.140625" style="0" hidden="1" customWidth="1"/>
    <col min="17" max="17" width="12.8515625" style="0" hidden="1" customWidth="1"/>
    <col min="18" max="18" width="14.28125" style="0" hidden="1" customWidth="1"/>
    <col min="19" max="20" width="13.8515625" style="0" hidden="1" customWidth="1"/>
    <col min="21" max="21" width="12.8515625" style="0" hidden="1" customWidth="1"/>
    <col min="22" max="22" width="15.00390625" style="0" hidden="1" customWidth="1"/>
    <col min="23" max="23" width="17.8515625" style="0" bestFit="1" customWidth="1"/>
    <col min="24" max="24" width="19.140625" style="0" customWidth="1"/>
    <col min="25" max="25" width="17.8515625" style="0" bestFit="1" customWidth="1"/>
    <col min="26" max="26" width="17.140625" style="0" customWidth="1"/>
  </cols>
  <sheetData>
    <row r="1" spans="3:12" ht="12.75">
      <c r="C1" s="160"/>
      <c r="D1" s="10"/>
      <c r="E1" s="10"/>
      <c r="F1" s="10"/>
      <c r="G1" s="10"/>
      <c r="H1" s="10"/>
      <c r="I1" s="10"/>
      <c r="J1" s="10"/>
      <c r="K1" s="10"/>
      <c r="L1" s="10"/>
    </row>
    <row r="2" spans="3:12" ht="12.75">
      <c r="C2" s="160"/>
      <c r="D2" s="10"/>
      <c r="E2" s="10"/>
      <c r="F2" s="10"/>
      <c r="G2" s="10"/>
      <c r="H2" s="10"/>
      <c r="I2" s="10"/>
      <c r="J2" s="10"/>
      <c r="K2" s="10"/>
      <c r="L2" s="10"/>
    </row>
    <row r="3" spans="1:12" ht="35.25" customHeight="1" thickBot="1">
      <c r="A3" s="432" t="s">
        <v>151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26" s="7" customFormat="1" ht="23.25" customHeight="1" thickBot="1" thickTop="1">
      <c r="A4" s="466" t="s">
        <v>42</v>
      </c>
      <c r="B4" s="464"/>
      <c r="C4" s="464" t="s">
        <v>54</v>
      </c>
      <c r="D4" s="332"/>
      <c r="E4" s="332" t="s">
        <v>168</v>
      </c>
      <c r="F4" s="333"/>
      <c r="G4" s="417">
        <v>2004</v>
      </c>
      <c r="H4" s="418"/>
      <c r="I4" s="418"/>
      <c r="J4" s="419"/>
      <c r="K4" s="417">
        <v>2005</v>
      </c>
      <c r="L4" s="418"/>
      <c r="M4" s="418"/>
      <c r="N4" s="419"/>
      <c r="O4" s="414">
        <v>2006</v>
      </c>
      <c r="P4" s="415"/>
      <c r="Q4" s="415"/>
      <c r="R4" s="416"/>
      <c r="S4" s="414">
        <v>2007</v>
      </c>
      <c r="T4" s="415"/>
      <c r="U4" s="415"/>
      <c r="V4" s="416"/>
      <c r="W4" s="411" t="s">
        <v>117</v>
      </c>
      <c r="X4" s="412"/>
      <c r="Y4" s="412"/>
      <c r="Z4" s="413"/>
    </row>
    <row r="5" spans="1:26" ht="16.5" customHeight="1">
      <c r="A5" s="467"/>
      <c r="B5" s="465"/>
      <c r="C5" s="465"/>
      <c r="D5" s="334"/>
      <c r="E5" s="334"/>
      <c r="F5" s="335"/>
      <c r="G5" s="29" t="s">
        <v>43</v>
      </c>
      <c r="H5" s="9" t="s">
        <v>44</v>
      </c>
      <c r="I5" s="420" t="s">
        <v>94</v>
      </c>
      <c r="J5" s="8" t="s">
        <v>45</v>
      </c>
      <c r="K5" s="29" t="s">
        <v>43</v>
      </c>
      <c r="L5" s="9" t="s">
        <v>44</v>
      </c>
      <c r="M5" s="30" t="s">
        <v>94</v>
      </c>
      <c r="N5" s="8" t="s">
        <v>45</v>
      </c>
      <c r="O5" s="29" t="s">
        <v>43</v>
      </c>
      <c r="P5" s="9" t="s">
        <v>44</v>
      </c>
      <c r="Q5" s="30" t="s">
        <v>94</v>
      </c>
      <c r="R5" s="8" t="s">
        <v>45</v>
      </c>
      <c r="S5" s="29" t="s">
        <v>43</v>
      </c>
      <c r="T5" s="9" t="s">
        <v>44</v>
      </c>
      <c r="U5" s="30" t="s">
        <v>94</v>
      </c>
      <c r="V5" s="8" t="s">
        <v>45</v>
      </c>
      <c r="W5" s="29" t="s">
        <v>43</v>
      </c>
      <c r="X5" s="9" t="s">
        <v>44</v>
      </c>
      <c r="Y5" s="30" t="s">
        <v>94</v>
      </c>
      <c r="Z5" s="8" t="s">
        <v>45</v>
      </c>
    </row>
    <row r="6" spans="1:26" ht="13.5" customHeight="1" thickBot="1">
      <c r="A6" s="467"/>
      <c r="B6" s="465"/>
      <c r="C6" s="465"/>
      <c r="D6" s="334"/>
      <c r="E6" s="336"/>
      <c r="F6" s="337"/>
      <c r="G6" s="52" t="s">
        <v>46</v>
      </c>
      <c r="H6" s="51" t="s">
        <v>102</v>
      </c>
      <c r="I6" s="421"/>
      <c r="J6" s="50" t="s">
        <v>49</v>
      </c>
      <c r="K6" s="52" t="s">
        <v>46</v>
      </c>
      <c r="L6" s="51" t="s">
        <v>102</v>
      </c>
      <c r="M6" s="51"/>
      <c r="N6" s="50" t="s">
        <v>49</v>
      </c>
      <c r="O6" s="52" t="s">
        <v>46</v>
      </c>
      <c r="P6" s="51" t="s">
        <v>102</v>
      </c>
      <c r="Q6" s="51"/>
      <c r="R6" s="50" t="s">
        <v>49</v>
      </c>
      <c r="S6" s="52" t="s">
        <v>46</v>
      </c>
      <c r="T6" s="51" t="s">
        <v>102</v>
      </c>
      <c r="U6" s="51"/>
      <c r="V6" s="50" t="s">
        <v>49</v>
      </c>
      <c r="W6" s="52" t="s">
        <v>46</v>
      </c>
      <c r="X6" s="51" t="s">
        <v>102</v>
      </c>
      <c r="Y6" s="51"/>
      <c r="Z6" s="50" t="s">
        <v>49</v>
      </c>
    </row>
    <row r="7" spans="1:26" s="24" customFormat="1" ht="192" customHeight="1" thickTop="1">
      <c r="A7" s="440" t="s">
        <v>50</v>
      </c>
      <c r="B7" s="441"/>
      <c r="C7" s="468" t="s">
        <v>122</v>
      </c>
      <c r="D7" s="469"/>
      <c r="E7" s="330" t="s">
        <v>169</v>
      </c>
      <c r="F7" s="331"/>
      <c r="G7" s="53">
        <v>58378</v>
      </c>
      <c r="H7" s="54">
        <f>80000+'[1]Hoja5'!$C$4*50%</f>
        <v>152407.55214490002</v>
      </c>
      <c r="I7" s="54"/>
      <c r="J7" s="55">
        <f>SUM(G7:I7)</f>
        <v>210785.55214490002</v>
      </c>
      <c r="K7" s="53">
        <v>80388</v>
      </c>
      <c r="L7" s="54">
        <f>80000+'[1]Hoja5'!$D$4*50%</f>
        <v>157633.69893928396</v>
      </c>
      <c r="M7" s="54"/>
      <c r="N7" s="55">
        <f>SUM(K7:M7)</f>
        <v>238021.69893928396</v>
      </c>
      <c r="O7" s="53">
        <v>69270</v>
      </c>
      <c r="P7" s="54">
        <f>90000+'[1]Hoja5'!$E$4*50%</f>
        <v>177397.45358150563</v>
      </c>
      <c r="Q7" s="54"/>
      <c r="R7" s="55">
        <f>SUM(O7:Q7)</f>
        <v>246667.45358150563</v>
      </c>
      <c r="S7" s="53">
        <v>106656</v>
      </c>
      <c r="T7" s="54">
        <f>100000+'[1]Hoja5'!$F$4*50%</f>
        <v>192641.31324930445</v>
      </c>
      <c r="U7" s="54"/>
      <c r="V7" s="55">
        <f>SUM(S7:U7)</f>
        <v>299297.3132493044</v>
      </c>
      <c r="W7" s="53">
        <f>+G7+K7+O7+S7</f>
        <v>314692</v>
      </c>
      <c r="X7" s="54">
        <f>+H7+L7+P7+T7</f>
        <v>680080.017914994</v>
      </c>
      <c r="Y7" s="54">
        <f>+I7+M7+Q7+U7</f>
        <v>0</v>
      </c>
      <c r="Z7" s="55">
        <f>SUM(W7:Y7)</f>
        <v>994772.017914994</v>
      </c>
    </row>
    <row r="8" spans="1:26" s="24" customFormat="1" ht="160.5" customHeight="1">
      <c r="A8" s="400" t="s">
        <v>105</v>
      </c>
      <c r="B8" s="401"/>
      <c r="C8" s="402" t="s">
        <v>91</v>
      </c>
      <c r="D8" s="403"/>
      <c r="E8" s="338" t="s">
        <v>170</v>
      </c>
      <c r="F8" s="339"/>
      <c r="G8" s="56">
        <v>50000</v>
      </c>
      <c r="H8" s="27">
        <f>+'[1]Hoja5'!$C$4*50%</f>
        <v>72407.55214490001</v>
      </c>
      <c r="I8" s="27"/>
      <c r="J8" s="28">
        <f>SUM(G8:I8)</f>
        <v>122407.55214490001</v>
      </c>
      <c r="K8" s="56">
        <v>60000</v>
      </c>
      <c r="L8" s="27">
        <f>20000+'[1]Hoja5'!$D$4*50%</f>
        <v>97633.69893928395</v>
      </c>
      <c r="M8" s="27"/>
      <c r="N8" s="28">
        <f>SUM(K8:M8)</f>
        <v>157633.69893928396</v>
      </c>
      <c r="O8" s="56">
        <v>100000</v>
      </c>
      <c r="P8" s="27">
        <f>20000+'[1]Hoja5'!$E$4*50%</f>
        <v>107397.45358150564</v>
      </c>
      <c r="Q8" s="27"/>
      <c r="R8" s="28">
        <f>SUM(O8:Q8)</f>
        <v>207397.45358150563</v>
      </c>
      <c r="S8" s="56">
        <v>120000</v>
      </c>
      <c r="T8" s="27">
        <f>+'[1]Hoja5'!$F$4*50%</f>
        <v>92641.31324930445</v>
      </c>
      <c r="U8" s="27"/>
      <c r="V8" s="28">
        <f>SUM(S8:U8)</f>
        <v>212641.31324930445</v>
      </c>
      <c r="W8" s="56">
        <f aca="true" t="shared" si="0" ref="W8:Y10">+G8+K8+O8+S8</f>
        <v>330000</v>
      </c>
      <c r="X8" s="27">
        <f t="shared" si="0"/>
        <v>370080.01791499404</v>
      </c>
      <c r="Y8" s="27">
        <f t="shared" si="0"/>
        <v>0</v>
      </c>
      <c r="Z8" s="28">
        <f>SUM(W8:Y8)</f>
        <v>700080.017914994</v>
      </c>
    </row>
    <row r="9" spans="1:26" s="24" customFormat="1" ht="83.25" customHeight="1">
      <c r="A9" s="400" t="s">
        <v>51</v>
      </c>
      <c r="B9" s="401"/>
      <c r="C9" s="402" t="s">
        <v>123</v>
      </c>
      <c r="D9" s="403"/>
      <c r="E9" s="338" t="s">
        <v>72</v>
      </c>
      <c r="F9" s="339"/>
      <c r="G9" s="56">
        <v>50000</v>
      </c>
      <c r="H9" s="27">
        <v>0</v>
      </c>
      <c r="I9" s="27"/>
      <c r="J9" s="28">
        <f>SUM(G9:I9)</f>
        <v>50000</v>
      </c>
      <c r="K9" s="56">
        <v>50000</v>
      </c>
      <c r="L9" s="27">
        <v>0</v>
      </c>
      <c r="M9" s="27"/>
      <c r="N9" s="28">
        <f>SUM(K9:M9)</f>
        <v>50000</v>
      </c>
      <c r="O9" s="56">
        <v>50000</v>
      </c>
      <c r="P9" s="27">
        <v>200000</v>
      </c>
      <c r="Q9" s="27"/>
      <c r="R9" s="28">
        <f>SUM(O9:Q9)</f>
        <v>250000</v>
      </c>
      <c r="S9" s="56">
        <v>50000</v>
      </c>
      <c r="T9" s="27">
        <v>250000</v>
      </c>
      <c r="U9" s="27"/>
      <c r="V9" s="28">
        <f>SUM(S9:U9)</f>
        <v>300000</v>
      </c>
      <c r="W9" s="56">
        <f t="shared" si="0"/>
        <v>200000</v>
      </c>
      <c r="X9" s="27">
        <f t="shared" si="0"/>
        <v>450000</v>
      </c>
      <c r="Y9" s="27">
        <f t="shared" si="0"/>
        <v>0</v>
      </c>
      <c r="Z9" s="28">
        <f>SUM(W9:Y9)</f>
        <v>650000</v>
      </c>
    </row>
    <row r="10" spans="1:26" s="24" customFormat="1" ht="217.5" customHeight="1">
      <c r="A10" s="400" t="s">
        <v>114</v>
      </c>
      <c r="B10" s="401"/>
      <c r="C10" s="402" t="s">
        <v>115</v>
      </c>
      <c r="D10" s="403"/>
      <c r="E10" s="338" t="s">
        <v>171</v>
      </c>
      <c r="F10" s="339"/>
      <c r="G10" s="56">
        <v>512714</v>
      </c>
      <c r="H10" s="27"/>
      <c r="I10" s="27"/>
      <c r="J10" s="28">
        <f>SUM(G10:I10)</f>
        <v>512714</v>
      </c>
      <c r="K10" s="56">
        <v>567571</v>
      </c>
      <c r="L10" s="27"/>
      <c r="M10" s="27"/>
      <c r="N10" s="28">
        <f>SUM(K10:M10)</f>
        <v>567571</v>
      </c>
      <c r="O10" s="56">
        <v>622429</v>
      </c>
      <c r="P10" s="27"/>
      <c r="Q10" s="27"/>
      <c r="R10" s="28">
        <f>SUM(O10:Q10)</f>
        <v>622429</v>
      </c>
      <c r="S10" s="56">
        <v>677286</v>
      </c>
      <c r="T10" s="27"/>
      <c r="U10" s="27"/>
      <c r="V10" s="28">
        <f>SUM(S10:U10)</f>
        <v>677286</v>
      </c>
      <c r="W10" s="56">
        <f t="shared" si="0"/>
        <v>2380000</v>
      </c>
      <c r="X10" s="27">
        <f t="shared" si="0"/>
        <v>0</v>
      </c>
      <c r="Y10" s="27">
        <f t="shared" si="0"/>
        <v>0</v>
      </c>
      <c r="Z10" s="28">
        <f>SUM(W10:Y10)</f>
        <v>2380000</v>
      </c>
    </row>
    <row r="11" spans="1:26" s="19" customFormat="1" ht="30" customHeight="1" thickBot="1">
      <c r="A11" s="409" t="s">
        <v>56</v>
      </c>
      <c r="B11" s="410"/>
      <c r="C11" s="410"/>
      <c r="D11" s="340"/>
      <c r="E11" s="340"/>
      <c r="F11" s="341"/>
      <c r="G11" s="57">
        <f aca="true" t="shared" si="1" ref="G11:Z11">SUM(G7:G10)</f>
        <v>671092</v>
      </c>
      <c r="H11" s="58">
        <f t="shared" si="1"/>
        <v>224815.10428980005</v>
      </c>
      <c r="I11" s="58">
        <f t="shared" si="1"/>
        <v>0</v>
      </c>
      <c r="J11" s="59">
        <f t="shared" si="1"/>
        <v>895907.1042898</v>
      </c>
      <c r="K11" s="57">
        <f t="shared" si="1"/>
        <v>757959</v>
      </c>
      <c r="L11" s="58">
        <f t="shared" si="1"/>
        <v>255267.39787856792</v>
      </c>
      <c r="M11" s="58">
        <f t="shared" si="1"/>
        <v>0</v>
      </c>
      <c r="N11" s="59">
        <f t="shared" si="1"/>
        <v>1013226.3978785679</v>
      </c>
      <c r="O11" s="57">
        <f t="shared" si="1"/>
        <v>841699</v>
      </c>
      <c r="P11" s="58">
        <f t="shared" si="1"/>
        <v>484794.90716301126</v>
      </c>
      <c r="Q11" s="58">
        <f t="shared" si="1"/>
        <v>0</v>
      </c>
      <c r="R11" s="59">
        <f t="shared" si="1"/>
        <v>1326493.9071630114</v>
      </c>
      <c r="S11" s="57">
        <f t="shared" si="1"/>
        <v>953942</v>
      </c>
      <c r="T11" s="58">
        <f t="shared" si="1"/>
        <v>535282.6264986088</v>
      </c>
      <c r="U11" s="58">
        <f t="shared" si="1"/>
        <v>0</v>
      </c>
      <c r="V11" s="59">
        <f t="shared" si="1"/>
        <v>1489224.6264986088</v>
      </c>
      <c r="W11" s="57">
        <f t="shared" si="1"/>
        <v>3224692</v>
      </c>
      <c r="X11" s="58">
        <f t="shared" si="1"/>
        <v>1500160.035829988</v>
      </c>
      <c r="Y11" s="58">
        <f t="shared" si="1"/>
        <v>0</v>
      </c>
      <c r="Z11" s="59">
        <f t="shared" si="1"/>
        <v>4724852.035829988</v>
      </c>
    </row>
    <row r="12" spans="1:12" ht="21" customHeight="1" thickTop="1">
      <c r="A12" s="6"/>
      <c r="B12" s="6"/>
      <c r="C12" s="161"/>
      <c r="D12" s="25"/>
      <c r="E12" s="25"/>
      <c r="F12" s="25"/>
      <c r="G12" s="25"/>
      <c r="H12" s="25"/>
      <c r="I12" s="25"/>
      <c r="J12" s="25"/>
      <c r="K12" s="10"/>
      <c r="L12" s="10"/>
    </row>
    <row r="13" spans="1:12" ht="30" customHeight="1">
      <c r="A13" s="433" t="s">
        <v>52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</row>
    <row r="14" spans="1:12" ht="7.5" customHeight="1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</row>
    <row r="15" spans="1:12" s="14" customFormat="1" ht="27" customHeight="1" thickBot="1">
      <c r="A15" s="408" t="s">
        <v>103</v>
      </c>
      <c r="B15" s="408"/>
      <c r="C15" s="408"/>
      <c r="D15" s="408"/>
      <c r="E15" s="183"/>
      <c r="F15" s="183"/>
      <c r="G15" s="12"/>
      <c r="H15" s="12"/>
      <c r="I15" s="12"/>
      <c r="J15" s="12"/>
      <c r="K15" s="13"/>
      <c r="L15" s="13"/>
    </row>
    <row r="16" spans="1:26" s="11" customFormat="1" ht="24" customHeight="1" thickTop="1">
      <c r="A16" s="372" t="s">
        <v>42</v>
      </c>
      <c r="B16" s="373"/>
      <c r="C16" s="406" t="s">
        <v>54</v>
      </c>
      <c r="D16" s="406"/>
      <c r="E16" s="279" t="s">
        <v>168</v>
      </c>
      <c r="F16" s="280"/>
      <c r="G16" s="397">
        <v>2004</v>
      </c>
      <c r="H16" s="398"/>
      <c r="I16" s="398"/>
      <c r="J16" s="399"/>
      <c r="K16" s="397">
        <v>2005</v>
      </c>
      <c r="L16" s="398"/>
      <c r="M16" s="398"/>
      <c r="N16" s="399"/>
      <c r="O16" s="397">
        <v>2006</v>
      </c>
      <c r="P16" s="398"/>
      <c r="Q16" s="398"/>
      <c r="R16" s="399"/>
      <c r="S16" s="397">
        <v>2007</v>
      </c>
      <c r="T16" s="398"/>
      <c r="U16" s="398"/>
      <c r="V16" s="399"/>
      <c r="W16" s="397" t="s">
        <v>117</v>
      </c>
      <c r="X16" s="398"/>
      <c r="Y16" s="398"/>
      <c r="Z16" s="399"/>
    </row>
    <row r="17" spans="1:26" s="32" customFormat="1" ht="21" customHeight="1" thickBot="1">
      <c r="A17" s="404"/>
      <c r="B17" s="405"/>
      <c r="C17" s="407"/>
      <c r="D17" s="407"/>
      <c r="E17" s="281"/>
      <c r="F17" s="282"/>
      <c r="G17" s="60" t="s">
        <v>55</v>
      </c>
      <c r="H17" s="61" t="s">
        <v>47</v>
      </c>
      <c r="I17" s="61" t="s">
        <v>48</v>
      </c>
      <c r="J17" s="62" t="s">
        <v>56</v>
      </c>
      <c r="K17" s="60" t="s">
        <v>55</v>
      </c>
      <c r="L17" s="61" t="s">
        <v>47</v>
      </c>
      <c r="M17" s="61" t="s">
        <v>48</v>
      </c>
      <c r="N17" s="62" t="s">
        <v>56</v>
      </c>
      <c r="O17" s="60" t="s">
        <v>55</v>
      </c>
      <c r="P17" s="61" t="s">
        <v>47</v>
      </c>
      <c r="Q17" s="61" t="s">
        <v>48</v>
      </c>
      <c r="R17" s="62" t="s">
        <v>56</v>
      </c>
      <c r="S17" s="60" t="s">
        <v>55</v>
      </c>
      <c r="T17" s="61" t="s">
        <v>47</v>
      </c>
      <c r="U17" s="61" t="s">
        <v>48</v>
      </c>
      <c r="V17" s="62" t="s">
        <v>56</v>
      </c>
      <c r="W17" s="60" t="s">
        <v>55</v>
      </c>
      <c r="X17" s="61" t="s">
        <v>102</v>
      </c>
      <c r="Y17" s="61" t="s">
        <v>48</v>
      </c>
      <c r="Z17" s="62" t="s">
        <v>56</v>
      </c>
    </row>
    <row r="18" spans="1:26" s="24" customFormat="1" ht="134.25" customHeight="1" thickTop="1">
      <c r="A18" s="440" t="s">
        <v>124</v>
      </c>
      <c r="B18" s="444"/>
      <c r="C18" s="471" t="s">
        <v>125</v>
      </c>
      <c r="D18" s="472"/>
      <c r="E18" s="342" t="s">
        <v>197</v>
      </c>
      <c r="F18" s="343"/>
      <c r="G18" s="395"/>
      <c r="H18" s="391">
        <f>+'[1]Hoja3'!$E$19-H20-H22</f>
        <v>26056574.46294973</v>
      </c>
      <c r="I18" s="391"/>
      <c r="J18" s="393">
        <f>SUM(G18:I19)</f>
        <v>26056574.46294973</v>
      </c>
      <c r="K18" s="395"/>
      <c r="L18" s="391">
        <f>+'[1]Hoja3'!$L$19-L20-L22</f>
        <v>28040317.22204184</v>
      </c>
      <c r="M18" s="391"/>
      <c r="N18" s="393">
        <f>SUM(K18:M18)</f>
        <v>28040317.22204184</v>
      </c>
      <c r="O18" s="395"/>
      <c r="P18" s="391">
        <f>+'[1]Hoja3'!$S$19-P20-P22</f>
        <v>30182677</v>
      </c>
      <c r="Q18" s="391"/>
      <c r="R18" s="393">
        <f>SUM(O18:Q18)</f>
        <v>30182677</v>
      </c>
      <c r="S18" s="395"/>
      <c r="T18" s="391">
        <f>+'[1]Hoja3'!$Z$19-T20-T22</f>
        <v>32497199.45766689</v>
      </c>
      <c r="U18" s="391"/>
      <c r="V18" s="393">
        <f>SUM(S18:U18)</f>
        <v>32497199.45766689</v>
      </c>
      <c r="W18" s="395">
        <f>+G18+K18+O18+S18</f>
        <v>0</v>
      </c>
      <c r="X18" s="391">
        <f>+H18+L18+P18+T18</f>
        <v>116776768.14265846</v>
      </c>
      <c r="Y18" s="391">
        <f>+I18+M18+Q18+U18</f>
        <v>0</v>
      </c>
      <c r="Z18" s="393">
        <f>SUM(W18:Y19)</f>
        <v>116776768.14265846</v>
      </c>
    </row>
    <row r="19" spans="1:26" s="24" customFormat="1" ht="259.5" customHeight="1">
      <c r="A19" s="400"/>
      <c r="B19" s="445"/>
      <c r="C19" s="473"/>
      <c r="D19" s="474"/>
      <c r="E19" s="344"/>
      <c r="F19" s="345"/>
      <c r="G19" s="396"/>
      <c r="H19" s="392"/>
      <c r="I19" s="392"/>
      <c r="J19" s="394"/>
      <c r="K19" s="396"/>
      <c r="L19" s="392"/>
      <c r="M19" s="392"/>
      <c r="N19" s="394"/>
      <c r="O19" s="396"/>
      <c r="P19" s="392"/>
      <c r="Q19" s="392"/>
      <c r="R19" s="394"/>
      <c r="S19" s="396"/>
      <c r="T19" s="392"/>
      <c r="U19" s="392"/>
      <c r="V19" s="394"/>
      <c r="W19" s="396"/>
      <c r="X19" s="392"/>
      <c r="Y19" s="392"/>
      <c r="Z19" s="394"/>
    </row>
    <row r="20" spans="1:26" ht="66" customHeight="1">
      <c r="A20" s="436" t="s">
        <v>57</v>
      </c>
      <c r="B20" s="437"/>
      <c r="C20" s="470" t="s">
        <v>58</v>
      </c>
      <c r="D20" s="470"/>
      <c r="E20" s="346" t="s">
        <v>5</v>
      </c>
      <c r="F20" s="346"/>
      <c r="G20" s="63"/>
      <c r="H20" s="64">
        <v>265883.41288724216</v>
      </c>
      <c r="I20" s="64"/>
      <c r="J20" s="65">
        <f>SUM(G20:I20)</f>
        <v>265883.41288724216</v>
      </c>
      <c r="K20" s="63"/>
      <c r="L20" s="64">
        <v>286125.6859392025</v>
      </c>
      <c r="M20" s="64"/>
      <c r="N20" s="65">
        <f>SUM(K20:M20)</f>
        <v>286125.6859392025</v>
      </c>
      <c r="O20" s="63"/>
      <c r="P20" s="64">
        <v>307986.5</v>
      </c>
      <c r="Q20" s="64"/>
      <c r="R20" s="65">
        <f>SUM(O20:Q20)</f>
        <v>307986.5</v>
      </c>
      <c r="S20" s="63"/>
      <c r="T20" s="64">
        <v>331604.0760986418</v>
      </c>
      <c r="U20" s="64"/>
      <c r="V20" s="65">
        <f>SUM(S20:U20)</f>
        <v>331604.0760986418</v>
      </c>
      <c r="W20" s="63">
        <f>+G20+K20+O20+S20</f>
        <v>0</v>
      </c>
      <c r="X20" s="64">
        <f aca="true" t="shared" si="2" ref="X20:Y22">+H20+L20+P20+T20</f>
        <v>1191599.6749250866</v>
      </c>
      <c r="Y20" s="64">
        <f t="shared" si="2"/>
        <v>0</v>
      </c>
      <c r="Z20" s="65">
        <f>SUM(W20:Y20)</f>
        <v>1191599.6749250866</v>
      </c>
    </row>
    <row r="21" spans="1:26" ht="108" customHeight="1">
      <c r="A21" s="436" t="s">
        <v>106</v>
      </c>
      <c r="B21" s="437"/>
      <c r="C21" s="305" t="s">
        <v>59</v>
      </c>
      <c r="D21" s="305"/>
      <c r="E21" s="305" t="s">
        <v>6</v>
      </c>
      <c r="F21" s="305"/>
      <c r="G21" s="63">
        <v>70114</v>
      </c>
      <c r="H21" s="64">
        <f>+'[1]Hoja3'!$E$20+'[1]Hoja5'!$C$11</f>
        <v>1165502.9763312</v>
      </c>
      <c r="I21" s="64"/>
      <c r="J21" s="65">
        <f>SUM(G21:I21)</f>
        <v>1235616.9763312</v>
      </c>
      <c r="K21" s="63">
        <v>200425</v>
      </c>
      <c r="L21" s="64">
        <f>+'[1]Hoja3'!$L$20+'[1]Hoja5'!$D$11</f>
        <v>1477448.4547183632</v>
      </c>
      <c r="M21" s="64"/>
      <c r="N21" s="65">
        <f>SUM(K21:M21)</f>
        <v>1677873.4547183632</v>
      </c>
      <c r="O21" s="63">
        <v>226694</v>
      </c>
      <c r="P21" s="64">
        <f>+'[1]Hoja3'!$S$20+'[1]Hoja5'!$E$11</f>
        <v>1799765.6081862985</v>
      </c>
      <c r="Q21" s="64"/>
      <c r="R21" s="65">
        <f>SUM(O21:Q21)</f>
        <v>2026459.6081862985</v>
      </c>
      <c r="S21" s="63">
        <v>350259</v>
      </c>
      <c r="T21" s="64">
        <f>+'[1]Hoja3'!$Z$20+'[1]Hoja5'!$F$11</f>
        <v>2011751.5731412673</v>
      </c>
      <c r="U21" s="64"/>
      <c r="V21" s="65"/>
      <c r="W21" s="63">
        <f>+G21+K21+O21+S21</f>
        <v>847492</v>
      </c>
      <c r="X21" s="64">
        <f t="shared" si="2"/>
        <v>6454468.6123771295</v>
      </c>
      <c r="Y21" s="64">
        <f t="shared" si="2"/>
        <v>0</v>
      </c>
      <c r="Z21" s="65">
        <f>SUM(W21:Y21)</f>
        <v>7301960.6123771295</v>
      </c>
    </row>
    <row r="22" spans="1:26" ht="186" customHeight="1" thickBot="1">
      <c r="A22" s="434" t="s">
        <v>60</v>
      </c>
      <c r="B22" s="435"/>
      <c r="C22" s="306" t="s">
        <v>61</v>
      </c>
      <c r="D22" s="306"/>
      <c r="E22" s="306" t="s">
        <v>7</v>
      </c>
      <c r="F22" s="306"/>
      <c r="G22" s="66">
        <v>80000</v>
      </c>
      <c r="H22" s="67">
        <v>265883.41288724216</v>
      </c>
      <c r="I22" s="67"/>
      <c r="J22" s="68">
        <f>SUM(G22:I22)</f>
        <v>345883.41288724216</v>
      </c>
      <c r="K22" s="66">
        <v>32000</v>
      </c>
      <c r="L22" s="67">
        <v>286125.6859392025</v>
      </c>
      <c r="M22" s="67"/>
      <c r="N22" s="68">
        <f>SUM(K22:M22)</f>
        <v>318125.6859392025</v>
      </c>
      <c r="O22" s="66">
        <v>80000</v>
      </c>
      <c r="P22" s="67">
        <v>307986.5</v>
      </c>
      <c r="Q22" s="67"/>
      <c r="R22" s="68">
        <f>SUM(O22:Q22)</f>
        <v>387986.5</v>
      </c>
      <c r="S22" s="66">
        <v>104000</v>
      </c>
      <c r="T22" s="67">
        <v>331604.0760986418</v>
      </c>
      <c r="U22" s="67"/>
      <c r="V22" s="68">
        <f>SUM(S22:U22)</f>
        <v>435604.0760986418</v>
      </c>
      <c r="W22" s="63">
        <f>+G22+K22+O22+S22</f>
        <v>296000</v>
      </c>
      <c r="X22" s="64">
        <f t="shared" si="2"/>
        <v>1191599.6749250866</v>
      </c>
      <c r="Y22" s="64">
        <f t="shared" si="2"/>
        <v>0</v>
      </c>
      <c r="Z22" s="68">
        <f>SUM(W22:Y22)</f>
        <v>1487599.6749250866</v>
      </c>
    </row>
    <row r="23" spans="1:26" s="19" customFormat="1" ht="28.5" customHeight="1" thickBot="1">
      <c r="A23" s="327" t="s">
        <v>56</v>
      </c>
      <c r="B23" s="328"/>
      <c r="C23" s="328"/>
      <c r="D23" s="328"/>
      <c r="E23" s="287"/>
      <c r="F23" s="288"/>
      <c r="G23" s="69">
        <f>SUM(G18:G22)</f>
        <v>150114</v>
      </c>
      <c r="H23" s="70">
        <f>SUM(H18:H22)</f>
        <v>27753844.265055414</v>
      </c>
      <c r="I23" s="70">
        <f>SUM(I18:I22)</f>
        <v>0</v>
      </c>
      <c r="J23" s="71">
        <f aca="true" t="shared" si="3" ref="J23:Z23">SUM(J18:J22)</f>
        <v>27903958.265055414</v>
      </c>
      <c r="K23" s="69">
        <f t="shared" si="3"/>
        <v>232425</v>
      </c>
      <c r="L23" s="70">
        <f t="shared" si="3"/>
        <v>30090017.048638612</v>
      </c>
      <c r="M23" s="70">
        <f t="shared" si="3"/>
        <v>0</v>
      </c>
      <c r="N23" s="71">
        <f t="shared" si="3"/>
        <v>30322442.048638612</v>
      </c>
      <c r="O23" s="69">
        <f t="shared" si="3"/>
        <v>306694</v>
      </c>
      <c r="P23" s="70">
        <f t="shared" si="3"/>
        <v>32598415.608186297</v>
      </c>
      <c r="Q23" s="70">
        <f t="shared" si="3"/>
        <v>0</v>
      </c>
      <c r="R23" s="71">
        <f t="shared" si="3"/>
        <v>32905109.608186297</v>
      </c>
      <c r="S23" s="69">
        <f t="shared" si="3"/>
        <v>454259</v>
      </c>
      <c r="T23" s="70">
        <f t="shared" si="3"/>
        <v>35172159.183005445</v>
      </c>
      <c r="U23" s="70">
        <f t="shared" si="3"/>
        <v>0</v>
      </c>
      <c r="V23" s="71">
        <f t="shared" si="3"/>
        <v>33264407.609864175</v>
      </c>
      <c r="W23" s="69">
        <f t="shared" si="3"/>
        <v>1143492</v>
      </c>
      <c r="X23" s="70">
        <f t="shared" si="3"/>
        <v>125614436.10488576</v>
      </c>
      <c r="Y23" s="70">
        <f t="shared" si="3"/>
        <v>0</v>
      </c>
      <c r="Z23" s="71">
        <f t="shared" si="3"/>
        <v>126757928.10488576</v>
      </c>
    </row>
    <row r="24" spans="1:12" s="1" customFormat="1" ht="17.25" customHeight="1" thickTop="1">
      <c r="A24" s="43"/>
      <c r="B24" s="43"/>
      <c r="C24" s="162"/>
      <c r="D24" s="20"/>
      <c r="E24" s="20"/>
      <c r="F24" s="20"/>
      <c r="G24" s="20"/>
      <c r="H24" s="20"/>
      <c r="I24" s="20"/>
      <c r="J24" s="20"/>
      <c r="K24" s="13"/>
      <c r="L24" s="13"/>
    </row>
    <row r="25" spans="1:12" ht="31.5" customHeight="1" thickBot="1">
      <c r="A25" s="452" t="s">
        <v>62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</row>
    <row r="26" spans="1:26" s="15" customFormat="1" ht="31.5" customHeight="1" thickTop="1">
      <c r="A26" s="372" t="s">
        <v>42</v>
      </c>
      <c r="B26" s="373"/>
      <c r="C26" s="373" t="s">
        <v>54</v>
      </c>
      <c r="D26" s="373"/>
      <c r="E26" s="283" t="s">
        <v>168</v>
      </c>
      <c r="F26" s="284"/>
      <c r="G26" s="356">
        <v>2004</v>
      </c>
      <c r="H26" s="357"/>
      <c r="I26" s="357"/>
      <c r="J26" s="358"/>
      <c r="K26" s="356">
        <v>2005</v>
      </c>
      <c r="L26" s="357"/>
      <c r="M26" s="357"/>
      <c r="N26" s="358"/>
      <c r="O26" s="347">
        <v>2006</v>
      </c>
      <c r="P26" s="348"/>
      <c r="Q26" s="348"/>
      <c r="R26" s="349"/>
      <c r="S26" s="347">
        <v>2007</v>
      </c>
      <c r="T26" s="348"/>
      <c r="U26" s="348"/>
      <c r="V26" s="349"/>
      <c r="W26" s="347" t="s">
        <v>117</v>
      </c>
      <c r="X26" s="348"/>
      <c r="Y26" s="348"/>
      <c r="Z26" s="349"/>
    </row>
    <row r="27" spans="1:26" s="16" customFormat="1" ht="21" customHeight="1" thickBot="1">
      <c r="A27" s="374"/>
      <c r="B27" s="375"/>
      <c r="C27" s="375"/>
      <c r="D27" s="375"/>
      <c r="E27" s="285"/>
      <c r="F27" s="286"/>
      <c r="G27" s="72" t="s">
        <v>55</v>
      </c>
      <c r="H27" s="73" t="s">
        <v>47</v>
      </c>
      <c r="I27" s="73" t="s">
        <v>48</v>
      </c>
      <c r="J27" s="74" t="s">
        <v>56</v>
      </c>
      <c r="K27" s="72" t="s">
        <v>55</v>
      </c>
      <c r="L27" s="73" t="s">
        <v>47</v>
      </c>
      <c r="M27" s="73" t="s">
        <v>48</v>
      </c>
      <c r="N27" s="74" t="s">
        <v>56</v>
      </c>
      <c r="O27" s="72" t="s">
        <v>55</v>
      </c>
      <c r="P27" s="73" t="s">
        <v>47</v>
      </c>
      <c r="Q27" s="73" t="s">
        <v>48</v>
      </c>
      <c r="R27" s="74" t="s">
        <v>56</v>
      </c>
      <c r="S27" s="72" t="s">
        <v>55</v>
      </c>
      <c r="T27" s="73" t="s">
        <v>47</v>
      </c>
      <c r="U27" s="73" t="s">
        <v>48</v>
      </c>
      <c r="V27" s="74" t="s">
        <v>56</v>
      </c>
      <c r="W27" s="72" t="s">
        <v>55</v>
      </c>
      <c r="X27" s="73" t="s">
        <v>38</v>
      </c>
      <c r="Y27" s="73" t="s">
        <v>48</v>
      </c>
      <c r="Z27" s="74" t="s">
        <v>56</v>
      </c>
    </row>
    <row r="28" spans="1:26" s="18" customFormat="1" ht="133.5" customHeight="1" thickBot="1" thickTop="1">
      <c r="A28" s="448" t="s">
        <v>63</v>
      </c>
      <c r="B28" s="449"/>
      <c r="C28" s="450" t="s">
        <v>64</v>
      </c>
      <c r="D28" s="450"/>
      <c r="E28" s="307" t="s">
        <v>8</v>
      </c>
      <c r="F28" s="308"/>
      <c r="G28" s="44"/>
      <c r="H28" s="45">
        <v>20000</v>
      </c>
      <c r="I28" s="45"/>
      <c r="J28" s="46">
        <f>SUM(G28:I28)</f>
        <v>20000</v>
      </c>
      <c r="K28" s="53"/>
      <c r="L28" s="54">
        <v>30000</v>
      </c>
      <c r="M28" s="54"/>
      <c r="N28" s="55">
        <f>SUM(K28:M28)</f>
        <v>30000</v>
      </c>
      <c r="O28" s="53"/>
      <c r="P28" s="54">
        <v>30000</v>
      </c>
      <c r="Q28" s="54"/>
      <c r="R28" s="55">
        <f>SUM(O28:Q28)</f>
        <v>30000</v>
      </c>
      <c r="S28" s="53"/>
      <c r="T28" s="54">
        <v>40000</v>
      </c>
      <c r="U28" s="54"/>
      <c r="V28" s="55">
        <f>SUM(S28:U28)</f>
        <v>40000</v>
      </c>
      <c r="W28" s="34">
        <f aca="true" t="shared" si="4" ref="W28:Y32">+G28+K28+O28+S28</f>
        <v>0</v>
      </c>
      <c r="X28" s="35">
        <f t="shared" si="4"/>
        <v>120000</v>
      </c>
      <c r="Y28" s="35">
        <f t="shared" si="4"/>
        <v>0</v>
      </c>
      <c r="Z28" s="36">
        <f>SUM(W28:Y28)</f>
        <v>120000</v>
      </c>
    </row>
    <row r="29" spans="1:26" s="18" customFormat="1" ht="99" customHeight="1" thickTop="1">
      <c r="A29" s="438" t="s">
        <v>65</v>
      </c>
      <c r="B29" s="439"/>
      <c r="C29" s="451" t="s">
        <v>73</v>
      </c>
      <c r="D29" s="451"/>
      <c r="E29" s="273" t="s">
        <v>9</v>
      </c>
      <c r="F29" s="273"/>
      <c r="G29" s="47"/>
      <c r="H29" s="48">
        <v>35000</v>
      </c>
      <c r="I29" s="48"/>
      <c r="J29" s="46">
        <f>SUM(G29:I29)</f>
        <v>35000</v>
      </c>
      <c r="K29" s="56"/>
      <c r="L29" s="27">
        <v>40000</v>
      </c>
      <c r="M29" s="27"/>
      <c r="N29" s="55">
        <f>SUM(K29:M29)</f>
        <v>40000</v>
      </c>
      <c r="O29" s="56"/>
      <c r="P29" s="27">
        <v>45000</v>
      </c>
      <c r="Q29" s="27"/>
      <c r="R29" s="55">
        <f>SUM(O29:Q29)</f>
        <v>45000</v>
      </c>
      <c r="S29" s="56"/>
      <c r="T29" s="27">
        <v>50000</v>
      </c>
      <c r="U29" s="27"/>
      <c r="V29" s="55">
        <f>SUM(S29:U29)</f>
        <v>50000</v>
      </c>
      <c r="W29" s="34">
        <f t="shared" si="4"/>
        <v>0</v>
      </c>
      <c r="X29" s="35">
        <f t="shared" si="4"/>
        <v>170000</v>
      </c>
      <c r="Y29" s="35">
        <f t="shared" si="4"/>
        <v>0</v>
      </c>
      <c r="Z29" s="36">
        <f>SUM(W29:Y29)</f>
        <v>170000</v>
      </c>
    </row>
    <row r="30" spans="1:26" s="18" customFormat="1" ht="68.25" customHeight="1">
      <c r="A30" s="438" t="s">
        <v>74</v>
      </c>
      <c r="B30" s="463"/>
      <c r="C30" s="457" t="s">
        <v>10</v>
      </c>
      <c r="D30" s="458"/>
      <c r="E30" s="383" t="s">
        <v>11</v>
      </c>
      <c r="F30" s="384"/>
      <c r="G30" s="293"/>
      <c r="H30" s="293">
        <f>+'[1]Hoja3'!$E$22-H28-H29</f>
        <v>75404.60026999998</v>
      </c>
      <c r="I30" s="293"/>
      <c r="J30" s="366">
        <f>SUM(G30:I31)</f>
        <v>75404.60026999998</v>
      </c>
      <c r="K30" s="387"/>
      <c r="L30" s="378">
        <f>+'[1]Hoja3'!$L$22-L28-L29</f>
        <v>81982.37628619999</v>
      </c>
      <c r="M30" s="378"/>
      <c r="N30" s="366">
        <f>SUM(K30:M31)</f>
        <v>81982.37628619999</v>
      </c>
      <c r="O30" s="387"/>
      <c r="P30" s="378">
        <f>+'[1]Hoja3'!$S$22-P28-P29</f>
        <v>86101.31886337203</v>
      </c>
      <c r="Q30" s="378"/>
      <c r="R30" s="366">
        <f>SUM(O30:Q31)</f>
        <v>86101.31886337203</v>
      </c>
      <c r="S30" s="387"/>
      <c r="T30" s="378">
        <f>+'[1]Hoja3'!$Z$22-T28-T29</f>
        <v>80767.39799517437</v>
      </c>
      <c r="U30" s="378"/>
      <c r="V30" s="366">
        <f>SUM(S30:U31)</f>
        <v>80767.39799517437</v>
      </c>
      <c r="W30" s="387">
        <v>0</v>
      </c>
      <c r="X30" s="350">
        <f t="shared" si="4"/>
        <v>324255.6934147463</v>
      </c>
      <c r="Y30" s="378">
        <v>0</v>
      </c>
      <c r="Z30" s="366">
        <f>SUM(W30:Y31)</f>
        <v>324255.6934147463</v>
      </c>
    </row>
    <row r="31" spans="1:26" s="18" customFormat="1" ht="93.75" customHeight="1" thickBot="1">
      <c r="A31" s="438"/>
      <c r="B31" s="463"/>
      <c r="C31" s="459"/>
      <c r="D31" s="460"/>
      <c r="E31" s="385"/>
      <c r="F31" s="386"/>
      <c r="G31" s="353"/>
      <c r="H31" s="353"/>
      <c r="I31" s="353"/>
      <c r="J31" s="380"/>
      <c r="K31" s="388"/>
      <c r="L31" s="379"/>
      <c r="M31" s="379"/>
      <c r="N31" s="380"/>
      <c r="O31" s="388"/>
      <c r="P31" s="379"/>
      <c r="Q31" s="379"/>
      <c r="R31" s="380"/>
      <c r="S31" s="388"/>
      <c r="T31" s="379"/>
      <c r="U31" s="379"/>
      <c r="V31" s="380"/>
      <c r="W31" s="388"/>
      <c r="X31" s="390"/>
      <c r="Y31" s="379"/>
      <c r="Z31" s="367"/>
    </row>
    <row r="32" spans="1:26" s="18" customFormat="1" ht="131.25" customHeight="1" thickBot="1" thickTop="1">
      <c r="A32" s="442" t="s">
        <v>75</v>
      </c>
      <c r="B32" s="443"/>
      <c r="C32" s="312" t="s">
        <v>196</v>
      </c>
      <c r="D32" s="313"/>
      <c r="E32" s="381" t="s">
        <v>195</v>
      </c>
      <c r="F32" s="382"/>
      <c r="G32" s="81"/>
      <c r="H32" s="80">
        <v>0</v>
      </c>
      <c r="I32" s="80"/>
      <c r="J32" s="82">
        <f>SUM(G32:I32)</f>
        <v>0</v>
      </c>
      <c r="K32" s="31"/>
      <c r="L32" s="26"/>
      <c r="M32" s="26"/>
      <c r="N32" s="79">
        <f>SUM(K32:M32)</f>
        <v>0</v>
      </c>
      <c r="O32" s="31"/>
      <c r="P32" s="26"/>
      <c r="Q32" s="26"/>
      <c r="R32" s="79">
        <f>SUM(O32:Q32)</f>
        <v>0</v>
      </c>
      <c r="S32" s="31"/>
      <c r="T32" s="26"/>
      <c r="U32" s="26"/>
      <c r="V32" s="79">
        <f>SUM(S32:U32)</f>
        <v>0</v>
      </c>
      <c r="W32" s="31"/>
      <c r="X32" s="35">
        <f t="shared" si="4"/>
        <v>0</v>
      </c>
      <c r="Y32" s="26"/>
      <c r="Z32" s="75">
        <f>SUM(W32:Y32)</f>
        <v>0</v>
      </c>
    </row>
    <row r="33" spans="1:26" s="19" customFormat="1" ht="28.5" customHeight="1" thickBot="1" thickTop="1">
      <c r="A33" s="446"/>
      <c r="B33" s="447"/>
      <c r="C33" s="447"/>
      <c r="D33" s="447"/>
      <c r="E33" s="289"/>
      <c r="F33" s="277"/>
      <c r="G33" s="76">
        <f aca="true" t="shared" si="5" ref="G33:Z33">SUM(G28:G32)</f>
        <v>0</v>
      </c>
      <c r="H33" s="77">
        <f t="shared" si="5"/>
        <v>130404.60026999998</v>
      </c>
      <c r="I33" s="77">
        <f t="shared" si="5"/>
        <v>0</v>
      </c>
      <c r="J33" s="78">
        <f t="shared" si="5"/>
        <v>130404.60026999998</v>
      </c>
      <c r="K33" s="76">
        <f t="shared" si="5"/>
        <v>0</v>
      </c>
      <c r="L33" s="77">
        <f t="shared" si="5"/>
        <v>151982.3762862</v>
      </c>
      <c r="M33" s="77">
        <f t="shared" si="5"/>
        <v>0</v>
      </c>
      <c r="N33" s="78">
        <f t="shared" si="5"/>
        <v>151982.3762862</v>
      </c>
      <c r="O33" s="76">
        <f t="shared" si="5"/>
        <v>0</v>
      </c>
      <c r="P33" s="77">
        <f t="shared" si="5"/>
        <v>161101.31886337203</v>
      </c>
      <c r="Q33" s="77">
        <f t="shared" si="5"/>
        <v>0</v>
      </c>
      <c r="R33" s="78">
        <f t="shared" si="5"/>
        <v>161101.31886337203</v>
      </c>
      <c r="S33" s="76">
        <f t="shared" si="5"/>
        <v>0</v>
      </c>
      <c r="T33" s="77">
        <f t="shared" si="5"/>
        <v>170767.39799517437</v>
      </c>
      <c r="U33" s="77">
        <f t="shared" si="5"/>
        <v>0</v>
      </c>
      <c r="V33" s="78">
        <f t="shared" si="5"/>
        <v>170767.39799517437</v>
      </c>
      <c r="W33" s="76">
        <f t="shared" si="5"/>
        <v>0</v>
      </c>
      <c r="X33" s="77">
        <f t="shared" si="5"/>
        <v>614255.6934147463</v>
      </c>
      <c r="Y33" s="77">
        <f t="shared" si="5"/>
        <v>0</v>
      </c>
      <c r="Z33" s="78">
        <f t="shared" si="5"/>
        <v>614255.6934147463</v>
      </c>
    </row>
    <row r="34" spans="1:12" ht="18.75" customHeight="1" thickTop="1">
      <c r="A34" s="4"/>
      <c r="B34" s="4"/>
      <c r="C34" s="163"/>
      <c r="D34" s="265"/>
      <c r="E34" s="261"/>
      <c r="F34" s="261"/>
      <c r="G34" s="262"/>
      <c r="H34" s="17"/>
      <c r="I34" s="17"/>
      <c r="J34" s="17"/>
      <c r="K34" s="17"/>
      <c r="L34" s="17"/>
    </row>
    <row r="35" spans="1:9" ht="27.75" thickBot="1">
      <c r="A35" s="311" t="s">
        <v>131</v>
      </c>
      <c r="B35" s="311"/>
      <c r="C35" s="311"/>
      <c r="D35" s="311"/>
      <c r="E35" s="311"/>
      <c r="F35" s="311"/>
      <c r="G35" s="311"/>
      <c r="H35" s="311"/>
      <c r="I35" s="311"/>
    </row>
    <row r="36" spans="1:26" s="15" customFormat="1" ht="31.5" customHeight="1" thickTop="1">
      <c r="A36" s="372" t="s">
        <v>42</v>
      </c>
      <c r="B36" s="373"/>
      <c r="C36" s="373" t="s">
        <v>54</v>
      </c>
      <c r="D36" s="373"/>
      <c r="E36" s="283" t="s">
        <v>168</v>
      </c>
      <c r="F36" s="284"/>
      <c r="G36" s="356">
        <v>2004</v>
      </c>
      <c r="H36" s="357"/>
      <c r="I36" s="357"/>
      <c r="J36" s="358"/>
      <c r="K36" s="356">
        <v>2005</v>
      </c>
      <c r="L36" s="357"/>
      <c r="M36" s="357"/>
      <c r="N36" s="358"/>
      <c r="O36" s="347">
        <v>2006</v>
      </c>
      <c r="P36" s="348"/>
      <c r="Q36" s="348"/>
      <c r="R36" s="349"/>
      <c r="S36" s="347">
        <v>2007</v>
      </c>
      <c r="T36" s="348"/>
      <c r="U36" s="348"/>
      <c r="V36" s="349"/>
      <c r="W36" s="347" t="s">
        <v>117</v>
      </c>
      <c r="X36" s="348"/>
      <c r="Y36" s="348"/>
      <c r="Z36" s="349"/>
    </row>
    <row r="37" spans="1:26" s="16" customFormat="1" ht="21" customHeight="1" thickBot="1">
      <c r="A37" s="374"/>
      <c r="B37" s="375"/>
      <c r="C37" s="375"/>
      <c r="D37" s="375"/>
      <c r="E37" s="285"/>
      <c r="F37" s="286"/>
      <c r="G37" s="72" t="s">
        <v>55</v>
      </c>
      <c r="H37" s="73" t="s">
        <v>47</v>
      </c>
      <c r="I37" s="73" t="s">
        <v>48</v>
      </c>
      <c r="J37" s="74" t="s">
        <v>56</v>
      </c>
      <c r="K37" s="72" t="s">
        <v>55</v>
      </c>
      <c r="L37" s="73" t="s">
        <v>47</v>
      </c>
      <c r="M37" s="73" t="s">
        <v>48</v>
      </c>
      <c r="N37" s="74" t="s">
        <v>56</v>
      </c>
      <c r="O37" s="72" t="s">
        <v>55</v>
      </c>
      <c r="P37" s="73" t="s">
        <v>47</v>
      </c>
      <c r="Q37" s="73" t="s">
        <v>48</v>
      </c>
      <c r="R37" s="74" t="s">
        <v>56</v>
      </c>
      <c r="S37" s="72" t="s">
        <v>55</v>
      </c>
      <c r="T37" s="73" t="s">
        <v>47</v>
      </c>
      <c r="U37" s="73" t="s">
        <v>48</v>
      </c>
      <c r="V37" s="74" t="s">
        <v>56</v>
      </c>
      <c r="W37" s="72" t="s">
        <v>55</v>
      </c>
      <c r="X37" s="73" t="s">
        <v>39</v>
      </c>
      <c r="Y37" s="73" t="s">
        <v>48</v>
      </c>
      <c r="Z37" s="74" t="s">
        <v>56</v>
      </c>
    </row>
    <row r="38" spans="1:26" s="19" customFormat="1" ht="117.75" customHeight="1" thickTop="1">
      <c r="A38" s="440" t="s">
        <v>107</v>
      </c>
      <c r="B38" s="441"/>
      <c r="C38" s="314" t="s">
        <v>76</v>
      </c>
      <c r="D38" s="314"/>
      <c r="E38" s="314" t="s">
        <v>198</v>
      </c>
      <c r="F38" s="314"/>
      <c r="G38" s="44">
        <f>+'[1]Hoja3'!$D$23*0.05</f>
        <v>10773.54018530489</v>
      </c>
      <c r="H38" s="45">
        <v>0</v>
      </c>
      <c r="I38" s="45">
        <v>0</v>
      </c>
      <c r="J38" s="46">
        <f>SUM(G38:I38)</f>
        <v>10773.54018530489</v>
      </c>
      <c r="K38" s="83">
        <f>+'[1]Hoja3'!$K$23*0.05</f>
        <v>11850.89420383538</v>
      </c>
      <c r="L38" s="84">
        <v>0</v>
      </c>
      <c r="M38" s="45">
        <v>0</v>
      </c>
      <c r="N38" s="46">
        <f>SUM(K38:M38)</f>
        <v>11850.89420383538</v>
      </c>
      <c r="O38" s="44">
        <f>+'[1]Hoja3'!$R$23*0.05</f>
        <v>13035.983624218918</v>
      </c>
      <c r="P38" s="45">
        <v>0</v>
      </c>
      <c r="Q38" s="45"/>
      <c r="R38" s="46">
        <f>SUM(O38:Q38)</f>
        <v>13035.983624218918</v>
      </c>
      <c r="S38" s="44">
        <f>+'[1]Hoja3'!$Y$23*0.05</f>
        <v>14339.581986640813</v>
      </c>
      <c r="T38" s="45">
        <v>0</v>
      </c>
      <c r="U38" s="45">
        <v>0</v>
      </c>
      <c r="V38" s="46">
        <f>SUM(S38:U38)</f>
        <v>14339.581986640813</v>
      </c>
      <c r="W38" s="34">
        <f aca="true" t="shared" si="6" ref="W38:Y39">+G38+K38+O38+S38</f>
        <v>50000</v>
      </c>
      <c r="X38" s="35">
        <f t="shared" si="6"/>
        <v>0</v>
      </c>
      <c r="Y38" s="35">
        <f t="shared" si="6"/>
        <v>0</v>
      </c>
      <c r="Z38" s="46">
        <f>SUM(W38:Y38)</f>
        <v>50000</v>
      </c>
    </row>
    <row r="39" spans="1:26" s="19" customFormat="1" ht="66" customHeight="1">
      <c r="A39" s="400" t="s">
        <v>77</v>
      </c>
      <c r="B39" s="401"/>
      <c r="C39" s="462" t="s">
        <v>78</v>
      </c>
      <c r="D39" s="462"/>
      <c r="E39" s="267" t="s">
        <v>12</v>
      </c>
      <c r="F39" s="268"/>
      <c r="G39" s="263">
        <f>+'[1]Hoja3'!$D$23-G38-G41-G42</f>
        <v>98357.7330421173</v>
      </c>
      <c r="H39" s="293">
        <f>88000*75%+'[1]Hoja5'!$C$14*50%</f>
        <v>117719.6801035</v>
      </c>
      <c r="I39" s="293">
        <v>0</v>
      </c>
      <c r="J39" s="366">
        <f>SUM(G39:I40)</f>
        <v>216077.4131456173</v>
      </c>
      <c r="K39" s="263">
        <f>+'[1]Hoja3'!$K$23-K38-K41-K42</f>
        <v>89498.99593817591</v>
      </c>
      <c r="L39" s="389">
        <f>75000+'[1]Hoja5'!$D$14*50%</f>
        <v>130452.64209948853</v>
      </c>
      <c r="M39" s="293">
        <v>0</v>
      </c>
      <c r="N39" s="366">
        <f>SUM(K39:M40)</f>
        <v>219951.63803766444</v>
      </c>
      <c r="O39" s="263">
        <f>+'[1]Hoja3'!$R$23-O38-O41-O42</f>
        <v>84274.98923973602</v>
      </c>
      <c r="P39" s="293">
        <f>+'[1]Hoja3'!$S$23*0.5+'[1]Hoja5'!$E$14*50%</f>
        <v>159087.54387624154</v>
      </c>
      <c r="Q39" s="293"/>
      <c r="R39" s="366">
        <f>SUM(O39:Q40)</f>
        <v>243362.53311597757</v>
      </c>
      <c r="S39" s="263">
        <f>+'[1]Hoja3'!$Y$23-S38-S41-S42</f>
        <v>60231.48119920277</v>
      </c>
      <c r="T39" s="293">
        <f>+'[1]Hoja3'!$Z$23*0.5+'[1]Hoja5'!$F$14*50%</f>
        <v>168632.80540375065</v>
      </c>
      <c r="U39" s="293"/>
      <c r="V39" s="366">
        <f>SUM(S39:U40)</f>
        <v>228864.28660295342</v>
      </c>
      <c r="W39" s="263">
        <f t="shared" si="6"/>
        <v>332363.199419232</v>
      </c>
      <c r="X39" s="293">
        <f t="shared" si="6"/>
        <v>575892.6714829807</v>
      </c>
      <c r="Y39" s="293">
        <f t="shared" si="6"/>
        <v>0</v>
      </c>
      <c r="Z39" s="366">
        <f>SUM(W39:Y40)</f>
        <v>908255.8709022128</v>
      </c>
    </row>
    <row r="40" spans="1:26" s="19" customFormat="1" ht="98.25" customHeight="1" thickBot="1">
      <c r="A40" s="400"/>
      <c r="B40" s="401"/>
      <c r="C40" s="462" t="s">
        <v>79</v>
      </c>
      <c r="D40" s="462"/>
      <c r="E40" s="269"/>
      <c r="F40" s="270"/>
      <c r="G40" s="290"/>
      <c r="H40" s="353"/>
      <c r="I40" s="353"/>
      <c r="J40" s="367"/>
      <c r="K40" s="290"/>
      <c r="L40" s="389"/>
      <c r="M40" s="353"/>
      <c r="N40" s="367"/>
      <c r="O40" s="290"/>
      <c r="P40" s="353"/>
      <c r="Q40" s="353"/>
      <c r="R40" s="367"/>
      <c r="S40" s="290"/>
      <c r="T40" s="353"/>
      <c r="U40" s="353"/>
      <c r="V40" s="367"/>
      <c r="W40" s="290"/>
      <c r="X40" s="353"/>
      <c r="Y40" s="353"/>
      <c r="Z40" s="367"/>
    </row>
    <row r="41" spans="1:26" s="22" customFormat="1" ht="95.25" customHeight="1" thickTop="1">
      <c r="A41" s="438" t="s">
        <v>132</v>
      </c>
      <c r="B41" s="439"/>
      <c r="C41" s="271" t="s">
        <v>80</v>
      </c>
      <c r="D41" s="271"/>
      <c r="E41" s="271" t="s">
        <v>15</v>
      </c>
      <c r="F41" s="271"/>
      <c r="G41" s="47">
        <f>+'[1]Hoja3'!$D$23*0.1+'[1]Hoja5'!$I$14</f>
        <v>63245.36973745607</v>
      </c>
      <c r="H41" s="48">
        <f>+'[1]Hoja3'!$E$24+200000+'[1]Hoja5'!$C$14*50%</f>
        <v>434119.6801035</v>
      </c>
      <c r="I41" s="48"/>
      <c r="J41" s="46">
        <f>SUM(G41:I41)</f>
        <v>497365.0498409561</v>
      </c>
      <c r="K41" s="83">
        <f>+'[1]Hoja3'!$K$23*0.1</f>
        <v>23701.78840767076</v>
      </c>
      <c r="L41" s="85">
        <f>+'[1]Hoja3'!$L$24+'[1]Hoja5'!$D$14*50%</f>
        <v>237852.6420994885</v>
      </c>
      <c r="M41" s="48">
        <v>0</v>
      </c>
      <c r="N41" s="49">
        <f>SUM(K41:M41)</f>
        <v>261554.43050715927</v>
      </c>
      <c r="O41" s="47">
        <f>+'[1]Hoja3'!$R$23*0.1</f>
        <v>26071.967248437835</v>
      </c>
      <c r="P41" s="48">
        <f>+'[1]Hoja3'!$S$23*30%+'[1]Hoja5'!$E$14*50%</f>
        <v>120423.22734903224</v>
      </c>
      <c r="Q41" s="48"/>
      <c r="R41" s="49">
        <f>SUM(O41:Q41)</f>
        <v>146495.19459747008</v>
      </c>
      <c r="S41" s="47">
        <f>+'[1]Hoja3'!$Y$23*0.1</f>
        <v>28679.163973281626</v>
      </c>
      <c r="T41" s="48">
        <f>+'[1]Hoja3'!$Z$23*0.3</f>
        <v>61476.26327826277</v>
      </c>
      <c r="U41" s="48"/>
      <c r="V41" s="49">
        <f>SUM(S41:U41)</f>
        <v>90155.4272515444</v>
      </c>
      <c r="W41" s="34">
        <f aca="true" t="shared" si="7" ref="W41:Y42">+G41+K41+O41+S41</f>
        <v>141698.2893668463</v>
      </c>
      <c r="X41" s="35">
        <f t="shared" si="7"/>
        <v>853871.8128302837</v>
      </c>
      <c r="Y41" s="35">
        <f t="shared" si="7"/>
        <v>0</v>
      </c>
      <c r="Z41" s="49">
        <f>SUM(W41:Y41)</f>
        <v>995570.10219713</v>
      </c>
    </row>
    <row r="42" spans="1:26" s="19" customFormat="1" ht="99.75" customHeight="1">
      <c r="A42" s="400" t="s">
        <v>81</v>
      </c>
      <c r="B42" s="401"/>
      <c r="C42" s="424" t="s">
        <v>82</v>
      </c>
      <c r="D42" s="424"/>
      <c r="E42" s="267" t="s">
        <v>16</v>
      </c>
      <c r="F42" s="268"/>
      <c r="G42" s="297">
        <f>+'[1]Hoja3'!$D$23*0.2</f>
        <v>43094.16074121956</v>
      </c>
      <c r="H42" s="292">
        <f>88000*0.25</f>
        <v>22000</v>
      </c>
      <c r="I42" s="292">
        <v>0</v>
      </c>
      <c r="J42" s="298">
        <f>SUM(G42:I43)</f>
        <v>65094.16074121956</v>
      </c>
      <c r="K42" s="300">
        <f>+'[1]Hoja3'!$K$23*0.2+'[1]Hoja5'!$J$14</f>
        <v>111966.20552702554</v>
      </c>
      <c r="L42" s="296">
        <v>25000</v>
      </c>
      <c r="M42" s="370">
        <v>0</v>
      </c>
      <c r="N42" s="298">
        <f>SUM(K42:M43)</f>
        <v>160667.9939346963</v>
      </c>
      <c r="O42" s="371">
        <f>+'[1]Hoja3'!$R$23*0.2+'[1]Hoja5'!$K$14</f>
        <v>137336.73237198556</v>
      </c>
      <c r="P42" s="370">
        <f>+'[1]Hoja3'!$S$23*0.2</f>
        <v>38664.31652720929</v>
      </c>
      <c r="Q42" s="370"/>
      <c r="R42" s="298">
        <f>SUM(O42:Q43)</f>
        <v>176001.04889919487</v>
      </c>
      <c r="S42" s="371">
        <f>+'[1]Hoja3'!$Y$23*0.2+'[1]Hoja5'!$L$14</f>
        <v>183541.41257369105</v>
      </c>
      <c r="T42" s="370">
        <f>+'[1]Hoja3'!$Z$23*0.2</f>
        <v>40984.175518841854</v>
      </c>
      <c r="U42" s="370"/>
      <c r="V42" s="298">
        <f>SUM(S42:U43)</f>
        <v>224525.5880925329</v>
      </c>
      <c r="W42" s="263">
        <f t="shared" si="7"/>
        <v>475938.5112139217</v>
      </c>
      <c r="X42" s="293">
        <f t="shared" si="7"/>
        <v>126648.49204605113</v>
      </c>
      <c r="Y42" s="293">
        <f t="shared" si="7"/>
        <v>0</v>
      </c>
      <c r="Z42" s="298">
        <f>SUM(W42:Y43)</f>
        <v>602587.0032599729</v>
      </c>
    </row>
    <row r="43" spans="1:26" s="19" customFormat="1" ht="18.75" customHeight="1" thickBot="1">
      <c r="A43" s="422"/>
      <c r="B43" s="423"/>
      <c r="C43" s="425" t="s">
        <v>83</v>
      </c>
      <c r="D43" s="425"/>
      <c r="E43" s="266"/>
      <c r="F43" s="264"/>
      <c r="G43" s="263"/>
      <c r="H43" s="293"/>
      <c r="I43" s="293"/>
      <c r="J43" s="299"/>
      <c r="K43" s="300">
        <f>+'[1]Hoja3'!$K$23*0.1</f>
        <v>23701.78840767076</v>
      </c>
      <c r="L43" s="296"/>
      <c r="M43" s="296"/>
      <c r="N43" s="299"/>
      <c r="O43" s="300"/>
      <c r="P43" s="296"/>
      <c r="Q43" s="296"/>
      <c r="R43" s="299"/>
      <c r="S43" s="300"/>
      <c r="T43" s="296"/>
      <c r="U43" s="296"/>
      <c r="V43" s="299"/>
      <c r="W43" s="290"/>
      <c r="X43" s="353"/>
      <c r="Y43" s="353"/>
      <c r="Z43" s="299"/>
    </row>
    <row r="44" spans="1:26" s="19" customFormat="1" ht="18.75" customHeight="1" thickBot="1" thickTop="1">
      <c r="A44" s="446"/>
      <c r="B44" s="447"/>
      <c r="C44" s="447"/>
      <c r="D44" s="447"/>
      <c r="E44" s="289"/>
      <c r="F44" s="277"/>
      <c r="G44" s="76">
        <f>SUM(G38:G43)</f>
        <v>215470.8037060978</v>
      </c>
      <c r="H44" s="77">
        <f aca="true" t="shared" si="8" ref="H44:Z44">SUM(H38:H43)</f>
        <v>573839.360207</v>
      </c>
      <c r="I44" s="77">
        <f t="shared" si="8"/>
        <v>0</v>
      </c>
      <c r="J44" s="78">
        <f t="shared" si="8"/>
        <v>789310.1639130978</v>
      </c>
      <c r="K44" s="76">
        <f>+K38+K39+K41+K42</f>
        <v>237017.8840767076</v>
      </c>
      <c r="L44" s="77">
        <f>+L38+L39+L41+L42</f>
        <v>393305.28419897705</v>
      </c>
      <c r="M44" s="77">
        <f t="shared" si="8"/>
        <v>0</v>
      </c>
      <c r="N44" s="78">
        <f t="shared" si="8"/>
        <v>654024.9566833554</v>
      </c>
      <c r="O44" s="76">
        <f>+O38+O39+O41+O42</f>
        <v>260719.67248437833</v>
      </c>
      <c r="P44" s="77">
        <f t="shared" si="8"/>
        <v>318175.0877524831</v>
      </c>
      <c r="Q44" s="77">
        <f t="shared" si="8"/>
        <v>0</v>
      </c>
      <c r="R44" s="78">
        <f t="shared" si="8"/>
        <v>578894.7602368614</v>
      </c>
      <c r="S44" s="76">
        <f t="shared" si="8"/>
        <v>286791.63973281626</v>
      </c>
      <c r="T44" s="77">
        <f t="shared" si="8"/>
        <v>271093.24420085526</v>
      </c>
      <c r="U44" s="77">
        <f t="shared" si="8"/>
        <v>0</v>
      </c>
      <c r="V44" s="78">
        <f t="shared" si="8"/>
        <v>557884.8839336715</v>
      </c>
      <c r="W44" s="76">
        <f t="shared" si="8"/>
        <v>1000000</v>
      </c>
      <c r="X44" s="77">
        <f t="shared" si="8"/>
        <v>1556412.9763593157</v>
      </c>
      <c r="Y44" s="77">
        <f t="shared" si="8"/>
        <v>0</v>
      </c>
      <c r="Z44" s="78">
        <f t="shared" si="8"/>
        <v>2556412.9763593157</v>
      </c>
    </row>
    <row r="45" spans="1:26" ht="18.75" customHeight="1" thickTop="1">
      <c r="A45" s="4"/>
      <c r="B45" s="4"/>
      <c r="C45" s="164"/>
      <c r="D45" s="4"/>
      <c r="E45" s="4"/>
      <c r="F45" s="4"/>
      <c r="G45" s="4"/>
      <c r="H45" s="4"/>
      <c r="I45" s="4"/>
      <c r="J45" s="4"/>
      <c r="K45" s="23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12" s="2" customFormat="1" ht="30.75" thickBot="1">
      <c r="A46" s="291" t="s">
        <v>84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</row>
    <row r="47" spans="1:26" s="15" customFormat="1" ht="31.5" customHeight="1" thickTop="1">
      <c r="A47" s="372" t="s">
        <v>42</v>
      </c>
      <c r="B47" s="373"/>
      <c r="C47" s="373" t="s">
        <v>54</v>
      </c>
      <c r="D47" s="376"/>
      <c r="E47" s="283" t="s">
        <v>168</v>
      </c>
      <c r="F47" s="284"/>
      <c r="G47" s="356">
        <v>2004</v>
      </c>
      <c r="H47" s="357"/>
      <c r="I47" s="357"/>
      <c r="J47" s="358"/>
      <c r="K47" s="356">
        <v>2005</v>
      </c>
      <c r="L47" s="357"/>
      <c r="M47" s="357"/>
      <c r="N47" s="358"/>
      <c r="O47" s="347">
        <v>2006</v>
      </c>
      <c r="P47" s="348"/>
      <c r="Q47" s="348"/>
      <c r="R47" s="349"/>
      <c r="S47" s="347">
        <v>2007</v>
      </c>
      <c r="T47" s="348"/>
      <c r="U47" s="348"/>
      <c r="V47" s="349"/>
      <c r="W47" s="347" t="s">
        <v>117</v>
      </c>
      <c r="X47" s="348"/>
      <c r="Y47" s="348"/>
      <c r="Z47" s="349"/>
    </row>
    <row r="48" spans="1:26" s="16" customFormat="1" ht="21" customHeight="1" thickBot="1">
      <c r="A48" s="374"/>
      <c r="B48" s="375"/>
      <c r="C48" s="375"/>
      <c r="D48" s="377"/>
      <c r="E48" s="285"/>
      <c r="F48" s="286"/>
      <c r="G48" s="72" t="s">
        <v>55</v>
      </c>
      <c r="H48" s="73" t="s">
        <v>47</v>
      </c>
      <c r="I48" s="73" t="s">
        <v>48</v>
      </c>
      <c r="J48" s="74" t="s">
        <v>56</v>
      </c>
      <c r="K48" s="72" t="s">
        <v>55</v>
      </c>
      <c r="L48" s="73" t="s">
        <v>47</v>
      </c>
      <c r="M48" s="73" t="s">
        <v>48</v>
      </c>
      <c r="N48" s="74" t="s">
        <v>56</v>
      </c>
      <c r="O48" s="72" t="s">
        <v>55</v>
      </c>
      <c r="P48" s="73" t="s">
        <v>47</v>
      </c>
      <c r="Q48" s="73" t="s">
        <v>48</v>
      </c>
      <c r="R48" s="74" t="s">
        <v>56</v>
      </c>
      <c r="S48" s="72" t="s">
        <v>55</v>
      </c>
      <c r="T48" s="73" t="s">
        <v>47</v>
      </c>
      <c r="U48" s="73" t="s">
        <v>48</v>
      </c>
      <c r="V48" s="74" t="s">
        <v>56</v>
      </c>
      <c r="W48" s="72" t="s">
        <v>55</v>
      </c>
      <c r="X48" s="73" t="s">
        <v>47</v>
      </c>
      <c r="Y48" s="73" t="s">
        <v>48</v>
      </c>
      <c r="Z48" s="74" t="s">
        <v>56</v>
      </c>
    </row>
    <row r="49" spans="1:26" s="24" customFormat="1" ht="357" customHeight="1" thickTop="1">
      <c r="A49" s="315" t="s">
        <v>85</v>
      </c>
      <c r="B49" s="316"/>
      <c r="C49" s="321" t="s">
        <v>86</v>
      </c>
      <c r="D49" s="322"/>
      <c r="E49" s="301" t="s">
        <v>128</v>
      </c>
      <c r="F49" s="302"/>
      <c r="G49" s="86">
        <f>+'[1]Hoja5'!$I$2</f>
        <v>41698.28936684629</v>
      </c>
      <c r="H49" s="87">
        <f>+'[1]Hoja3'!$E$49+'[1]Hoja5'!$C$2</f>
        <v>241039.360207</v>
      </c>
      <c r="I49" s="87"/>
      <c r="J49" s="55">
        <f>SUM(G49:I49)</f>
        <v>282737.64957384625</v>
      </c>
      <c r="K49" s="53">
        <v>83563</v>
      </c>
      <c r="L49" s="54">
        <f>+'[1]Hoja3'!$L$49+'[1]Hoja5'!$D$2</f>
        <v>248505.28419897705</v>
      </c>
      <c r="M49" s="54"/>
      <c r="N49" s="55">
        <f>SUM(K49:M49)</f>
        <v>332068.28419897705</v>
      </c>
      <c r="O49" s="53">
        <v>112193</v>
      </c>
      <c r="P49" s="54">
        <f>+'[1]Hoja5'!$E$2</f>
        <v>124853.50511643663</v>
      </c>
      <c r="Q49" s="54"/>
      <c r="R49" s="55">
        <f>SUM(O49:Q49)</f>
        <v>237046.50511643663</v>
      </c>
      <c r="S49" s="53">
        <v>156183</v>
      </c>
      <c r="T49" s="54">
        <f>+'[1]Hoja5'!$F$2</f>
        <v>132344.73321329206</v>
      </c>
      <c r="U49" s="54"/>
      <c r="V49" s="55">
        <f>SUM(S49:U49)</f>
        <v>288527.7332132921</v>
      </c>
      <c r="W49" s="53">
        <f aca="true" t="shared" si="9" ref="W49:Y50">+G49+K49+O49+S49</f>
        <v>393637.2893668463</v>
      </c>
      <c r="X49" s="54">
        <f t="shared" si="9"/>
        <v>746742.8827357058</v>
      </c>
      <c r="Y49" s="54">
        <f t="shared" si="9"/>
        <v>0</v>
      </c>
      <c r="Z49" s="55">
        <f>SUM(W49:Y49)</f>
        <v>1140380.1721025521</v>
      </c>
    </row>
    <row r="50" spans="1:26" s="24" customFormat="1" ht="27.75" customHeight="1" thickBot="1">
      <c r="A50" s="317"/>
      <c r="B50" s="318"/>
      <c r="C50" s="323"/>
      <c r="D50" s="324"/>
      <c r="E50" s="303"/>
      <c r="F50" s="304"/>
      <c r="G50" s="362">
        <f>+'[1]Hoja3'!$D$46*25%</f>
        <v>156328.61310517328</v>
      </c>
      <c r="H50" s="364"/>
      <c r="I50" s="364"/>
      <c r="J50" s="354">
        <f>SUM(G50:I51)</f>
        <v>156328.61310517328</v>
      </c>
      <c r="K50" s="360">
        <v>150686</v>
      </c>
      <c r="L50" s="350"/>
      <c r="M50" s="350"/>
      <c r="N50" s="354">
        <f>SUM(K50:M51)</f>
        <v>150686</v>
      </c>
      <c r="O50" s="360">
        <v>150785</v>
      </c>
      <c r="P50" s="350"/>
      <c r="Q50" s="350"/>
      <c r="R50" s="354">
        <f>SUM(O50:Q51)</f>
        <v>150785</v>
      </c>
      <c r="S50" s="360">
        <v>161779</v>
      </c>
      <c r="T50" s="350"/>
      <c r="U50" s="350"/>
      <c r="V50" s="354">
        <f>SUM(S50:U51)</f>
        <v>161779</v>
      </c>
      <c r="W50" s="360">
        <f t="shared" si="9"/>
        <v>619578.6131051732</v>
      </c>
      <c r="X50" s="350">
        <f t="shared" si="9"/>
        <v>0</v>
      </c>
      <c r="Y50" s="350">
        <f t="shared" si="9"/>
        <v>0</v>
      </c>
      <c r="Z50" s="354">
        <f>SUM(W50:Y51)</f>
        <v>619578.6131051732</v>
      </c>
    </row>
    <row r="51" spans="1:26" s="24" customFormat="1" ht="18.75" customHeight="1" hidden="1" thickBot="1">
      <c r="A51" s="319"/>
      <c r="B51" s="320"/>
      <c r="C51" s="325"/>
      <c r="D51" s="326"/>
      <c r="E51" s="266"/>
      <c r="F51" s="264"/>
      <c r="G51" s="363"/>
      <c r="H51" s="365"/>
      <c r="I51" s="365"/>
      <c r="J51" s="355"/>
      <c r="K51" s="361"/>
      <c r="L51" s="351"/>
      <c r="M51" s="351"/>
      <c r="N51" s="355"/>
      <c r="O51" s="361"/>
      <c r="P51" s="351"/>
      <c r="Q51" s="351"/>
      <c r="R51" s="355"/>
      <c r="S51" s="361"/>
      <c r="T51" s="351"/>
      <c r="U51" s="351"/>
      <c r="V51" s="355"/>
      <c r="W51" s="361"/>
      <c r="X51" s="351"/>
      <c r="Y51" s="351"/>
      <c r="Z51" s="355"/>
    </row>
    <row r="52" spans="1:26" s="33" customFormat="1" ht="24" customHeight="1" thickBot="1" thickTop="1">
      <c r="A52" s="294" t="s">
        <v>56</v>
      </c>
      <c r="B52" s="295"/>
      <c r="C52" s="295"/>
      <c r="D52" s="295"/>
      <c r="E52" s="181"/>
      <c r="F52" s="181"/>
      <c r="G52" s="88">
        <f>SUM(G49:G51)</f>
        <v>198026.90247201957</v>
      </c>
      <c r="H52" s="89">
        <f>SUM(H49:H51)</f>
        <v>241039.360207</v>
      </c>
      <c r="I52" s="89">
        <f>SUM(I49:I51)</f>
        <v>0</v>
      </c>
      <c r="J52" s="90">
        <f>SUM(J49:J51)</f>
        <v>439066.26267901954</v>
      </c>
      <c r="K52" s="88">
        <f aca="true" t="shared" si="10" ref="K52:Z52">SUM(K49:K51)</f>
        <v>234249</v>
      </c>
      <c r="L52" s="89">
        <f t="shared" si="10"/>
        <v>248505.28419897705</v>
      </c>
      <c r="M52" s="89">
        <f t="shared" si="10"/>
        <v>0</v>
      </c>
      <c r="N52" s="90">
        <f t="shared" si="10"/>
        <v>482754.28419897705</v>
      </c>
      <c r="O52" s="88">
        <f t="shared" si="10"/>
        <v>262978</v>
      </c>
      <c r="P52" s="89">
        <f t="shared" si="10"/>
        <v>124853.50511643663</v>
      </c>
      <c r="Q52" s="89">
        <f t="shared" si="10"/>
        <v>0</v>
      </c>
      <c r="R52" s="90">
        <f t="shared" si="10"/>
        <v>387831.50511643663</v>
      </c>
      <c r="S52" s="88">
        <f>SUM(S49:S51)</f>
        <v>317962</v>
      </c>
      <c r="T52" s="89">
        <f t="shared" si="10"/>
        <v>132344.73321329206</v>
      </c>
      <c r="U52" s="89">
        <f t="shared" si="10"/>
        <v>0</v>
      </c>
      <c r="V52" s="90">
        <f t="shared" si="10"/>
        <v>450306.7332132921</v>
      </c>
      <c r="W52" s="88">
        <f t="shared" si="10"/>
        <v>1013215.9024720195</v>
      </c>
      <c r="X52" s="89">
        <f t="shared" si="10"/>
        <v>746742.8827357058</v>
      </c>
      <c r="Y52" s="89">
        <f t="shared" si="10"/>
        <v>0</v>
      </c>
      <c r="Z52" s="90">
        <f t="shared" si="10"/>
        <v>1759958.7852077254</v>
      </c>
    </row>
    <row r="53" spans="1:12" ht="19.5" customHeight="1" thickTop="1">
      <c r="A53" s="4"/>
      <c r="B53" s="4"/>
      <c r="C53" s="165"/>
      <c r="D53" s="21"/>
      <c r="E53" s="21"/>
      <c r="F53" s="21"/>
      <c r="G53" s="1"/>
      <c r="H53" s="3"/>
      <c r="I53" s="1"/>
      <c r="J53" s="3"/>
      <c r="K53" s="5"/>
      <c r="L53" s="5"/>
    </row>
    <row r="54" spans="1:26" ht="27.75" thickBot="1">
      <c r="A54" s="311" t="s">
        <v>87</v>
      </c>
      <c r="B54" s="311"/>
      <c r="C54" s="311"/>
      <c r="D54" s="311"/>
      <c r="E54" s="311"/>
      <c r="F54" s="311"/>
      <c r="G54" s="311"/>
      <c r="H54" s="311"/>
      <c r="I54" s="311"/>
      <c r="J54" s="359"/>
      <c r="K54" s="359"/>
      <c r="L54" s="35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15" customFormat="1" ht="31.5" customHeight="1" thickTop="1">
      <c r="A55" s="372" t="s">
        <v>42</v>
      </c>
      <c r="B55" s="373"/>
      <c r="C55" s="373" t="s">
        <v>54</v>
      </c>
      <c r="D55" s="376"/>
      <c r="E55" s="309" t="s">
        <v>168</v>
      </c>
      <c r="F55" s="310"/>
      <c r="G55" s="478">
        <v>2004</v>
      </c>
      <c r="H55" s="357"/>
      <c r="I55" s="357"/>
      <c r="J55" s="358"/>
      <c r="K55" s="356">
        <v>2005</v>
      </c>
      <c r="L55" s="357"/>
      <c r="M55" s="357"/>
      <c r="N55" s="358"/>
      <c r="O55" s="347">
        <v>2006</v>
      </c>
      <c r="P55" s="348"/>
      <c r="Q55" s="348"/>
      <c r="R55" s="349"/>
      <c r="S55" s="347">
        <v>2007</v>
      </c>
      <c r="T55" s="348"/>
      <c r="U55" s="348"/>
      <c r="V55" s="349"/>
      <c r="W55" s="347" t="s">
        <v>117</v>
      </c>
      <c r="X55" s="348"/>
      <c r="Y55" s="348"/>
      <c r="Z55" s="349"/>
    </row>
    <row r="56" spans="1:26" s="16" customFormat="1" ht="24" customHeight="1" thickBot="1">
      <c r="A56" s="374"/>
      <c r="B56" s="375"/>
      <c r="C56" s="375"/>
      <c r="D56" s="377"/>
      <c r="E56" s="193"/>
      <c r="F56" s="194"/>
      <c r="G56" s="192" t="s">
        <v>55</v>
      </c>
      <c r="H56" s="73" t="s">
        <v>47</v>
      </c>
      <c r="I56" s="73" t="s">
        <v>48</v>
      </c>
      <c r="J56" s="74" t="s">
        <v>56</v>
      </c>
      <c r="K56" s="72" t="s">
        <v>55</v>
      </c>
      <c r="L56" s="73" t="s">
        <v>47</v>
      </c>
      <c r="M56" s="73" t="s">
        <v>48</v>
      </c>
      <c r="N56" s="74" t="s">
        <v>56</v>
      </c>
      <c r="O56" s="72" t="s">
        <v>55</v>
      </c>
      <c r="P56" s="73" t="s">
        <v>47</v>
      </c>
      <c r="Q56" s="73" t="s">
        <v>48</v>
      </c>
      <c r="R56" s="74" t="s">
        <v>56</v>
      </c>
      <c r="S56" s="72" t="s">
        <v>55</v>
      </c>
      <c r="T56" s="73" t="s">
        <v>47</v>
      </c>
      <c r="U56" s="73" t="s">
        <v>48</v>
      </c>
      <c r="V56" s="74" t="s">
        <v>56</v>
      </c>
      <c r="W56" s="72" t="s">
        <v>55</v>
      </c>
      <c r="X56" s="73" t="s">
        <v>47</v>
      </c>
      <c r="Y56" s="73" t="s">
        <v>48</v>
      </c>
      <c r="Z56" s="74" t="s">
        <v>56</v>
      </c>
    </row>
    <row r="57" spans="1:26" ht="90" customHeight="1" thickTop="1">
      <c r="A57" s="275" t="s">
        <v>172</v>
      </c>
      <c r="B57" s="275"/>
      <c r="C57" s="274" t="s">
        <v>173</v>
      </c>
      <c r="D57" s="274"/>
      <c r="E57" s="274" t="s">
        <v>184</v>
      </c>
      <c r="F57" s="274"/>
      <c r="G57" s="329"/>
      <c r="H57" s="352">
        <f>+'[1]Hoja3'!$E$29</f>
        <v>655273.74</v>
      </c>
      <c r="I57" s="352"/>
      <c r="J57" s="368">
        <f>SUM(G57:I63)</f>
        <v>655273.74</v>
      </c>
      <c r="K57" s="329"/>
      <c r="L57" s="352">
        <f>+'[1]Hoja3'!$L$29</f>
        <v>694590.1644</v>
      </c>
      <c r="M57" s="352"/>
      <c r="N57" s="368">
        <f>SUM(K57:M63)</f>
        <v>694590.1644</v>
      </c>
      <c r="O57" s="329"/>
      <c r="P57" s="352">
        <f>+'[1]Hoja3'!$S$29</f>
        <v>736265.574264</v>
      </c>
      <c r="Q57" s="352"/>
      <c r="R57" s="368">
        <f>SUM(O57:Q63)</f>
        <v>736265.574264</v>
      </c>
      <c r="S57" s="329"/>
      <c r="T57" s="352">
        <f>+'[1]Hoja3'!$Z$29</f>
        <v>780441.5087198401</v>
      </c>
      <c r="U57" s="352"/>
      <c r="V57" s="368">
        <f>SUM(S57:U63)</f>
        <v>780441.5087198401</v>
      </c>
      <c r="W57" s="329">
        <f>+G57+K57+O57+S57</f>
        <v>0</v>
      </c>
      <c r="X57" s="352">
        <f>+H57+L57+P57+T57</f>
        <v>2866570.98738384</v>
      </c>
      <c r="Y57" s="352">
        <f>+I57+M57+Q57+U57</f>
        <v>0</v>
      </c>
      <c r="Z57" s="368">
        <f>SUM(W57:Y63)</f>
        <v>2866570.98738384</v>
      </c>
    </row>
    <row r="58" spans="1:26" ht="117" customHeight="1">
      <c r="A58" s="275" t="s">
        <v>174</v>
      </c>
      <c r="B58" s="275"/>
      <c r="C58" s="274" t="s">
        <v>175</v>
      </c>
      <c r="D58" s="274"/>
      <c r="E58" s="276" t="s">
        <v>199</v>
      </c>
      <c r="F58" s="272"/>
      <c r="G58" s="290"/>
      <c r="H58" s="353"/>
      <c r="I58" s="353"/>
      <c r="J58" s="367"/>
      <c r="K58" s="290"/>
      <c r="L58" s="353"/>
      <c r="M58" s="353"/>
      <c r="N58" s="367"/>
      <c r="O58" s="290"/>
      <c r="P58" s="353"/>
      <c r="Q58" s="353"/>
      <c r="R58" s="367"/>
      <c r="S58" s="290"/>
      <c r="T58" s="353"/>
      <c r="U58" s="353"/>
      <c r="V58" s="367"/>
      <c r="W58" s="290"/>
      <c r="X58" s="353"/>
      <c r="Y58" s="353"/>
      <c r="Z58" s="367"/>
    </row>
    <row r="59" spans="1:26" ht="196.5" customHeight="1">
      <c r="A59" s="275" t="s">
        <v>176</v>
      </c>
      <c r="B59" s="275"/>
      <c r="C59" s="274" t="s">
        <v>177</v>
      </c>
      <c r="D59" s="274"/>
      <c r="E59" s="278" t="s">
        <v>200</v>
      </c>
      <c r="F59" s="278"/>
      <c r="G59" s="290"/>
      <c r="H59" s="353"/>
      <c r="I59" s="353"/>
      <c r="J59" s="367"/>
      <c r="K59" s="290"/>
      <c r="L59" s="353"/>
      <c r="M59" s="353"/>
      <c r="N59" s="367"/>
      <c r="O59" s="290"/>
      <c r="P59" s="353"/>
      <c r="Q59" s="353"/>
      <c r="R59" s="367"/>
      <c r="S59" s="290"/>
      <c r="T59" s="353"/>
      <c r="U59" s="353"/>
      <c r="V59" s="367"/>
      <c r="W59" s="290"/>
      <c r="X59" s="353"/>
      <c r="Y59" s="353"/>
      <c r="Z59" s="367"/>
    </row>
    <row r="60" spans="1:26" ht="78" customHeight="1">
      <c r="A60" s="275" t="s">
        <v>178</v>
      </c>
      <c r="B60" s="275"/>
      <c r="C60" s="274" t="s">
        <v>179</v>
      </c>
      <c r="D60" s="274"/>
      <c r="E60" s="278" t="s">
        <v>201</v>
      </c>
      <c r="F60" s="278"/>
      <c r="G60" s="290"/>
      <c r="H60" s="353"/>
      <c r="I60" s="353"/>
      <c r="J60" s="367"/>
      <c r="K60" s="290"/>
      <c r="L60" s="353"/>
      <c r="M60" s="353"/>
      <c r="N60" s="367"/>
      <c r="O60" s="290"/>
      <c r="P60" s="353"/>
      <c r="Q60" s="353"/>
      <c r="R60" s="367"/>
      <c r="S60" s="290"/>
      <c r="T60" s="353"/>
      <c r="U60" s="353"/>
      <c r="V60" s="367"/>
      <c r="W60" s="290"/>
      <c r="X60" s="353"/>
      <c r="Y60" s="353"/>
      <c r="Z60" s="367"/>
    </row>
    <row r="61" spans="1:26" ht="105" customHeight="1">
      <c r="A61" s="275" t="s">
        <v>180</v>
      </c>
      <c r="B61" s="275"/>
      <c r="C61" s="274" t="s">
        <v>181</v>
      </c>
      <c r="D61" s="274"/>
      <c r="E61" s="274" t="s">
        <v>202</v>
      </c>
      <c r="F61" s="274"/>
      <c r="G61" s="290"/>
      <c r="H61" s="353"/>
      <c r="I61" s="353"/>
      <c r="J61" s="367"/>
      <c r="K61" s="290"/>
      <c r="L61" s="353"/>
      <c r="M61" s="353"/>
      <c r="N61" s="367"/>
      <c r="O61" s="290"/>
      <c r="P61" s="353"/>
      <c r="Q61" s="353"/>
      <c r="R61" s="367"/>
      <c r="S61" s="290"/>
      <c r="T61" s="353"/>
      <c r="U61" s="353"/>
      <c r="V61" s="367"/>
      <c r="W61" s="290"/>
      <c r="X61" s="353"/>
      <c r="Y61" s="353"/>
      <c r="Z61" s="367"/>
    </row>
    <row r="62" spans="1:26" ht="139.5" customHeight="1">
      <c r="A62" s="275" t="s">
        <v>133</v>
      </c>
      <c r="B62" s="275"/>
      <c r="C62" s="274" t="s">
        <v>182</v>
      </c>
      <c r="D62" s="274"/>
      <c r="E62" s="278" t="s">
        <v>126</v>
      </c>
      <c r="F62" s="278"/>
      <c r="G62" s="290"/>
      <c r="H62" s="353"/>
      <c r="I62" s="353"/>
      <c r="J62" s="367"/>
      <c r="K62" s="290"/>
      <c r="L62" s="353"/>
      <c r="M62" s="353"/>
      <c r="N62" s="367"/>
      <c r="O62" s="290"/>
      <c r="P62" s="353"/>
      <c r="Q62" s="353"/>
      <c r="R62" s="367"/>
      <c r="S62" s="290"/>
      <c r="T62" s="353"/>
      <c r="U62" s="353"/>
      <c r="V62" s="367"/>
      <c r="W62" s="290"/>
      <c r="X62" s="353"/>
      <c r="Y62" s="353"/>
      <c r="Z62" s="367"/>
    </row>
    <row r="63" spans="1:26" ht="71.25" customHeight="1">
      <c r="A63" s="275" t="s">
        <v>183</v>
      </c>
      <c r="B63" s="275"/>
      <c r="C63" s="274" t="s">
        <v>22</v>
      </c>
      <c r="D63" s="274"/>
      <c r="E63" s="278" t="s">
        <v>127</v>
      </c>
      <c r="F63" s="278"/>
      <c r="G63" s="297"/>
      <c r="H63" s="292"/>
      <c r="I63" s="292"/>
      <c r="J63" s="369"/>
      <c r="K63" s="297"/>
      <c r="L63" s="292"/>
      <c r="M63" s="292"/>
      <c r="N63" s="369"/>
      <c r="O63" s="297"/>
      <c r="P63" s="292"/>
      <c r="Q63" s="292"/>
      <c r="R63" s="369"/>
      <c r="S63" s="297"/>
      <c r="T63" s="292"/>
      <c r="U63" s="292"/>
      <c r="V63" s="369"/>
      <c r="W63" s="297"/>
      <c r="X63" s="292"/>
      <c r="Y63" s="292"/>
      <c r="Z63" s="369"/>
    </row>
    <row r="64" spans="1:26" s="196" customFormat="1" ht="71.25" customHeight="1">
      <c r="A64" s="461" t="s">
        <v>87</v>
      </c>
      <c r="B64" s="461"/>
      <c r="C64" s="197"/>
      <c r="D64" s="197"/>
      <c r="E64" s="198"/>
      <c r="F64" s="198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</row>
    <row r="65" spans="1:26" ht="40.5" customHeight="1" thickBot="1">
      <c r="A65" s="195"/>
      <c r="B65" s="195"/>
      <c r="C65" s="200"/>
      <c r="D65" s="200"/>
      <c r="E65" s="201"/>
      <c r="F65" s="201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1:26" ht="38.25" customHeight="1" thickTop="1">
      <c r="A66" s="372" t="s">
        <v>42</v>
      </c>
      <c r="B66" s="373"/>
      <c r="C66" s="453" t="s">
        <v>54</v>
      </c>
      <c r="D66" s="454"/>
      <c r="E66" s="479" t="s">
        <v>168</v>
      </c>
      <c r="F66" s="480"/>
      <c r="G66" s="481">
        <v>2004</v>
      </c>
      <c r="H66" s="482"/>
      <c r="I66" s="482"/>
      <c r="J66" s="483"/>
      <c r="K66" s="484">
        <v>2005</v>
      </c>
      <c r="L66" s="482"/>
      <c r="M66" s="482"/>
      <c r="N66" s="483"/>
      <c r="O66" s="475">
        <v>2006</v>
      </c>
      <c r="P66" s="476"/>
      <c r="Q66" s="476"/>
      <c r="R66" s="477"/>
      <c r="S66" s="475">
        <v>2007</v>
      </c>
      <c r="T66" s="476"/>
      <c r="U66" s="476"/>
      <c r="V66" s="477"/>
      <c r="W66" s="475" t="s">
        <v>117</v>
      </c>
      <c r="X66" s="476"/>
      <c r="Y66" s="476"/>
      <c r="Z66" s="477"/>
    </row>
    <row r="67" spans="1:26" ht="25.5" customHeight="1" thickBot="1">
      <c r="A67" s="374"/>
      <c r="B67" s="375"/>
      <c r="C67" s="455"/>
      <c r="D67" s="456"/>
      <c r="E67" s="203"/>
      <c r="F67" s="204"/>
      <c r="G67" s="205" t="s">
        <v>55</v>
      </c>
      <c r="H67" s="206" t="s">
        <v>47</v>
      </c>
      <c r="I67" s="206" t="s">
        <v>48</v>
      </c>
      <c r="J67" s="207" t="s">
        <v>56</v>
      </c>
      <c r="K67" s="208" t="s">
        <v>55</v>
      </c>
      <c r="L67" s="206" t="s">
        <v>47</v>
      </c>
      <c r="M67" s="206" t="s">
        <v>48</v>
      </c>
      <c r="N67" s="207" t="s">
        <v>56</v>
      </c>
      <c r="O67" s="208" t="s">
        <v>55</v>
      </c>
      <c r="P67" s="206" t="s">
        <v>47</v>
      </c>
      <c r="Q67" s="206" t="s">
        <v>48</v>
      </c>
      <c r="R67" s="207" t="s">
        <v>56</v>
      </c>
      <c r="S67" s="208" t="s">
        <v>55</v>
      </c>
      <c r="T67" s="206" t="s">
        <v>47</v>
      </c>
      <c r="U67" s="206" t="s">
        <v>48</v>
      </c>
      <c r="V67" s="207" t="s">
        <v>56</v>
      </c>
      <c r="W67" s="208" t="s">
        <v>55</v>
      </c>
      <c r="X67" s="206" t="s">
        <v>47</v>
      </c>
      <c r="Y67" s="206" t="s">
        <v>48</v>
      </c>
      <c r="Z67" s="207" t="s">
        <v>56</v>
      </c>
    </row>
    <row r="68" spans="1:26" ht="98.25" customHeight="1">
      <c r="A68" s="275" t="s">
        <v>185</v>
      </c>
      <c r="B68" s="275"/>
      <c r="C68" s="274" t="s">
        <v>186</v>
      </c>
      <c r="D68" s="274"/>
      <c r="E68" s="428" t="s">
        <v>120</v>
      </c>
      <c r="F68" s="428"/>
      <c r="G68" s="191"/>
      <c r="H68" s="189">
        <v>276406</v>
      </c>
      <c r="I68" s="189" t="s">
        <v>121</v>
      </c>
      <c r="J68" s="190">
        <f>SUM(G68:I68)</f>
        <v>276406</v>
      </c>
      <c r="K68" s="191"/>
      <c r="L68" s="189">
        <v>292991</v>
      </c>
      <c r="M68" s="189" t="s">
        <v>121</v>
      </c>
      <c r="N68" s="190">
        <f>SUM(K68:M68)</f>
        <v>292991</v>
      </c>
      <c r="O68" s="191"/>
      <c r="P68" s="189">
        <v>310570</v>
      </c>
      <c r="Q68" s="189" t="s">
        <v>121</v>
      </c>
      <c r="R68" s="190">
        <f>SUM(O68:Q68)</f>
        <v>310570</v>
      </c>
      <c r="S68" s="191"/>
      <c r="T68" s="189">
        <v>329204</v>
      </c>
      <c r="U68" s="189" t="s">
        <v>121</v>
      </c>
      <c r="V68" s="190">
        <f>SUM(S68:U68)</f>
        <v>329204</v>
      </c>
      <c r="W68" s="191">
        <f>SUM(G68,K68,O68,S68)</f>
        <v>0</v>
      </c>
      <c r="X68" s="189">
        <f>+H68+L68+P68+T68</f>
        <v>1209171</v>
      </c>
      <c r="Y68" s="189" t="s">
        <v>121</v>
      </c>
      <c r="Z68" s="190">
        <f>SUM(W68:Y68)</f>
        <v>1209171</v>
      </c>
    </row>
    <row r="69" spans="1:26" s="19" customFormat="1" ht="140.25" customHeight="1">
      <c r="A69" s="275" t="s">
        <v>187</v>
      </c>
      <c r="B69" s="275"/>
      <c r="C69" s="429" t="s">
        <v>188</v>
      </c>
      <c r="D69" s="429"/>
      <c r="E69" s="428" t="s">
        <v>192</v>
      </c>
      <c r="F69" s="428"/>
      <c r="G69" s="191"/>
      <c r="H69" s="189">
        <f>+'[1]Hoja3'!$E$27*0.92</f>
        <v>3178673.3424</v>
      </c>
      <c r="I69" s="189">
        <f>+'[1]Hoja3'!$F$27+'[1]Hoja3'!$G$27</f>
        <v>1000000</v>
      </c>
      <c r="J69" s="190">
        <f>SUM(G69:I69)</f>
        <v>4178673.3424</v>
      </c>
      <c r="K69" s="191"/>
      <c r="L69" s="189">
        <f>+'[1]Hoja3'!$L$27*0.92</f>
        <v>3369393.742944</v>
      </c>
      <c r="M69" s="189">
        <f>+'[1]Hoja3'!$M$27+'[1]Hoja3'!$N$27</f>
        <v>1200000</v>
      </c>
      <c r="N69" s="190">
        <f>SUM(K69:M69)</f>
        <v>4569393.742944</v>
      </c>
      <c r="O69" s="191"/>
      <c r="P69" s="189">
        <f>+'[1]Hoja3'!$S$27*0.92</f>
        <v>3571557.3675206397</v>
      </c>
      <c r="Q69" s="189">
        <f>1500000-111771</f>
        <v>1388229</v>
      </c>
      <c r="R69" s="190">
        <f>SUM(O69:Q69)</f>
        <v>4959786.36752064</v>
      </c>
      <c r="S69" s="191"/>
      <c r="T69" s="189">
        <f>+'[1]Hoja3'!$Z$27*0.92</f>
        <v>3785850.8095718785</v>
      </c>
      <c r="U69" s="189">
        <f>+'[1]Hoja3'!$AA$27+'[1]Hoja3'!$AB$27</f>
        <v>1500000</v>
      </c>
      <c r="V69" s="190">
        <f>SUM(S69:U69)</f>
        <v>5285850.809571879</v>
      </c>
      <c r="W69" s="191">
        <f>G69+K69+O69+S69</f>
        <v>0</v>
      </c>
      <c r="X69" s="189">
        <f>+H69+L69+P69+T69</f>
        <v>13905475.262436518</v>
      </c>
      <c r="Y69" s="189">
        <f>+I69+M69+Q69+U69</f>
        <v>5088229</v>
      </c>
      <c r="Z69" s="190">
        <f>SUM(W69:Y69)</f>
        <v>18993704.262436517</v>
      </c>
    </row>
    <row r="70" spans="1:26" s="19" customFormat="1" ht="153" customHeight="1">
      <c r="A70" s="275" t="s">
        <v>189</v>
      </c>
      <c r="B70" s="275"/>
      <c r="C70" s="274" t="s">
        <v>130</v>
      </c>
      <c r="D70" s="274"/>
      <c r="E70" s="278" t="s">
        <v>193</v>
      </c>
      <c r="F70" s="278"/>
      <c r="G70" s="263"/>
      <c r="H70" s="293">
        <f>1646681+18870</f>
        <v>1665551</v>
      </c>
      <c r="I70" s="293"/>
      <c r="J70" s="366">
        <f>SUM(G70:I71)</f>
        <v>1665551</v>
      </c>
      <c r="K70" s="263"/>
      <c r="L70" s="293">
        <v>1757481</v>
      </c>
      <c r="M70" s="293"/>
      <c r="N70" s="366">
        <f>SUM(K70:M71)</f>
        <v>1757481</v>
      </c>
      <c r="O70" s="263"/>
      <c r="P70" s="293">
        <f>+'[1]Hoja3'!$S$28</f>
        <v>2074930.254744</v>
      </c>
      <c r="Q70" s="293"/>
      <c r="R70" s="366">
        <f>SUM(O70:Q71)</f>
        <v>2074930.254744</v>
      </c>
      <c r="S70" s="263"/>
      <c r="T70" s="293">
        <f>+'[1]Hoja3'!$Z$28</f>
        <v>2199426.07002864</v>
      </c>
      <c r="U70" s="293"/>
      <c r="V70" s="366">
        <f>SUM(S70:U71)</f>
        <v>2199426.07002864</v>
      </c>
      <c r="W70" s="290"/>
      <c r="X70" s="353">
        <f>+H70+L70+P70+T70</f>
        <v>7697388.324772639</v>
      </c>
      <c r="Y70" s="353">
        <f>+I70+M70+Q70+U70</f>
        <v>0</v>
      </c>
      <c r="Z70" s="366">
        <f>SUM(W70:Y71)</f>
        <v>7697388.324772639</v>
      </c>
    </row>
    <row r="71" spans="1:26" s="19" customFormat="1" ht="123" customHeight="1" thickBot="1">
      <c r="A71" s="275" t="s">
        <v>190</v>
      </c>
      <c r="B71" s="275"/>
      <c r="C71" s="274" t="s">
        <v>191</v>
      </c>
      <c r="D71" s="274"/>
      <c r="E71" s="278" t="s">
        <v>194</v>
      </c>
      <c r="F71" s="278"/>
      <c r="G71" s="290"/>
      <c r="H71" s="353"/>
      <c r="I71" s="353"/>
      <c r="J71" s="367"/>
      <c r="K71" s="290"/>
      <c r="L71" s="353"/>
      <c r="M71" s="353"/>
      <c r="N71" s="367"/>
      <c r="O71" s="290"/>
      <c r="P71" s="353"/>
      <c r="Q71" s="353"/>
      <c r="R71" s="367"/>
      <c r="S71" s="290"/>
      <c r="T71" s="353"/>
      <c r="U71" s="353"/>
      <c r="V71" s="367"/>
      <c r="W71" s="297"/>
      <c r="X71" s="292"/>
      <c r="Y71" s="292"/>
      <c r="Z71" s="367"/>
    </row>
    <row r="72" spans="1:26" s="17" customFormat="1" ht="21" customHeight="1" thickBot="1" thickTop="1">
      <c r="A72" s="430" t="s">
        <v>56</v>
      </c>
      <c r="B72" s="431"/>
      <c r="C72" s="431"/>
      <c r="D72" s="431"/>
      <c r="E72" s="426"/>
      <c r="F72" s="427"/>
      <c r="G72" s="91">
        <f aca="true" t="shared" si="11" ref="G72:Z72">SUM(G57:G71)</f>
        <v>2004</v>
      </c>
      <c r="H72" s="92">
        <f t="shared" si="11"/>
        <v>5775904.0824</v>
      </c>
      <c r="I72" s="92">
        <f t="shared" si="11"/>
        <v>1000000</v>
      </c>
      <c r="J72" s="93">
        <f t="shared" si="11"/>
        <v>6775904.0824</v>
      </c>
      <c r="K72" s="91">
        <f t="shared" si="11"/>
        <v>2005</v>
      </c>
      <c r="L72" s="92">
        <f t="shared" si="11"/>
        <v>6114455.9073439995</v>
      </c>
      <c r="M72" s="92">
        <f t="shared" si="11"/>
        <v>1200000</v>
      </c>
      <c r="N72" s="93">
        <f t="shared" si="11"/>
        <v>7314455.907344</v>
      </c>
      <c r="O72" s="91">
        <f t="shared" si="11"/>
        <v>2006</v>
      </c>
      <c r="P72" s="92">
        <f t="shared" si="11"/>
        <v>6693323.19652864</v>
      </c>
      <c r="Q72" s="92">
        <f t="shared" si="11"/>
        <v>1388229</v>
      </c>
      <c r="R72" s="93">
        <f t="shared" si="11"/>
        <v>8081552.19652864</v>
      </c>
      <c r="S72" s="91">
        <f t="shared" si="11"/>
        <v>2007</v>
      </c>
      <c r="T72" s="92">
        <f t="shared" si="11"/>
        <v>7094922.3883203585</v>
      </c>
      <c r="U72" s="92">
        <f t="shared" si="11"/>
        <v>1500000</v>
      </c>
      <c r="V72" s="93">
        <f t="shared" si="11"/>
        <v>8594922.388320358</v>
      </c>
      <c r="W72" s="91">
        <f t="shared" si="11"/>
        <v>0</v>
      </c>
      <c r="X72" s="92">
        <f t="shared" si="11"/>
        <v>25678605.574593</v>
      </c>
      <c r="Y72" s="92">
        <f t="shared" si="11"/>
        <v>5088229</v>
      </c>
      <c r="Z72" s="93">
        <f t="shared" si="11"/>
        <v>30766834.574592993</v>
      </c>
    </row>
    <row r="73" ht="51" customHeight="1" thickTop="1">
      <c r="Z73" s="39"/>
    </row>
    <row r="74" spans="1:26" s="40" customFormat="1" ht="27" customHeight="1">
      <c r="A74" s="94"/>
      <c r="B74" s="94"/>
      <c r="C74" s="167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5.75" customHeight="1">
      <c r="Z75" s="38"/>
    </row>
    <row r="77" ht="101.25" customHeight="1"/>
    <row r="78" ht="51" customHeight="1"/>
    <row r="79" ht="99.75" customHeight="1"/>
    <row r="80" ht="12.75" customHeight="1" hidden="1"/>
    <row r="81" ht="114.75" customHeight="1"/>
    <row r="82" ht="33" customHeight="1"/>
    <row r="83" ht="48.75" customHeight="1"/>
  </sheetData>
  <mergeCells count="306">
    <mergeCell ref="E68:F68"/>
    <mergeCell ref="E66:F66"/>
    <mergeCell ref="G66:J66"/>
    <mergeCell ref="K66:N66"/>
    <mergeCell ref="C20:D20"/>
    <mergeCell ref="C18:D19"/>
    <mergeCell ref="S66:V66"/>
    <mergeCell ref="W66:Z66"/>
    <mergeCell ref="O66:R66"/>
    <mergeCell ref="C25:L25"/>
    <mergeCell ref="N57:N63"/>
    <mergeCell ref="G55:J55"/>
    <mergeCell ref="C55:D56"/>
    <mergeCell ref="A44:D44"/>
    <mergeCell ref="C4:D6"/>
    <mergeCell ref="A4:B6"/>
    <mergeCell ref="C9:D9"/>
    <mergeCell ref="A8:B8"/>
    <mergeCell ref="A7:B7"/>
    <mergeCell ref="C7:D7"/>
    <mergeCell ref="C66:D67"/>
    <mergeCell ref="C30:D31"/>
    <mergeCell ref="A64:B64"/>
    <mergeCell ref="A68:B68"/>
    <mergeCell ref="C68:D68"/>
    <mergeCell ref="A39:B40"/>
    <mergeCell ref="C39:D39"/>
    <mergeCell ref="C40:D40"/>
    <mergeCell ref="A30:B31"/>
    <mergeCell ref="A18:B19"/>
    <mergeCell ref="G36:J36"/>
    <mergeCell ref="A33:D33"/>
    <mergeCell ref="A28:B28"/>
    <mergeCell ref="C28:D28"/>
    <mergeCell ref="J30:J31"/>
    <mergeCell ref="I30:I31"/>
    <mergeCell ref="A29:B29"/>
    <mergeCell ref="C29:D29"/>
    <mergeCell ref="A25:B25"/>
    <mergeCell ref="E63:F63"/>
    <mergeCell ref="A54:I54"/>
    <mergeCell ref="A63:B63"/>
    <mergeCell ref="C63:D63"/>
    <mergeCell ref="A57:B57"/>
    <mergeCell ref="C57:D57"/>
    <mergeCell ref="A55:B56"/>
    <mergeCell ref="A59:B59"/>
    <mergeCell ref="C59:D59"/>
    <mergeCell ref="E59:F59"/>
    <mergeCell ref="J18:J19"/>
    <mergeCell ref="K18:K19"/>
    <mergeCell ref="I18:I19"/>
    <mergeCell ref="A41:B41"/>
    <mergeCell ref="C41:D41"/>
    <mergeCell ref="A38:B38"/>
    <mergeCell ref="C38:D38"/>
    <mergeCell ref="A32:B32"/>
    <mergeCell ref="A36:B37"/>
    <mergeCell ref="C36:D37"/>
    <mergeCell ref="H18:H19"/>
    <mergeCell ref="G18:G19"/>
    <mergeCell ref="H42:H43"/>
    <mergeCell ref="A3:L3"/>
    <mergeCell ref="A13:L14"/>
    <mergeCell ref="A22:B22"/>
    <mergeCell ref="C22:D22"/>
    <mergeCell ref="A21:B21"/>
    <mergeCell ref="C21:D21"/>
    <mergeCell ref="A20:B20"/>
    <mergeCell ref="C71:D71"/>
    <mergeCell ref="E72:F72"/>
    <mergeCell ref="A71:B71"/>
    <mergeCell ref="E69:F69"/>
    <mergeCell ref="E70:F70"/>
    <mergeCell ref="E71:F71"/>
    <mergeCell ref="C69:D69"/>
    <mergeCell ref="C70:D70"/>
    <mergeCell ref="A72:D72"/>
    <mergeCell ref="A69:B69"/>
    <mergeCell ref="A70:B70"/>
    <mergeCell ref="A42:B43"/>
    <mergeCell ref="C42:D42"/>
    <mergeCell ref="C43:D43"/>
    <mergeCell ref="A58:B58"/>
    <mergeCell ref="C58:D58"/>
    <mergeCell ref="C60:D60"/>
    <mergeCell ref="A62:B62"/>
    <mergeCell ref="C62:D62"/>
    <mergeCell ref="A66:B67"/>
    <mergeCell ref="G4:J4"/>
    <mergeCell ref="I5:I6"/>
    <mergeCell ref="O16:R16"/>
    <mergeCell ref="S16:V16"/>
    <mergeCell ref="W4:Z4"/>
    <mergeCell ref="S4:V4"/>
    <mergeCell ref="O4:R4"/>
    <mergeCell ref="K4:N4"/>
    <mergeCell ref="A16:B17"/>
    <mergeCell ref="C16:D17"/>
    <mergeCell ref="A15:D15"/>
    <mergeCell ref="A11:D11"/>
    <mergeCell ref="A10:B10"/>
    <mergeCell ref="C10:D10"/>
    <mergeCell ref="A9:B9"/>
    <mergeCell ref="C8:D8"/>
    <mergeCell ref="W16:Z16"/>
    <mergeCell ref="G16:J16"/>
    <mergeCell ref="K16:N16"/>
    <mergeCell ref="L18:L19"/>
    <mergeCell ref="M18:M19"/>
    <mergeCell ref="N18:N19"/>
    <mergeCell ref="O18:O19"/>
    <mergeCell ref="P18:P19"/>
    <mergeCell ref="Q18:Q19"/>
    <mergeCell ref="R18:R19"/>
    <mergeCell ref="X18:X19"/>
    <mergeCell ref="Y18:Y19"/>
    <mergeCell ref="Z18:Z19"/>
    <mergeCell ref="W18:W19"/>
    <mergeCell ref="S26:V26"/>
    <mergeCell ref="T18:T19"/>
    <mergeCell ref="U18:U19"/>
    <mergeCell ref="V18:V19"/>
    <mergeCell ref="S18:S19"/>
    <mergeCell ref="O26:R26"/>
    <mergeCell ref="W26:Z26"/>
    <mergeCell ref="S30:S31"/>
    <mergeCell ref="T30:T31"/>
    <mergeCell ref="U30:U31"/>
    <mergeCell ref="V30:V31"/>
    <mergeCell ref="W30:W31"/>
    <mergeCell ref="Y30:Y31"/>
    <mergeCell ref="Z30:Z31"/>
    <mergeCell ref="X30:X31"/>
    <mergeCell ref="H39:H40"/>
    <mergeCell ref="I39:I40"/>
    <mergeCell ref="J39:J40"/>
    <mergeCell ref="N39:N40"/>
    <mergeCell ref="K39:K40"/>
    <mergeCell ref="L39:L40"/>
    <mergeCell ref="M39:M40"/>
    <mergeCell ref="O36:R36"/>
    <mergeCell ref="H30:H31"/>
    <mergeCell ref="G30:G31"/>
    <mergeCell ref="E30:F31"/>
    <mergeCell ref="K30:K31"/>
    <mergeCell ref="L30:L31"/>
    <mergeCell ref="R30:R31"/>
    <mergeCell ref="Q30:Q31"/>
    <mergeCell ref="P30:P31"/>
    <mergeCell ref="O30:O31"/>
    <mergeCell ref="A26:B27"/>
    <mergeCell ref="C26:D27"/>
    <mergeCell ref="K36:N36"/>
    <mergeCell ref="G26:J26"/>
    <mergeCell ref="K26:N26"/>
    <mergeCell ref="M30:M31"/>
    <mergeCell ref="N30:N31"/>
    <mergeCell ref="E32:F32"/>
    <mergeCell ref="S36:V36"/>
    <mergeCell ref="W36:Z36"/>
    <mergeCell ref="A47:B48"/>
    <mergeCell ref="C47:D48"/>
    <mergeCell ref="G47:J47"/>
    <mergeCell ref="K47:N47"/>
    <mergeCell ref="O47:R47"/>
    <mergeCell ref="S47:V47"/>
    <mergeCell ref="W47:Z47"/>
    <mergeCell ref="O39:O40"/>
    <mergeCell ref="P39:P40"/>
    <mergeCell ref="U39:U40"/>
    <mergeCell ref="V39:V40"/>
    <mergeCell ref="W39:W40"/>
    <mergeCell ref="S39:S40"/>
    <mergeCell ref="T39:T40"/>
    <mergeCell ref="Q39:Q40"/>
    <mergeCell ref="R39:R40"/>
    <mergeCell ref="X39:X40"/>
    <mergeCell ref="Y39:Y40"/>
    <mergeCell ref="Z39:Z40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Y42:Y43"/>
    <mergeCell ref="Z42:Z43"/>
    <mergeCell ref="X42:X43"/>
    <mergeCell ref="G57:G63"/>
    <mergeCell ref="H57:H63"/>
    <mergeCell ref="I57:I63"/>
    <mergeCell ref="J57:J63"/>
    <mergeCell ref="K57:K63"/>
    <mergeCell ref="L57:L63"/>
    <mergeCell ref="M57:M63"/>
    <mergeCell ref="V57:V63"/>
    <mergeCell ref="K70:K71"/>
    <mergeCell ref="L70:L71"/>
    <mergeCell ref="M70:M71"/>
    <mergeCell ref="T57:T63"/>
    <mergeCell ref="P57:P63"/>
    <mergeCell ref="Q57:Q63"/>
    <mergeCell ref="R57:R63"/>
    <mergeCell ref="S57:S63"/>
    <mergeCell ref="N70:N71"/>
    <mergeCell ref="O70:O71"/>
    <mergeCell ref="G70:G71"/>
    <mergeCell ref="H70:H71"/>
    <mergeCell ref="I70:I71"/>
    <mergeCell ref="J70:J71"/>
    <mergeCell ref="P70:P71"/>
    <mergeCell ref="Q70:Q71"/>
    <mergeCell ref="O50:O51"/>
    <mergeCell ref="V70:V71"/>
    <mergeCell ref="S55:V55"/>
    <mergeCell ref="R70:R71"/>
    <mergeCell ref="S70:S71"/>
    <mergeCell ref="T70:T71"/>
    <mergeCell ref="U70:U71"/>
    <mergeCell ref="S50:S51"/>
    <mergeCell ref="W70:W71"/>
    <mergeCell ref="X70:X71"/>
    <mergeCell ref="W55:Z55"/>
    <mergeCell ref="Z70:Z71"/>
    <mergeCell ref="Y70:Y71"/>
    <mergeCell ref="Y57:Y63"/>
    <mergeCell ref="Z57:Z63"/>
    <mergeCell ref="W57:W63"/>
    <mergeCell ref="X57:X63"/>
    <mergeCell ref="Y50:Y51"/>
    <mergeCell ref="Z50:Z51"/>
    <mergeCell ref="V50:V51"/>
    <mergeCell ref="X50:X51"/>
    <mergeCell ref="W50:W51"/>
    <mergeCell ref="T50:T51"/>
    <mergeCell ref="U50:U51"/>
    <mergeCell ref="P50:P51"/>
    <mergeCell ref="G50:G51"/>
    <mergeCell ref="H50:H51"/>
    <mergeCell ref="I50:I51"/>
    <mergeCell ref="J50:J51"/>
    <mergeCell ref="O55:R55"/>
    <mergeCell ref="L50:L51"/>
    <mergeCell ref="U57:U63"/>
    <mergeCell ref="R50:R51"/>
    <mergeCell ref="M50:M51"/>
    <mergeCell ref="N50:N51"/>
    <mergeCell ref="Q50:Q51"/>
    <mergeCell ref="K55:N55"/>
    <mergeCell ref="J54:L54"/>
    <mergeCell ref="K50:K51"/>
    <mergeCell ref="O57:O63"/>
    <mergeCell ref="E7:F7"/>
    <mergeCell ref="E4:F4"/>
    <mergeCell ref="E5:F6"/>
    <mergeCell ref="E8:F8"/>
    <mergeCell ref="E9:F9"/>
    <mergeCell ref="E10:F10"/>
    <mergeCell ref="E11:F11"/>
    <mergeCell ref="E18:F19"/>
    <mergeCell ref="E20:F20"/>
    <mergeCell ref="E21:F21"/>
    <mergeCell ref="E22:F22"/>
    <mergeCell ref="E28:F28"/>
    <mergeCell ref="E55:F55"/>
    <mergeCell ref="A35:I35"/>
    <mergeCell ref="C32:D32"/>
    <mergeCell ref="E38:F38"/>
    <mergeCell ref="A49:B51"/>
    <mergeCell ref="C49:D51"/>
    <mergeCell ref="A23:D23"/>
    <mergeCell ref="E47:F48"/>
    <mergeCell ref="A46:L46"/>
    <mergeCell ref="I42:I43"/>
    <mergeCell ref="A52:D52"/>
    <mergeCell ref="L42:L43"/>
    <mergeCell ref="G42:G43"/>
    <mergeCell ref="J42:J43"/>
    <mergeCell ref="K42:K43"/>
    <mergeCell ref="E49:F51"/>
    <mergeCell ref="E39:F40"/>
    <mergeCell ref="E41:F41"/>
    <mergeCell ref="E42:F43"/>
    <mergeCell ref="D34:G34"/>
    <mergeCell ref="G39:G40"/>
    <mergeCell ref="E57:F57"/>
    <mergeCell ref="A61:B61"/>
    <mergeCell ref="C61:D61"/>
    <mergeCell ref="E61:F61"/>
    <mergeCell ref="A60:B60"/>
    <mergeCell ref="E62:F62"/>
    <mergeCell ref="E16:F17"/>
    <mergeCell ref="E26:F27"/>
    <mergeCell ref="E23:F23"/>
    <mergeCell ref="E33:F33"/>
    <mergeCell ref="E36:F37"/>
    <mergeCell ref="E44:F44"/>
    <mergeCell ref="E60:F60"/>
    <mergeCell ref="E58:F58"/>
    <mergeCell ref="E29:F29"/>
  </mergeCells>
  <printOptions/>
  <pageMargins left="0.984251968503937" right="0.3937007874015748" top="0.11811023622047245" bottom="0.31496062992125984" header="0.35433070866141736" footer="0"/>
  <pageSetup horizontalDpi="300" verticalDpi="300" orientation="landscape" paperSize="5" scale="64" r:id="rId1"/>
  <rowBreaks count="5" manualBreakCount="5">
    <brk id="11" max="255" man="1"/>
    <brk id="23" max="25" man="1"/>
    <brk id="33" max="255" man="1"/>
    <brk id="44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tabSelected="1" view="pageBreakPreview" zoomScale="60" zoomScaleNormal="50" workbookViewId="0" topLeftCell="A11">
      <selection activeCell="E14" sqref="E14:E16"/>
    </sheetView>
  </sheetViews>
  <sheetFormatPr defaultColWidth="11.421875" defaultRowHeight="12.75"/>
  <cols>
    <col min="1" max="1" width="33.28125" style="138" customWidth="1"/>
    <col min="2" max="2" width="41.421875" style="140" customWidth="1"/>
    <col min="3" max="3" width="30.140625" style="188" customWidth="1"/>
    <col min="4" max="4" width="34.7109375" style="140" customWidth="1"/>
    <col min="5" max="5" width="15.8515625" style="96" customWidth="1"/>
    <col min="6" max="6" width="14.7109375" style="96" customWidth="1"/>
    <col min="7" max="7" width="13.00390625" style="133" customWidth="1"/>
    <col min="8" max="9" width="14.7109375" style="96" customWidth="1"/>
    <col min="10" max="10" width="15.7109375" style="96" customWidth="1"/>
    <col min="11" max="12" width="15.421875" style="96" customWidth="1"/>
    <col min="13" max="13" width="14.28125" style="96" customWidth="1"/>
    <col min="14" max="14" width="15.8515625" style="96" customWidth="1"/>
    <col min="15" max="15" width="11.421875" style="96" customWidth="1"/>
    <col min="16" max="16" width="14.7109375" style="96" customWidth="1"/>
    <col min="17" max="17" width="15.00390625" style="96" customWidth="1"/>
    <col min="18" max="18" width="16.28125" style="96" customWidth="1"/>
    <col min="19" max="19" width="11.57421875" style="96" customWidth="1"/>
    <col min="20" max="20" width="16.421875" style="96" customWidth="1"/>
    <col min="21" max="21" width="16.28125" style="96" customWidth="1"/>
    <col min="22" max="22" width="16.7109375" style="96" customWidth="1"/>
    <col min="23" max="23" width="15.28125" style="96" customWidth="1"/>
    <col min="24" max="24" width="17.57421875" style="96" customWidth="1"/>
    <col min="25" max="16384" width="11.421875" style="135" customWidth="1"/>
  </cols>
  <sheetData>
    <row r="1" spans="1:24" s="141" customFormat="1" ht="26.25">
      <c r="A1" s="527" t="s">
        <v>95</v>
      </c>
      <c r="B1" s="528"/>
      <c r="C1" s="528"/>
      <c r="D1" s="528"/>
      <c r="E1" s="528"/>
      <c r="F1" s="528"/>
      <c r="G1" s="528"/>
      <c r="H1" s="528"/>
      <c r="I1" s="528"/>
      <c r="J1" s="528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</row>
    <row r="2" spans="1:24" ht="8.25" customHeight="1" thickBot="1">
      <c r="A2" s="136"/>
      <c r="B2" s="137"/>
      <c r="C2" s="186"/>
      <c r="D2" s="137"/>
      <c r="E2" s="98"/>
      <c r="F2" s="98"/>
      <c r="G2" s="99"/>
      <c r="H2" s="98"/>
      <c r="I2" s="98"/>
      <c r="J2" s="98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s="37" customFormat="1" ht="19.5" customHeight="1" thickTop="1">
      <c r="A3" s="507" t="s">
        <v>53</v>
      </c>
      <c r="B3" s="514" t="s">
        <v>54</v>
      </c>
      <c r="C3" s="516" t="s">
        <v>168</v>
      </c>
      <c r="D3" s="517"/>
      <c r="E3" s="488">
        <v>2004</v>
      </c>
      <c r="F3" s="489"/>
      <c r="G3" s="489"/>
      <c r="H3" s="490"/>
      <c r="I3" s="488">
        <v>2005</v>
      </c>
      <c r="J3" s="489"/>
      <c r="K3" s="489"/>
      <c r="L3" s="490"/>
      <c r="M3" s="488">
        <v>2006</v>
      </c>
      <c r="N3" s="489"/>
      <c r="O3" s="489"/>
      <c r="P3" s="490"/>
      <c r="Q3" s="488">
        <v>2007</v>
      </c>
      <c r="R3" s="489"/>
      <c r="S3" s="489"/>
      <c r="T3" s="490"/>
      <c r="U3" s="488" t="s">
        <v>117</v>
      </c>
      <c r="V3" s="489"/>
      <c r="W3" s="489"/>
      <c r="X3" s="490"/>
    </row>
    <row r="4" spans="1:34" s="139" customFormat="1" ht="39" thickBot="1">
      <c r="A4" s="508"/>
      <c r="B4" s="529"/>
      <c r="C4" s="518"/>
      <c r="D4" s="519"/>
      <c r="E4" s="100" t="s">
        <v>55</v>
      </c>
      <c r="F4" s="101" t="s">
        <v>47</v>
      </c>
      <c r="G4" s="102" t="s">
        <v>96</v>
      </c>
      <c r="H4" s="103" t="s">
        <v>97</v>
      </c>
      <c r="I4" s="104" t="s">
        <v>55</v>
      </c>
      <c r="J4" s="105" t="s">
        <v>47</v>
      </c>
      <c r="K4" s="105" t="s">
        <v>96</v>
      </c>
      <c r="L4" s="106" t="s">
        <v>97</v>
      </c>
      <c r="M4" s="104" t="s">
        <v>55</v>
      </c>
      <c r="N4" s="105" t="s">
        <v>47</v>
      </c>
      <c r="O4" s="105" t="s">
        <v>96</v>
      </c>
      <c r="P4" s="106" t="s">
        <v>97</v>
      </c>
      <c r="Q4" s="104" t="s">
        <v>55</v>
      </c>
      <c r="R4" s="105" t="s">
        <v>47</v>
      </c>
      <c r="S4" s="105" t="s">
        <v>96</v>
      </c>
      <c r="T4" s="106" t="s">
        <v>97</v>
      </c>
      <c r="U4" s="104" t="s">
        <v>55</v>
      </c>
      <c r="V4" s="105" t="s">
        <v>47</v>
      </c>
      <c r="W4" s="105" t="s">
        <v>96</v>
      </c>
      <c r="X4" s="106" t="s">
        <v>97</v>
      </c>
      <c r="Y4" s="138"/>
      <c r="Z4" s="138"/>
      <c r="AA4" s="138"/>
      <c r="AB4" s="138"/>
      <c r="AC4" s="138"/>
      <c r="AD4" s="138"/>
      <c r="AE4" s="138"/>
      <c r="AF4" s="138"/>
      <c r="AG4" s="138"/>
      <c r="AH4" s="138"/>
    </row>
    <row r="5" spans="1:24" s="139" customFormat="1" ht="129.75" customHeight="1" thickTop="1">
      <c r="A5" s="237" t="s">
        <v>13</v>
      </c>
      <c r="B5" s="235" t="s">
        <v>118</v>
      </c>
      <c r="C5" s="505" t="s">
        <v>203</v>
      </c>
      <c r="D5" s="530"/>
      <c r="E5" s="185">
        <f>240000-16000</f>
        <v>224000</v>
      </c>
      <c r="F5" s="108">
        <v>80000</v>
      </c>
      <c r="G5" s="109"/>
      <c r="H5" s="110">
        <f>SUM(E5:G5)</f>
        <v>304000</v>
      </c>
      <c r="I5" s="111">
        <v>100000</v>
      </c>
      <c r="J5" s="112">
        <f>+'[1]Hoja5'!$D$9*30%</f>
        <v>33271.585259693114</v>
      </c>
      <c r="K5" s="112"/>
      <c r="L5" s="113">
        <f aca="true" t="shared" si="0" ref="L5:L27">SUM(I5:K5)</f>
        <v>133271.58525969312</v>
      </c>
      <c r="M5" s="111">
        <v>50000</v>
      </c>
      <c r="N5" s="112">
        <f>+'[1]Hoja5'!$E$9*30%</f>
        <v>37456.051534930986</v>
      </c>
      <c r="O5" s="112"/>
      <c r="P5" s="113">
        <f>SUM(M5:O5)</f>
        <v>87456.05153493099</v>
      </c>
      <c r="Q5" s="111"/>
      <c r="R5" s="112">
        <f>+'[1]Hoja5'!$F$9*10%</f>
        <v>13234.473321329206</v>
      </c>
      <c r="S5" s="112"/>
      <c r="T5" s="113">
        <f>SUM(Q5:S5)</f>
        <v>13234.473321329206</v>
      </c>
      <c r="U5" s="111">
        <f aca="true" t="shared" si="1" ref="U5:W8">+E5+I5+M5+Q5</f>
        <v>374000</v>
      </c>
      <c r="V5" s="112">
        <f t="shared" si="1"/>
        <v>163962.1101159533</v>
      </c>
      <c r="W5" s="112">
        <f t="shared" si="1"/>
        <v>0</v>
      </c>
      <c r="X5" s="113">
        <f>SUM(U5:W5)</f>
        <v>537962.1101159533</v>
      </c>
    </row>
    <row r="6" spans="1:24" s="139" customFormat="1" ht="234" customHeight="1">
      <c r="A6" s="238" t="s">
        <v>119</v>
      </c>
      <c r="B6" s="236" t="s">
        <v>66</v>
      </c>
      <c r="C6" s="503" t="s">
        <v>23</v>
      </c>
      <c r="D6" s="504"/>
      <c r="E6" s="108">
        <v>75411</v>
      </c>
      <c r="F6" s="108"/>
      <c r="G6" s="109"/>
      <c r="H6" s="110">
        <f>SUM(E6:G6)</f>
        <v>75411</v>
      </c>
      <c r="I6" s="107">
        <v>112107</v>
      </c>
      <c r="J6" s="108"/>
      <c r="K6" s="108"/>
      <c r="L6" s="110">
        <f t="shared" si="0"/>
        <v>112107</v>
      </c>
      <c r="M6" s="107">
        <v>172231</v>
      </c>
      <c r="N6" s="108"/>
      <c r="O6" s="108"/>
      <c r="P6" s="110">
        <f>SUM(M6:O6)</f>
        <v>172231</v>
      </c>
      <c r="Q6" s="107">
        <f>+'[1]Hoja3'!$Y$36</f>
        <v>239723.865140551</v>
      </c>
      <c r="R6" s="108"/>
      <c r="S6" s="108"/>
      <c r="T6" s="110">
        <f>SUM(Q6:S6)</f>
        <v>239723.865140551</v>
      </c>
      <c r="U6" s="107">
        <f t="shared" si="1"/>
        <v>599472.865140551</v>
      </c>
      <c r="V6" s="108">
        <f t="shared" si="1"/>
        <v>0</v>
      </c>
      <c r="W6" s="108">
        <f t="shared" si="1"/>
        <v>0</v>
      </c>
      <c r="X6" s="110">
        <f>SUM(U6:W6)</f>
        <v>599472.865140551</v>
      </c>
    </row>
    <row r="7" spans="1:24" s="139" customFormat="1" ht="174.75" customHeight="1">
      <c r="A7" s="218" t="s">
        <v>98</v>
      </c>
      <c r="B7" s="217" t="s">
        <v>138</v>
      </c>
      <c r="C7" s="503" t="s">
        <v>24</v>
      </c>
      <c r="D7" s="504"/>
      <c r="E7" s="108">
        <v>53397</v>
      </c>
      <c r="F7" s="108">
        <v>156534</v>
      </c>
      <c r="G7" s="109"/>
      <c r="H7" s="110">
        <f>SUM(E7:G7)</f>
        <v>209931</v>
      </c>
      <c r="I7" s="107">
        <f>+'[1]Hoja5'!$J$10</f>
        <v>129125.25742336804</v>
      </c>
      <c r="J7" s="108">
        <f>+'[1]Hoja5'!$D$10</f>
        <v>155267.3978785679</v>
      </c>
      <c r="K7" s="108"/>
      <c r="L7" s="110">
        <f t="shared" si="0"/>
        <v>284392.6553019359</v>
      </c>
      <c r="M7" s="107">
        <f>+'[1]Hoja5'!$K$9</f>
        <v>170385.59575021977</v>
      </c>
      <c r="N7" s="108">
        <f>+'[1]Hoja5'!$E$10</f>
        <v>174794.9071630113</v>
      </c>
      <c r="O7" s="108"/>
      <c r="P7" s="110">
        <f>SUM(M7:O7)</f>
        <v>345180.50291323103</v>
      </c>
      <c r="Q7" s="107">
        <f>+'[1]Hoja5'!$L$9</f>
        <v>252366.1692542556</v>
      </c>
      <c r="R7" s="108">
        <f>+'[1]Hoja5'!$F$10</f>
        <v>185282.6264986089</v>
      </c>
      <c r="S7" s="108"/>
      <c r="T7" s="110">
        <f>SUM(Q7:S7)</f>
        <v>437648.7957528645</v>
      </c>
      <c r="U7" s="107">
        <f t="shared" si="1"/>
        <v>605274.0224278434</v>
      </c>
      <c r="V7" s="108">
        <f t="shared" si="1"/>
        <v>671878.9315401881</v>
      </c>
      <c r="W7" s="108">
        <f t="shared" si="1"/>
        <v>0</v>
      </c>
      <c r="X7" s="110">
        <f>SUM(U7:W7)</f>
        <v>1277152.9539680316</v>
      </c>
    </row>
    <row r="8" spans="1:24" s="139" customFormat="1" ht="117" customHeight="1" thickBot="1">
      <c r="A8" s="245" t="s">
        <v>99</v>
      </c>
      <c r="B8" s="246" t="s">
        <v>139</v>
      </c>
      <c r="C8" s="520" t="s">
        <v>70</v>
      </c>
      <c r="D8" s="521"/>
      <c r="E8" s="242">
        <v>33397</v>
      </c>
      <c r="F8" s="242">
        <f>+'[1]Hoja5'!$C$3</f>
        <v>144815.10428980002</v>
      </c>
      <c r="G8" s="243"/>
      <c r="H8" s="244">
        <f>SUM(E8:G8)</f>
        <v>178212.10428980002</v>
      </c>
      <c r="I8" s="241">
        <f>+'[1]Hoja5'!$J$3</f>
        <v>129125.25742336804</v>
      </c>
      <c r="J8" s="242">
        <f>+'[1]Hoja5'!$D$3</f>
        <v>155267.3978785679</v>
      </c>
      <c r="K8" s="242"/>
      <c r="L8" s="244">
        <f t="shared" si="0"/>
        <v>284392.6553019359</v>
      </c>
      <c r="M8" s="241">
        <f>+'[1]Hoja5'!$K$3</f>
        <v>170385.59575021977</v>
      </c>
      <c r="N8" s="242">
        <f>+'[1]Hoja5'!$E$3</f>
        <v>174794.9071630113</v>
      </c>
      <c r="O8" s="242"/>
      <c r="P8" s="244">
        <f>SUM(M7:O7)</f>
        <v>345180.50291323103</v>
      </c>
      <c r="Q8" s="241">
        <f>+'[1]Hoja5'!$L$3</f>
        <v>252366.1692542556</v>
      </c>
      <c r="R8" s="242">
        <f>+'[1]Hoja5'!$F$3</f>
        <v>185282.6264986089</v>
      </c>
      <c r="S8" s="242"/>
      <c r="T8" s="244">
        <f>SUM(Q8:S8)</f>
        <v>437648.7957528645</v>
      </c>
      <c r="U8" s="241">
        <f t="shared" si="1"/>
        <v>585274.0224278434</v>
      </c>
      <c r="V8" s="242">
        <f t="shared" si="1"/>
        <v>660160.0358299881</v>
      </c>
      <c r="W8" s="242">
        <f t="shared" si="1"/>
        <v>0</v>
      </c>
      <c r="X8" s="244">
        <f>SUM(U8:W8)</f>
        <v>1245434.0582578315</v>
      </c>
    </row>
    <row r="9" spans="1:24" s="139" customFormat="1" ht="41.25" customHeight="1">
      <c r="A9" s="247"/>
      <c r="B9" s="248"/>
      <c r="C9" s="249"/>
      <c r="D9" s="249"/>
      <c r="E9" s="250"/>
      <c r="F9" s="250"/>
      <c r="G9" s="251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</row>
    <row r="10" spans="1:24" s="139" customFormat="1" ht="26.25" customHeight="1">
      <c r="A10" s="511" t="s">
        <v>95</v>
      </c>
      <c r="B10" s="512"/>
      <c r="C10" s="512"/>
      <c r="D10" s="512"/>
      <c r="E10" s="512"/>
      <c r="F10" s="512"/>
      <c r="G10" s="512"/>
      <c r="H10" s="512"/>
      <c r="I10" s="512"/>
      <c r="J10" s="512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</row>
    <row r="11" spans="1:24" s="139" customFormat="1" ht="16.5" customHeight="1" thickBot="1">
      <c r="A11" s="136"/>
      <c r="B11" s="137"/>
      <c r="C11" s="186"/>
      <c r="D11" s="137"/>
      <c r="E11" s="98"/>
      <c r="F11" s="98"/>
      <c r="G11" s="99"/>
      <c r="H11" s="98"/>
      <c r="I11" s="98"/>
      <c r="J11" s="98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spans="1:24" s="139" customFormat="1" ht="18.75" customHeight="1" thickTop="1">
      <c r="A12" s="507" t="s">
        <v>53</v>
      </c>
      <c r="B12" s="514" t="s">
        <v>54</v>
      </c>
      <c r="C12" s="516" t="s">
        <v>168</v>
      </c>
      <c r="D12" s="517"/>
      <c r="E12" s="488">
        <v>2004</v>
      </c>
      <c r="F12" s="489"/>
      <c r="G12" s="489"/>
      <c r="H12" s="490"/>
      <c r="I12" s="488">
        <v>2005</v>
      </c>
      <c r="J12" s="489"/>
      <c r="K12" s="489"/>
      <c r="L12" s="490"/>
      <c r="M12" s="488">
        <v>2006</v>
      </c>
      <c r="N12" s="489"/>
      <c r="O12" s="489"/>
      <c r="P12" s="490"/>
      <c r="Q12" s="488">
        <v>2007</v>
      </c>
      <c r="R12" s="489"/>
      <c r="S12" s="489"/>
      <c r="T12" s="490"/>
      <c r="U12" s="488" t="s">
        <v>117</v>
      </c>
      <c r="V12" s="489"/>
      <c r="W12" s="489"/>
      <c r="X12" s="490"/>
    </row>
    <row r="13" spans="1:24" s="139" customFormat="1" ht="24.75" customHeight="1">
      <c r="A13" s="513"/>
      <c r="B13" s="515"/>
      <c r="C13" s="518"/>
      <c r="D13" s="519"/>
      <c r="E13" s="252" t="s">
        <v>55</v>
      </c>
      <c r="F13" s="253" t="s">
        <v>47</v>
      </c>
      <c r="G13" s="254" t="s">
        <v>96</v>
      </c>
      <c r="H13" s="255" t="s">
        <v>97</v>
      </c>
      <c r="I13" s="252" t="s">
        <v>55</v>
      </c>
      <c r="J13" s="253" t="s">
        <v>47</v>
      </c>
      <c r="K13" s="253" t="s">
        <v>96</v>
      </c>
      <c r="L13" s="255" t="s">
        <v>97</v>
      </c>
      <c r="M13" s="252" t="s">
        <v>55</v>
      </c>
      <c r="N13" s="253" t="s">
        <v>47</v>
      </c>
      <c r="O13" s="253" t="s">
        <v>96</v>
      </c>
      <c r="P13" s="255" t="s">
        <v>97</v>
      </c>
      <c r="Q13" s="252" t="s">
        <v>55</v>
      </c>
      <c r="R13" s="253" t="s">
        <v>47</v>
      </c>
      <c r="S13" s="253" t="s">
        <v>96</v>
      </c>
      <c r="T13" s="255" t="s">
        <v>97</v>
      </c>
      <c r="U13" s="252" t="s">
        <v>55</v>
      </c>
      <c r="V13" s="253" t="s">
        <v>47</v>
      </c>
      <c r="W13" s="253" t="s">
        <v>96</v>
      </c>
      <c r="X13" s="255" t="s">
        <v>97</v>
      </c>
    </row>
    <row r="14" spans="1:24" s="139" customFormat="1" ht="224.25" customHeight="1">
      <c r="A14" s="218" t="s">
        <v>136</v>
      </c>
      <c r="B14" s="217" t="s">
        <v>137</v>
      </c>
      <c r="C14" s="531" t="s">
        <v>0</v>
      </c>
      <c r="D14" s="531"/>
      <c r="E14" s="485">
        <v>517097</v>
      </c>
      <c r="F14" s="485">
        <v>1782196</v>
      </c>
      <c r="G14" s="532"/>
      <c r="H14" s="485">
        <f>SUM(E14:G14)</f>
        <v>2299293</v>
      </c>
      <c r="I14" s="485">
        <v>650000</v>
      </c>
      <c r="J14" s="485">
        <v>1869383</v>
      </c>
      <c r="K14" s="485"/>
      <c r="L14" s="485">
        <f t="shared" si="0"/>
        <v>2519383</v>
      </c>
      <c r="M14" s="485">
        <v>720000</v>
      </c>
      <c r="N14" s="485">
        <v>1981546</v>
      </c>
      <c r="O14" s="485"/>
      <c r="P14" s="485">
        <f>SUM(M14:O14)</f>
        <v>2701546</v>
      </c>
      <c r="Q14" s="485">
        <v>800000</v>
      </c>
      <c r="R14" s="485">
        <v>2100439</v>
      </c>
      <c r="S14" s="485"/>
      <c r="T14" s="485">
        <f>SUM(Q14:S14)</f>
        <v>2900439</v>
      </c>
      <c r="U14" s="485">
        <v>2687097</v>
      </c>
      <c r="V14" s="485">
        <v>7733565</v>
      </c>
      <c r="W14" s="485">
        <v>0</v>
      </c>
      <c r="X14" s="485">
        <f>SUM(U14:W14)</f>
        <v>10420662</v>
      </c>
    </row>
    <row r="15" spans="1:24" s="139" customFormat="1" ht="79.5" customHeight="1">
      <c r="A15" s="218" t="s">
        <v>14</v>
      </c>
      <c r="B15" s="217" t="s">
        <v>108</v>
      </c>
      <c r="C15" s="522" t="s">
        <v>25</v>
      </c>
      <c r="D15" s="522"/>
      <c r="E15" s="486"/>
      <c r="F15" s="486"/>
      <c r="G15" s="533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</row>
    <row r="16" spans="1:24" s="139" customFormat="1" ht="86.25" customHeight="1">
      <c r="A16" s="218" t="s">
        <v>140</v>
      </c>
      <c r="B16" s="217" t="s">
        <v>141</v>
      </c>
      <c r="C16" s="522" t="s">
        <v>1</v>
      </c>
      <c r="D16" s="522"/>
      <c r="E16" s="487"/>
      <c r="F16" s="487"/>
      <c r="G16" s="534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</row>
    <row r="17" spans="1:24" s="139" customFormat="1" ht="317.25" customHeight="1">
      <c r="A17" s="114" t="s">
        <v>147</v>
      </c>
      <c r="B17" s="95" t="s">
        <v>148</v>
      </c>
      <c r="C17" s="505" t="s">
        <v>26</v>
      </c>
      <c r="D17" s="506"/>
      <c r="E17" s="107">
        <v>357720</v>
      </c>
      <c r="F17" s="108">
        <f>+'[1]Hoja5'!$C$13</f>
        <v>413757.440828</v>
      </c>
      <c r="G17" s="109"/>
      <c r="H17" s="110">
        <f aca="true" t="shared" si="2" ref="H17:H27">SUM(E17:G17)</f>
        <v>771477.440828</v>
      </c>
      <c r="I17" s="107">
        <f>+'[1]Hoja3'!$K$46*0.7</f>
        <v>475119.9665729281</v>
      </c>
      <c r="J17" s="108">
        <f>+'[1]Hoja5'!$D$13</f>
        <v>443621.1367959082</v>
      </c>
      <c r="K17" s="108"/>
      <c r="L17" s="110">
        <f t="shared" si="0"/>
        <v>918741.1033688363</v>
      </c>
      <c r="M17" s="107">
        <f>+'[1]Hoja3'!$R$46*0.7</f>
        <v>497796.8908649043</v>
      </c>
      <c r="N17" s="108">
        <f>+'[1]Hoja5'!$E$13</f>
        <v>499414.0204657465</v>
      </c>
      <c r="O17" s="108"/>
      <c r="P17" s="110">
        <f aca="true" t="shared" si="3" ref="P17:P27">SUM(M17:O17)</f>
        <v>997210.9113306508</v>
      </c>
      <c r="Q17" s="107">
        <f>+'[1]Hoja3'!$Y$46*0.7</f>
        <v>536981.4579148341</v>
      </c>
      <c r="R17" s="108">
        <f>+'[1]Hoja5'!$F$13</f>
        <v>529378.9328531682</v>
      </c>
      <c r="S17" s="108"/>
      <c r="T17" s="110">
        <f>SUM(Q17:S17)</f>
        <v>1066360.3907680023</v>
      </c>
      <c r="U17" s="107">
        <f>+E17+I17+M17+Q17</f>
        <v>1867618.3153526664</v>
      </c>
      <c r="V17" s="108">
        <f>+F17+J17+N17+R17</f>
        <v>1886171.5309428228</v>
      </c>
      <c r="W17" s="108">
        <f>+G17+K17+O17+S17</f>
        <v>0</v>
      </c>
      <c r="X17" s="110">
        <f>SUM(U17:W17)</f>
        <v>3753789.846295489</v>
      </c>
    </row>
    <row r="18" spans="1:24" s="139" customFormat="1" ht="34.5" customHeight="1">
      <c r="A18" s="228" t="s">
        <v>69</v>
      </c>
      <c r="B18" s="220"/>
      <c r="C18" s="256"/>
      <c r="D18" s="256"/>
      <c r="E18" s="214"/>
      <c r="F18" s="214"/>
      <c r="G18" s="221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</row>
    <row r="19" spans="1:24" s="139" customFormat="1" ht="34.5" customHeight="1">
      <c r="A19" s="511" t="s">
        <v>95</v>
      </c>
      <c r="B19" s="512"/>
      <c r="C19" s="512"/>
      <c r="D19" s="512"/>
      <c r="E19" s="512"/>
      <c r="F19" s="512"/>
      <c r="G19" s="512"/>
      <c r="H19" s="512"/>
      <c r="I19" s="512"/>
      <c r="J19" s="512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</row>
    <row r="20" spans="1:24" s="139" customFormat="1" ht="6.75" customHeight="1" thickBot="1">
      <c r="A20" s="136"/>
      <c r="B20" s="137"/>
      <c r="C20" s="186"/>
      <c r="D20" s="137"/>
      <c r="E20" s="98"/>
      <c r="F20" s="98"/>
      <c r="G20" s="99"/>
      <c r="H20" s="98"/>
      <c r="I20" s="98"/>
      <c r="J20" s="98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s="139" customFormat="1" ht="27" customHeight="1" thickTop="1">
      <c r="A21" s="507" t="s">
        <v>53</v>
      </c>
      <c r="B21" s="514" t="s">
        <v>54</v>
      </c>
      <c r="C21" s="516" t="s">
        <v>168</v>
      </c>
      <c r="D21" s="517"/>
      <c r="E21" s="488">
        <v>2004</v>
      </c>
      <c r="F21" s="489"/>
      <c r="G21" s="489"/>
      <c r="H21" s="490"/>
      <c r="I21" s="488">
        <v>2005</v>
      </c>
      <c r="J21" s="489"/>
      <c r="K21" s="489"/>
      <c r="L21" s="490"/>
      <c r="M21" s="488">
        <v>2006</v>
      </c>
      <c r="N21" s="489"/>
      <c r="O21" s="489"/>
      <c r="P21" s="490"/>
      <c r="Q21" s="488">
        <v>2007</v>
      </c>
      <c r="R21" s="489"/>
      <c r="S21" s="489"/>
      <c r="T21" s="490"/>
      <c r="U21" s="488" t="s">
        <v>117</v>
      </c>
      <c r="V21" s="489"/>
      <c r="W21" s="489"/>
      <c r="X21" s="490"/>
    </row>
    <row r="22" spans="1:24" s="139" customFormat="1" ht="21" customHeight="1">
      <c r="A22" s="513"/>
      <c r="B22" s="515"/>
      <c r="C22" s="518"/>
      <c r="D22" s="519"/>
      <c r="E22" s="252" t="s">
        <v>55</v>
      </c>
      <c r="F22" s="253" t="s">
        <v>47</v>
      </c>
      <c r="G22" s="254" t="s">
        <v>96</v>
      </c>
      <c r="H22" s="255" t="s">
        <v>97</v>
      </c>
      <c r="I22" s="252" t="s">
        <v>55</v>
      </c>
      <c r="J22" s="253" t="s">
        <v>47</v>
      </c>
      <c r="K22" s="253" t="s">
        <v>96</v>
      </c>
      <c r="L22" s="255" t="s">
        <v>97</v>
      </c>
      <c r="M22" s="252" t="s">
        <v>55</v>
      </c>
      <c r="N22" s="253" t="s">
        <v>47</v>
      </c>
      <c r="O22" s="253" t="s">
        <v>96</v>
      </c>
      <c r="P22" s="255" t="s">
        <v>97</v>
      </c>
      <c r="Q22" s="252" t="s">
        <v>55</v>
      </c>
      <c r="R22" s="253" t="s">
        <v>47</v>
      </c>
      <c r="S22" s="253" t="s">
        <v>96</v>
      </c>
      <c r="T22" s="255" t="s">
        <v>97</v>
      </c>
      <c r="U22" s="252" t="s">
        <v>55</v>
      </c>
      <c r="V22" s="253" t="s">
        <v>47</v>
      </c>
      <c r="W22" s="253" t="s">
        <v>96</v>
      </c>
      <c r="X22" s="255" t="s">
        <v>97</v>
      </c>
    </row>
    <row r="23" spans="1:24" s="139" customFormat="1" ht="155.25" customHeight="1">
      <c r="A23" s="114" t="s">
        <v>40</v>
      </c>
      <c r="B23" s="95" t="s">
        <v>27</v>
      </c>
      <c r="C23" s="505" t="s">
        <v>28</v>
      </c>
      <c r="D23" s="506"/>
      <c r="E23" s="107">
        <f>+'[1]Hoja3'!$D$46*5%</f>
        <v>31265.722621034656</v>
      </c>
      <c r="F23" s="108"/>
      <c r="G23" s="109"/>
      <c r="H23" s="110">
        <f t="shared" si="2"/>
        <v>31265.722621034656</v>
      </c>
      <c r="I23" s="107"/>
      <c r="J23" s="108"/>
      <c r="K23" s="108"/>
      <c r="L23" s="110">
        <f t="shared" si="0"/>
        <v>0</v>
      </c>
      <c r="M23" s="107"/>
      <c r="N23" s="108">
        <f>+'[1]Hoja5'!$E$9*30%</f>
        <v>37456.051534930986</v>
      </c>
      <c r="O23" s="108"/>
      <c r="P23" s="110">
        <f t="shared" si="3"/>
        <v>37456.051534930986</v>
      </c>
      <c r="Q23" s="107"/>
      <c r="R23" s="108"/>
      <c r="S23" s="108"/>
      <c r="T23" s="110">
        <f>SUM(Q23:S23)</f>
        <v>0</v>
      </c>
      <c r="U23" s="107">
        <f aca="true" t="shared" si="4" ref="U23:W24">+E23+I23+M23+Q23</f>
        <v>31265.722621034656</v>
      </c>
      <c r="V23" s="108">
        <f t="shared" si="4"/>
        <v>37456.051534930986</v>
      </c>
      <c r="W23" s="108">
        <f t="shared" si="4"/>
        <v>0</v>
      </c>
      <c r="X23" s="110">
        <f>SUM(U23:W23)</f>
        <v>68721.77415596564</v>
      </c>
    </row>
    <row r="24" spans="1:24" s="139" customFormat="1" ht="111.75" customHeight="1">
      <c r="A24" s="114" t="s">
        <v>29</v>
      </c>
      <c r="B24" s="95" t="s">
        <v>67</v>
      </c>
      <c r="C24" s="538" t="s">
        <v>30</v>
      </c>
      <c r="D24" s="539"/>
      <c r="E24" s="107">
        <v>40000</v>
      </c>
      <c r="F24" s="108">
        <f>+'[1]Hoja5'!$C$9*20%</f>
        <v>20687.8720414</v>
      </c>
      <c r="G24" s="109">
        <v>0</v>
      </c>
      <c r="H24" s="110">
        <f t="shared" si="2"/>
        <v>60687.8720414</v>
      </c>
      <c r="I24" s="107"/>
      <c r="J24" s="108">
        <f>+'[1]Hoja5'!$D$9*30%</f>
        <v>33271.585259693114</v>
      </c>
      <c r="K24" s="108"/>
      <c r="L24" s="110">
        <f t="shared" si="0"/>
        <v>33271.585259693114</v>
      </c>
      <c r="M24" s="107"/>
      <c r="N24" s="108"/>
      <c r="O24" s="108"/>
      <c r="P24" s="110">
        <f t="shared" si="3"/>
        <v>0</v>
      </c>
      <c r="Q24" s="107"/>
      <c r="R24" s="108">
        <f>+'[1]Hoja5'!$F$9*40%</f>
        <v>52937.89328531682</v>
      </c>
      <c r="S24" s="108"/>
      <c r="T24" s="110">
        <f>SUM(Q24:S24)</f>
        <v>52937.89328531682</v>
      </c>
      <c r="U24" s="107">
        <f t="shared" si="4"/>
        <v>40000</v>
      </c>
      <c r="V24" s="108">
        <f t="shared" si="4"/>
        <v>106897.35058640994</v>
      </c>
      <c r="W24" s="108">
        <f t="shared" si="4"/>
        <v>0</v>
      </c>
      <c r="X24" s="110">
        <f>SUM(U24:W24)</f>
        <v>146897.35058640994</v>
      </c>
    </row>
    <row r="25" spans="1:24" s="139" customFormat="1" ht="107.25" customHeight="1">
      <c r="A25" s="222" t="s">
        <v>101</v>
      </c>
      <c r="B25" s="223" t="s">
        <v>68</v>
      </c>
      <c r="C25" s="538" t="s">
        <v>2</v>
      </c>
      <c r="D25" s="539"/>
      <c r="E25" s="224">
        <v>30000</v>
      </c>
      <c r="F25" s="225">
        <f>+'[1]Hoja5'!$C$8+'[1]Hoja5'!$C$7</f>
        <v>165502.9763312</v>
      </c>
      <c r="G25" s="226">
        <f>+'[1]Hoja3'!$B$62*0.25</f>
        <v>375000</v>
      </c>
      <c r="H25" s="227">
        <f t="shared" si="2"/>
        <v>570502.9763312</v>
      </c>
      <c r="I25" s="224"/>
      <c r="J25" s="225">
        <f>+'[1]Hoja5'!$D$8+'[1]Hoja5'!$D$7</f>
        <v>177448.4547183633</v>
      </c>
      <c r="K25" s="225">
        <f>+'[1]Hoja3'!$C$62*0.25</f>
        <v>200000</v>
      </c>
      <c r="L25" s="227">
        <f t="shared" si="0"/>
        <v>377448.4547183633</v>
      </c>
      <c r="M25" s="224"/>
      <c r="N25" s="225">
        <f>+'[1]Hoja5'!$E$8+'[1]Hoja5'!$E$7</f>
        <v>199765.6081862986</v>
      </c>
      <c r="O25" s="225"/>
      <c r="P25" s="227">
        <f t="shared" si="3"/>
        <v>199765.6081862986</v>
      </c>
      <c r="Q25" s="224"/>
      <c r="R25" s="225">
        <f>+'[1]Hoja5'!$F$8+'[1]Hoja5'!$F$7</f>
        <v>211751.5731412673</v>
      </c>
      <c r="S25" s="225"/>
      <c r="T25" s="227">
        <f>SUM(Q25:S25)</f>
        <v>211751.5731412673</v>
      </c>
      <c r="U25" s="224">
        <f aca="true" t="shared" si="5" ref="U25:W27">+E25+I25+M25+Q25</f>
        <v>30000</v>
      </c>
      <c r="V25" s="225">
        <f t="shared" si="5"/>
        <v>754468.6123771293</v>
      </c>
      <c r="W25" s="225">
        <f t="shared" si="5"/>
        <v>575000</v>
      </c>
      <c r="X25" s="227">
        <f>SUM(U25:W25)</f>
        <v>1359468.6123771293</v>
      </c>
    </row>
    <row r="26" spans="1:24" s="139" customFormat="1" ht="117" customHeight="1">
      <c r="A26" s="114" t="s">
        <v>100</v>
      </c>
      <c r="B26" s="95" t="s">
        <v>142</v>
      </c>
      <c r="C26" s="538" t="s">
        <v>31</v>
      </c>
      <c r="D26" s="539"/>
      <c r="E26" s="107">
        <f>+'[1]Hoja3'!$D$45</f>
        <v>3100000</v>
      </c>
      <c r="F26" s="108">
        <f>+'[1]Hoja5'!$C$9*30%</f>
        <v>31031.8080621</v>
      </c>
      <c r="G26" s="109">
        <v>3300000</v>
      </c>
      <c r="H26" s="110">
        <f t="shared" si="2"/>
        <v>6431031.8080621</v>
      </c>
      <c r="I26" s="107">
        <f>+'[1]Hoja3'!$K$45</f>
        <v>3350000</v>
      </c>
      <c r="J26" s="108">
        <f>+'[1]Hoja5'!$D$9*40%</f>
        <v>44362.113679590824</v>
      </c>
      <c r="K26" s="108">
        <v>3400000</v>
      </c>
      <c r="L26" s="110">
        <f t="shared" si="0"/>
        <v>6794362.113679591</v>
      </c>
      <c r="M26" s="107">
        <f>+'[1]Hoja3'!$R$45</f>
        <v>3700000</v>
      </c>
      <c r="N26" s="108">
        <f>+'[1]Hoja5'!$E$9*40%</f>
        <v>49941.40204657466</v>
      </c>
      <c r="O26" s="108"/>
      <c r="P26" s="110">
        <f t="shared" si="3"/>
        <v>3749941.4020465747</v>
      </c>
      <c r="Q26" s="107">
        <f>+'[1]Hoja3'!$Y$45</f>
        <v>4000000</v>
      </c>
      <c r="R26" s="108">
        <f>+'[1]Hoja5'!$F$9*50%</f>
        <v>66172.36660664603</v>
      </c>
      <c r="S26" s="108"/>
      <c r="T26" s="110">
        <f>SUM(Q26:S26)</f>
        <v>4066172.366606646</v>
      </c>
      <c r="U26" s="107">
        <f t="shared" si="5"/>
        <v>14150000</v>
      </c>
      <c r="V26" s="108">
        <f t="shared" si="5"/>
        <v>191507.6903949115</v>
      </c>
      <c r="W26" s="108">
        <f t="shared" si="5"/>
        <v>6700000</v>
      </c>
      <c r="X26" s="110">
        <f>SUM(U26:W26)</f>
        <v>21041507.690394912</v>
      </c>
    </row>
    <row r="27" spans="1:24" s="139" customFormat="1" ht="146.25" customHeight="1" thickBot="1">
      <c r="A27" s="215" t="s">
        <v>41</v>
      </c>
      <c r="B27" s="216" t="s">
        <v>143</v>
      </c>
      <c r="C27" s="538" t="s">
        <v>3</v>
      </c>
      <c r="D27" s="539"/>
      <c r="E27" s="107">
        <v>50000</v>
      </c>
      <c r="F27" s="108"/>
      <c r="G27" s="109"/>
      <c r="H27" s="110">
        <f t="shared" si="2"/>
        <v>50000</v>
      </c>
      <c r="I27" s="115">
        <v>150000</v>
      </c>
      <c r="J27" s="116"/>
      <c r="K27" s="116"/>
      <c r="L27" s="117">
        <f t="shared" si="0"/>
        <v>150000</v>
      </c>
      <c r="M27" s="115">
        <v>250000</v>
      </c>
      <c r="N27" s="116"/>
      <c r="O27" s="116"/>
      <c r="P27" s="117">
        <f t="shared" si="3"/>
        <v>250000</v>
      </c>
      <c r="Q27" s="115">
        <v>300000</v>
      </c>
      <c r="R27" s="116"/>
      <c r="S27" s="116"/>
      <c r="T27" s="117">
        <f>SUM(Q27:S27)</f>
        <v>300000</v>
      </c>
      <c r="U27" s="115">
        <f t="shared" si="5"/>
        <v>750000</v>
      </c>
      <c r="V27" s="116">
        <f t="shared" si="5"/>
        <v>0</v>
      </c>
      <c r="W27" s="116">
        <f t="shared" si="5"/>
        <v>0</v>
      </c>
      <c r="X27" s="117">
        <f>SUM(U27:W27)</f>
        <v>750000</v>
      </c>
    </row>
    <row r="28" spans="1:24" s="37" customFormat="1" ht="27.75" customHeight="1" thickBot="1" thickTop="1">
      <c r="A28" s="526" t="s">
        <v>56</v>
      </c>
      <c r="B28" s="526"/>
      <c r="C28" s="187"/>
      <c r="D28" s="184"/>
      <c r="E28" s="118">
        <f aca="true" t="shared" si="6" ref="E28:W28">SUM(E5:E27)</f>
        <v>4516295.722621035</v>
      </c>
      <c r="F28" s="119">
        <f t="shared" si="6"/>
        <v>2794525.2015525</v>
      </c>
      <c r="G28" s="120">
        <f t="shared" si="6"/>
        <v>3675000</v>
      </c>
      <c r="H28" s="121">
        <f t="shared" si="6"/>
        <v>10981812.924173534</v>
      </c>
      <c r="I28" s="122">
        <f t="shared" si="6"/>
        <v>5099487.481419664</v>
      </c>
      <c r="J28" s="123">
        <f t="shared" si="6"/>
        <v>2911892.6714703846</v>
      </c>
      <c r="K28" s="123">
        <f t="shared" si="6"/>
        <v>3600000</v>
      </c>
      <c r="L28" s="124">
        <f t="shared" si="6"/>
        <v>11607370.152890049</v>
      </c>
      <c r="M28" s="122">
        <f t="shared" si="6"/>
        <v>5734811.082365343</v>
      </c>
      <c r="N28" s="123">
        <f t="shared" si="6"/>
        <v>3155168.9480945044</v>
      </c>
      <c r="O28" s="123">
        <f t="shared" si="6"/>
        <v>0</v>
      </c>
      <c r="P28" s="124">
        <f t="shared" si="6"/>
        <v>8885968.03045985</v>
      </c>
      <c r="Q28" s="122">
        <f t="shared" si="6"/>
        <v>6385451.661563897</v>
      </c>
      <c r="R28" s="123">
        <f t="shared" si="6"/>
        <v>3344479.4922049455</v>
      </c>
      <c r="S28" s="123">
        <f t="shared" si="6"/>
        <v>0</v>
      </c>
      <c r="T28" s="124">
        <f t="shared" si="6"/>
        <v>9725917.153768841</v>
      </c>
      <c r="U28" s="122">
        <f t="shared" si="6"/>
        <v>21720001.94796994</v>
      </c>
      <c r="V28" s="123">
        <f t="shared" si="6"/>
        <v>12206067.313322334</v>
      </c>
      <c r="W28" s="123">
        <f t="shared" si="6"/>
        <v>7275000</v>
      </c>
      <c r="X28" s="124">
        <f>+X5+X6+X7+X8+X14+X15+X17+X23+X24+X25+X26+X27</f>
        <v>41201069.26129228</v>
      </c>
    </row>
    <row r="29" spans="1:10" ht="15.75" customHeight="1" thickTop="1">
      <c r="A29" s="523"/>
      <c r="B29" s="524"/>
      <c r="C29" s="524"/>
      <c r="D29" s="524"/>
      <c r="E29" s="524"/>
      <c r="F29" s="524"/>
      <c r="G29" s="524"/>
      <c r="H29" s="525"/>
      <c r="I29" s="125"/>
      <c r="J29" s="125"/>
    </row>
    <row r="30" spans="1:10" ht="24.75" customHeight="1" thickBot="1">
      <c r="A30" s="540" t="s">
        <v>35</v>
      </c>
      <c r="B30" s="541"/>
      <c r="C30" s="542"/>
      <c r="D30" s="542"/>
      <c r="E30" s="541"/>
      <c r="F30" s="541"/>
      <c r="G30" s="541"/>
      <c r="H30" s="543"/>
      <c r="I30" s="125"/>
      <c r="J30" s="125"/>
    </row>
    <row r="31" spans="1:24" s="42" customFormat="1" ht="19.5" customHeight="1" thickTop="1">
      <c r="A31" s="507" t="s">
        <v>53</v>
      </c>
      <c r="B31" s="509" t="s">
        <v>54</v>
      </c>
      <c r="C31" s="210"/>
      <c r="D31" s="211" t="s">
        <v>168</v>
      </c>
      <c r="E31" s="544">
        <v>2004</v>
      </c>
      <c r="F31" s="495"/>
      <c r="G31" s="495"/>
      <c r="H31" s="496"/>
      <c r="I31" s="494">
        <v>2005</v>
      </c>
      <c r="J31" s="495"/>
      <c r="K31" s="495"/>
      <c r="L31" s="496"/>
      <c r="M31" s="491">
        <v>2006</v>
      </c>
      <c r="N31" s="492"/>
      <c r="O31" s="492"/>
      <c r="P31" s="500"/>
      <c r="Q31" s="491">
        <v>2007</v>
      </c>
      <c r="R31" s="492"/>
      <c r="S31" s="492"/>
      <c r="T31" s="500"/>
      <c r="U31" s="491" t="s">
        <v>117</v>
      </c>
      <c r="V31" s="492"/>
      <c r="W31" s="492"/>
      <c r="X31" s="493"/>
    </row>
    <row r="32" spans="1:24" s="138" customFormat="1" ht="44.25" customHeight="1" thickBot="1">
      <c r="A32" s="508"/>
      <c r="B32" s="510"/>
      <c r="C32" s="212"/>
      <c r="D32" s="213"/>
      <c r="E32" s="209" t="s">
        <v>55</v>
      </c>
      <c r="F32" s="105" t="s">
        <v>47</v>
      </c>
      <c r="G32" s="126" t="s">
        <v>96</v>
      </c>
      <c r="H32" s="106" t="s">
        <v>97</v>
      </c>
      <c r="I32" s="104" t="s">
        <v>55</v>
      </c>
      <c r="J32" s="105" t="s">
        <v>47</v>
      </c>
      <c r="K32" s="105" t="s">
        <v>96</v>
      </c>
      <c r="L32" s="106" t="s">
        <v>97</v>
      </c>
      <c r="M32" s="104" t="s">
        <v>55</v>
      </c>
      <c r="N32" s="105" t="s">
        <v>47</v>
      </c>
      <c r="O32" s="105" t="s">
        <v>96</v>
      </c>
      <c r="P32" s="106" t="s">
        <v>97</v>
      </c>
      <c r="Q32" s="104" t="s">
        <v>55</v>
      </c>
      <c r="R32" s="105" t="s">
        <v>47</v>
      </c>
      <c r="S32" s="105" t="s">
        <v>96</v>
      </c>
      <c r="T32" s="106" t="s">
        <v>97</v>
      </c>
      <c r="U32" s="104" t="s">
        <v>55</v>
      </c>
      <c r="V32" s="105" t="s">
        <v>47</v>
      </c>
      <c r="W32" s="105" t="s">
        <v>96</v>
      </c>
      <c r="X32" s="127" t="s">
        <v>97</v>
      </c>
    </row>
    <row r="33" spans="1:24" ht="126.75" customHeight="1" thickTop="1">
      <c r="A33" s="240" t="s">
        <v>36</v>
      </c>
      <c r="B33" s="230" t="s">
        <v>144</v>
      </c>
      <c r="C33" s="501" t="s">
        <v>4</v>
      </c>
      <c r="D33" s="501"/>
      <c r="E33" s="128">
        <f>+'[1]Hoja5'!$I$8</f>
        <v>41698.28936684629</v>
      </c>
      <c r="F33" s="128"/>
      <c r="G33" s="129"/>
      <c r="H33" s="128">
        <f aca="true" t="shared" si="7" ref="H33:H38">SUM(E33:G33)</f>
        <v>41698.28936684629</v>
      </c>
      <c r="I33" s="128">
        <f>+'[1]Hoja5'!$J$8</f>
        <v>64562.62871168402</v>
      </c>
      <c r="J33" s="128"/>
      <c r="K33" s="128">
        <f>+'[1]Hoja3'!$C$62*0.75</f>
        <v>600000</v>
      </c>
      <c r="L33" s="128">
        <f>SUM(I33:K33)</f>
        <v>664562.628711684</v>
      </c>
      <c r="M33" s="128"/>
      <c r="N33" s="128"/>
      <c r="O33" s="128"/>
      <c r="P33" s="128">
        <f>SUM(M33:O33)</f>
        <v>0</v>
      </c>
      <c r="Q33" s="128"/>
      <c r="R33" s="128"/>
      <c r="S33" s="128"/>
      <c r="T33" s="128">
        <f>SUM(Q33:S33)</f>
        <v>0</v>
      </c>
      <c r="U33" s="128">
        <f aca="true" t="shared" si="8" ref="U33:U38">+E33+I33+M33+Q33</f>
        <v>106260.91807853032</v>
      </c>
      <c r="V33" s="128">
        <f aca="true" t="shared" si="9" ref="V33:W38">+F33+J33+N33+R33</f>
        <v>0</v>
      </c>
      <c r="W33" s="128">
        <f t="shared" si="9"/>
        <v>600000</v>
      </c>
      <c r="X33" s="128">
        <f aca="true" t="shared" si="10" ref="X33:X38">SUM(U33:W33)</f>
        <v>706260.9180785303</v>
      </c>
    </row>
    <row r="34" spans="1:24" ht="152.25" customHeight="1">
      <c r="A34" s="239" t="s">
        <v>109</v>
      </c>
      <c r="B34" s="229" t="s">
        <v>145</v>
      </c>
      <c r="C34" s="502" t="s">
        <v>32</v>
      </c>
      <c r="D34" s="502"/>
      <c r="E34" s="130">
        <v>30000</v>
      </c>
      <c r="F34" s="130"/>
      <c r="G34" s="131"/>
      <c r="H34" s="130">
        <f t="shared" si="7"/>
        <v>30000</v>
      </c>
      <c r="I34" s="130">
        <v>30000</v>
      </c>
      <c r="J34" s="130"/>
      <c r="K34" s="130"/>
      <c r="L34" s="130">
        <f>SUM(I34:K34)</f>
        <v>30000</v>
      </c>
      <c r="M34" s="130">
        <v>50000</v>
      </c>
      <c r="N34" s="130"/>
      <c r="O34" s="130"/>
      <c r="P34" s="130">
        <f>SUM(M34:O34)</f>
        <v>50000</v>
      </c>
      <c r="Q34" s="130">
        <v>60000</v>
      </c>
      <c r="R34" s="130"/>
      <c r="S34" s="130"/>
      <c r="T34" s="130">
        <f>SUM(Q34:S34)</f>
        <v>60000</v>
      </c>
      <c r="U34" s="130">
        <f t="shared" si="8"/>
        <v>170000</v>
      </c>
      <c r="V34" s="130">
        <f t="shared" si="9"/>
        <v>0</v>
      </c>
      <c r="W34" s="130">
        <f t="shared" si="9"/>
        <v>0</v>
      </c>
      <c r="X34" s="130">
        <f t="shared" si="10"/>
        <v>170000</v>
      </c>
    </row>
    <row r="35" spans="1:24" ht="175.5" customHeight="1">
      <c r="A35" s="239" t="s">
        <v>37</v>
      </c>
      <c r="B35" s="229" t="s">
        <v>110</v>
      </c>
      <c r="C35" s="502" t="s">
        <v>33</v>
      </c>
      <c r="D35" s="502"/>
      <c r="E35" s="130">
        <v>23397</v>
      </c>
      <c r="F35" s="130"/>
      <c r="G35" s="131">
        <f>+'[1]Hoja3'!$B$62*0.75</f>
        <v>1125000</v>
      </c>
      <c r="H35" s="130">
        <f t="shared" si="7"/>
        <v>1148397</v>
      </c>
      <c r="I35" s="130">
        <v>69125</v>
      </c>
      <c r="J35" s="130"/>
      <c r="K35" s="130"/>
      <c r="L35" s="130">
        <f>SUM(I35:K35)</f>
        <v>69125</v>
      </c>
      <c r="M35" s="130">
        <v>135578</v>
      </c>
      <c r="N35" s="130"/>
      <c r="O35" s="130"/>
      <c r="P35" s="130">
        <f>SUM(M35:O35)</f>
        <v>135578</v>
      </c>
      <c r="Q35" s="130">
        <v>258549</v>
      </c>
      <c r="R35" s="130"/>
      <c r="S35" s="130"/>
      <c r="T35" s="130">
        <f>SUM(Q35:S35)</f>
        <v>258549</v>
      </c>
      <c r="U35" s="130">
        <f t="shared" si="8"/>
        <v>486649</v>
      </c>
      <c r="V35" s="130">
        <f t="shared" si="9"/>
        <v>0</v>
      </c>
      <c r="W35" s="130">
        <f t="shared" si="9"/>
        <v>1125000</v>
      </c>
      <c r="X35" s="130">
        <f t="shared" si="10"/>
        <v>1611649</v>
      </c>
    </row>
    <row r="36" spans="1:24" ht="219.75" customHeight="1">
      <c r="A36" s="239" t="s">
        <v>112</v>
      </c>
      <c r="B36" s="219" t="s">
        <v>111</v>
      </c>
      <c r="C36" s="502" t="s">
        <v>71</v>
      </c>
      <c r="D36" s="502"/>
      <c r="E36" s="130"/>
      <c r="F36" s="130">
        <f>+'[1]Hoja3'!$E$52-100000</f>
        <v>377932.0009</v>
      </c>
      <c r="G36" s="131"/>
      <c r="H36" s="130">
        <f t="shared" si="7"/>
        <v>377932.0009</v>
      </c>
      <c r="I36" s="130"/>
      <c r="J36" s="130">
        <v>406608</v>
      </c>
      <c r="K36" s="130"/>
      <c r="L36" s="130">
        <f>SUM(I36:K36)</f>
        <v>406608</v>
      </c>
      <c r="M36" s="130">
        <v>20000</v>
      </c>
      <c r="N36" s="130">
        <v>437004</v>
      </c>
      <c r="O36" s="130"/>
      <c r="P36" s="130">
        <f>SUM(M36:O36)</f>
        <v>457004</v>
      </c>
      <c r="Q36" s="130"/>
      <c r="R36" s="130">
        <v>469225</v>
      </c>
      <c r="S36" s="130"/>
      <c r="T36" s="130">
        <f>SUM(Q36:S36)</f>
        <v>469225</v>
      </c>
      <c r="U36" s="130">
        <f t="shared" si="8"/>
        <v>20000</v>
      </c>
      <c r="V36" s="130">
        <f t="shared" si="9"/>
        <v>1690769.0008999999</v>
      </c>
      <c r="W36" s="130">
        <f t="shared" si="9"/>
        <v>0</v>
      </c>
      <c r="X36" s="130">
        <f t="shared" si="10"/>
        <v>1710769.0008999999</v>
      </c>
    </row>
    <row r="37" spans="1:24" ht="68.25" customHeight="1">
      <c r="A37" s="257" t="s">
        <v>113</v>
      </c>
      <c r="B37" s="231" t="s">
        <v>146</v>
      </c>
      <c r="C37" s="497" t="s">
        <v>34</v>
      </c>
      <c r="D37" s="498"/>
      <c r="E37" s="232">
        <v>30000</v>
      </c>
      <c r="F37" s="232"/>
      <c r="G37" s="233"/>
      <c r="H37" s="232">
        <f t="shared" si="7"/>
        <v>30000</v>
      </c>
      <c r="I37" s="232">
        <v>30000</v>
      </c>
      <c r="J37" s="232"/>
      <c r="K37" s="232"/>
      <c r="L37" s="232">
        <f>SUM(I37:K37)</f>
        <v>30000</v>
      </c>
      <c r="M37" s="232">
        <v>50000</v>
      </c>
      <c r="N37" s="232"/>
      <c r="O37" s="232"/>
      <c r="P37" s="232">
        <f>SUM(M37:O37)</f>
        <v>50000</v>
      </c>
      <c r="Q37" s="232">
        <v>60000</v>
      </c>
      <c r="R37" s="232"/>
      <c r="S37" s="232"/>
      <c r="T37" s="232">
        <f>SUM(Q37:S37)</f>
        <v>60000</v>
      </c>
      <c r="U37" s="232">
        <f t="shared" si="8"/>
        <v>170000</v>
      </c>
      <c r="V37" s="232">
        <f t="shared" si="9"/>
        <v>0</v>
      </c>
      <c r="W37" s="232">
        <f t="shared" si="9"/>
        <v>0</v>
      </c>
      <c r="X37" s="232">
        <f t="shared" si="10"/>
        <v>170000</v>
      </c>
    </row>
    <row r="38" spans="1:24" ht="64.5" customHeight="1">
      <c r="A38" s="239" t="s">
        <v>20</v>
      </c>
      <c r="B38" s="219" t="s">
        <v>21</v>
      </c>
      <c r="C38" s="499"/>
      <c r="D38" s="499"/>
      <c r="E38" s="130">
        <v>2000000</v>
      </c>
      <c r="F38" s="130"/>
      <c r="G38" s="131"/>
      <c r="H38" s="130">
        <f t="shared" si="7"/>
        <v>2000000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>
        <f t="shared" si="8"/>
        <v>2000000</v>
      </c>
      <c r="V38" s="130">
        <f t="shared" si="9"/>
        <v>0</v>
      </c>
      <c r="W38" s="130">
        <f t="shared" si="9"/>
        <v>0</v>
      </c>
      <c r="X38" s="130">
        <f t="shared" si="10"/>
        <v>2000000</v>
      </c>
    </row>
    <row r="39" spans="1:24" s="16" customFormat="1" ht="27.75" customHeight="1" thickBot="1">
      <c r="A39" s="535" t="s">
        <v>56</v>
      </c>
      <c r="B39" s="536"/>
      <c r="C39" s="536"/>
      <c r="D39" s="537"/>
      <c r="E39" s="258">
        <f>SUM(E33:E38)</f>
        <v>2125095.2893668464</v>
      </c>
      <c r="F39" s="258">
        <f aca="true" t="shared" si="11" ref="F39:V39">SUM(F33:F37)</f>
        <v>377932.0009</v>
      </c>
      <c r="G39" s="259">
        <f t="shared" si="11"/>
        <v>1125000</v>
      </c>
      <c r="H39" s="260">
        <f>SUM(H33:H38)</f>
        <v>3628027.2902668463</v>
      </c>
      <c r="I39" s="258">
        <f t="shared" si="11"/>
        <v>193687.62871168402</v>
      </c>
      <c r="J39" s="258">
        <f t="shared" si="11"/>
        <v>406608</v>
      </c>
      <c r="K39" s="258">
        <f t="shared" si="11"/>
        <v>600000</v>
      </c>
      <c r="L39" s="258">
        <f t="shared" si="11"/>
        <v>1200295.6287116841</v>
      </c>
      <c r="M39" s="258">
        <f t="shared" si="11"/>
        <v>255578</v>
      </c>
      <c r="N39" s="258">
        <f t="shared" si="11"/>
        <v>437004</v>
      </c>
      <c r="O39" s="258">
        <f t="shared" si="11"/>
        <v>0</v>
      </c>
      <c r="P39" s="258">
        <f t="shared" si="11"/>
        <v>692582</v>
      </c>
      <c r="Q39" s="258">
        <f t="shared" si="11"/>
        <v>378549</v>
      </c>
      <c r="R39" s="258">
        <f t="shared" si="11"/>
        <v>469225</v>
      </c>
      <c r="S39" s="258">
        <f t="shared" si="11"/>
        <v>0</v>
      </c>
      <c r="T39" s="258">
        <f t="shared" si="11"/>
        <v>847774</v>
      </c>
      <c r="U39" s="258">
        <f>SUM(U33:U38)</f>
        <v>2952909.9180785306</v>
      </c>
      <c r="V39" s="258">
        <f t="shared" si="11"/>
        <v>1690769.0008999999</v>
      </c>
      <c r="W39" s="258">
        <f>SUM(W33:W38)</f>
        <v>1725000</v>
      </c>
      <c r="X39" s="258">
        <f>SUM(X33:X38)</f>
        <v>6368678.918978531</v>
      </c>
    </row>
    <row r="40" ht="42.75" customHeight="1" thickTop="1"/>
    <row r="42" ht="12.75">
      <c r="F42" s="134"/>
    </row>
    <row r="43" spans="6:7" ht="12.75">
      <c r="F43" s="134"/>
      <c r="G43" s="96"/>
    </row>
  </sheetData>
  <mergeCells count="77">
    <mergeCell ref="M21:P21"/>
    <mergeCell ref="Q21:T21"/>
    <mergeCell ref="U21:X21"/>
    <mergeCell ref="A39:D39"/>
    <mergeCell ref="C24:D24"/>
    <mergeCell ref="C25:D25"/>
    <mergeCell ref="C26:D26"/>
    <mergeCell ref="C27:D27"/>
    <mergeCell ref="A30:H30"/>
    <mergeCell ref="E31:H31"/>
    <mergeCell ref="C14:D14"/>
    <mergeCell ref="A19:J19"/>
    <mergeCell ref="A21:A22"/>
    <mergeCell ref="B21:B22"/>
    <mergeCell ref="C21:D22"/>
    <mergeCell ref="E21:H21"/>
    <mergeCell ref="I21:L21"/>
    <mergeCell ref="C16:D16"/>
    <mergeCell ref="C17:D17"/>
    <mergeCell ref="G14:G16"/>
    <mergeCell ref="A1:J1"/>
    <mergeCell ref="A3:A4"/>
    <mergeCell ref="B3:B4"/>
    <mergeCell ref="C5:D5"/>
    <mergeCell ref="C3:D4"/>
    <mergeCell ref="C8:D8"/>
    <mergeCell ref="C15:D15"/>
    <mergeCell ref="U3:X3"/>
    <mergeCell ref="A29:H29"/>
    <mergeCell ref="A28:B28"/>
    <mergeCell ref="M3:P3"/>
    <mergeCell ref="Q3:T3"/>
    <mergeCell ref="E3:H3"/>
    <mergeCell ref="I3:L3"/>
    <mergeCell ref="C6:D6"/>
    <mergeCell ref="C7:D7"/>
    <mergeCell ref="C23:D23"/>
    <mergeCell ref="A31:A32"/>
    <mergeCell ref="B31:B32"/>
    <mergeCell ref="A10:J10"/>
    <mergeCell ref="A12:A13"/>
    <mergeCell ref="B12:B13"/>
    <mergeCell ref="C12:D13"/>
    <mergeCell ref="E14:E16"/>
    <mergeCell ref="F14:F16"/>
    <mergeCell ref="C37:D37"/>
    <mergeCell ref="C38:D38"/>
    <mergeCell ref="M31:P31"/>
    <mergeCell ref="Q31:T31"/>
    <mergeCell ref="C33:D33"/>
    <mergeCell ref="C34:D34"/>
    <mergeCell ref="C35:D35"/>
    <mergeCell ref="C36:D36"/>
    <mergeCell ref="U31:X31"/>
    <mergeCell ref="I31:L31"/>
    <mergeCell ref="I12:L12"/>
    <mergeCell ref="M12:P12"/>
    <mergeCell ref="Q12:T12"/>
    <mergeCell ref="U12:X12"/>
    <mergeCell ref="L14:L16"/>
    <mergeCell ref="P14:P16"/>
    <mergeCell ref="Q14:Q16"/>
    <mergeCell ref="R14:R16"/>
    <mergeCell ref="E12:H12"/>
    <mergeCell ref="M14:M16"/>
    <mergeCell ref="N14:N16"/>
    <mergeCell ref="O14:O16"/>
    <mergeCell ref="H14:H16"/>
    <mergeCell ref="I14:I16"/>
    <mergeCell ref="J14:J16"/>
    <mergeCell ref="K14:K16"/>
    <mergeCell ref="S14:S16"/>
    <mergeCell ref="T14:T16"/>
    <mergeCell ref="W14:W16"/>
    <mergeCell ref="X14:X16"/>
    <mergeCell ref="U14:U16"/>
    <mergeCell ref="V14:V16"/>
  </mergeCells>
  <printOptions/>
  <pageMargins left="0.984251968503937" right="0.1968503937007874" top="0.7480314960629921" bottom="0.03937007874015748" header="0" footer="0"/>
  <pageSetup horizontalDpi="300" verticalDpi="300" orientation="landscape" paperSize="5" scale="56" r:id="rId2"/>
  <rowBreaks count="3" manualBreakCount="3">
    <brk id="9" max="255" man="1"/>
    <brk id="18" max="255" man="1"/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"/>
  <sheetViews>
    <sheetView zoomScale="75" zoomScaleNormal="75" workbookViewId="0" topLeftCell="A7">
      <selection activeCell="G10" sqref="G10"/>
    </sheetView>
  </sheetViews>
  <sheetFormatPr defaultColWidth="11.421875" defaultRowHeight="12.75"/>
  <cols>
    <col min="1" max="2" width="11.421875" style="97" customWidth="1"/>
    <col min="3" max="3" width="3.8515625" style="97" customWidth="1"/>
    <col min="4" max="5" width="11.421875" style="132" customWidth="1"/>
    <col min="6" max="6" width="11.140625" style="132" customWidth="1"/>
    <col min="7" max="7" width="8.421875" style="132" customWidth="1"/>
    <col min="8" max="8" width="49.140625" style="132" customWidth="1"/>
    <col min="9" max="9" width="11.7109375" style="142" hidden="1" customWidth="1"/>
    <col min="10" max="10" width="14.28125" style="142" hidden="1" customWidth="1"/>
    <col min="11" max="11" width="9.421875" style="142" hidden="1" customWidth="1"/>
    <col min="12" max="12" width="10.28125" style="142" hidden="1" customWidth="1"/>
    <col min="13" max="13" width="11.7109375" style="142" hidden="1" customWidth="1"/>
    <col min="14" max="14" width="14.28125" style="142" hidden="1" customWidth="1"/>
    <col min="15" max="15" width="9.421875" style="142" hidden="1" customWidth="1"/>
    <col min="16" max="16" width="11.57421875" style="142" hidden="1" customWidth="1"/>
    <col min="17" max="17" width="11.7109375" style="142" hidden="1" customWidth="1"/>
    <col min="18" max="18" width="14.28125" style="142" hidden="1" customWidth="1"/>
    <col min="19" max="19" width="9.421875" style="142" hidden="1" customWidth="1"/>
    <col min="20" max="20" width="11.140625" style="142" hidden="1" customWidth="1"/>
    <col min="21" max="21" width="11.7109375" style="142" hidden="1" customWidth="1"/>
    <col min="22" max="22" width="14.28125" style="142" hidden="1" customWidth="1"/>
    <col min="23" max="23" width="9.421875" style="142" hidden="1" customWidth="1"/>
    <col min="24" max="24" width="11.57421875" style="142" hidden="1" customWidth="1"/>
    <col min="25" max="25" width="11.7109375" style="142" bestFit="1" customWidth="1"/>
    <col min="26" max="26" width="14.28125" style="142" bestFit="1" customWidth="1"/>
    <col min="27" max="27" width="9.421875" style="142" bestFit="1" customWidth="1"/>
    <col min="28" max="28" width="11.57421875" style="142" bestFit="1" customWidth="1"/>
    <col min="29" max="44" width="11.421875" style="142" customWidth="1"/>
    <col min="45" max="16384" width="11.421875" style="97" customWidth="1"/>
  </cols>
  <sheetData>
    <row r="1" spans="1:44" s="159" customFormat="1" ht="39" customHeight="1" thickBot="1">
      <c r="A1" s="558" t="s">
        <v>104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</row>
    <row r="2" spans="1:44" s="144" customFormat="1" ht="27" customHeight="1" thickTop="1">
      <c r="A2" s="507" t="s">
        <v>53</v>
      </c>
      <c r="B2" s="547"/>
      <c r="C2" s="547"/>
      <c r="D2" s="547" t="s">
        <v>54</v>
      </c>
      <c r="E2" s="547"/>
      <c r="F2" s="547"/>
      <c r="G2" s="516" t="s">
        <v>168</v>
      </c>
      <c r="H2" s="517"/>
      <c r="I2" s="570">
        <v>2004</v>
      </c>
      <c r="J2" s="571"/>
      <c r="K2" s="571"/>
      <c r="L2" s="572"/>
      <c r="M2" s="567">
        <v>2005</v>
      </c>
      <c r="N2" s="568"/>
      <c r="O2" s="568"/>
      <c r="P2" s="569"/>
      <c r="Q2" s="567">
        <v>2006</v>
      </c>
      <c r="R2" s="568"/>
      <c r="S2" s="568"/>
      <c r="T2" s="569"/>
      <c r="U2" s="567">
        <v>2007</v>
      </c>
      <c r="V2" s="568"/>
      <c r="W2" s="568"/>
      <c r="X2" s="569"/>
      <c r="Y2" s="488" t="s">
        <v>117</v>
      </c>
      <c r="Z2" s="489"/>
      <c r="AA2" s="489"/>
      <c r="AB2" s="490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</row>
    <row r="3" spans="1:44" s="42" customFormat="1" ht="35.25" customHeight="1" thickBot="1">
      <c r="A3" s="508"/>
      <c r="B3" s="548"/>
      <c r="C3" s="548"/>
      <c r="D3" s="548"/>
      <c r="E3" s="548"/>
      <c r="F3" s="548"/>
      <c r="G3" s="554"/>
      <c r="H3" s="555"/>
      <c r="I3" s="145" t="s">
        <v>46</v>
      </c>
      <c r="J3" s="146" t="s">
        <v>102</v>
      </c>
      <c r="K3" s="146" t="s">
        <v>48</v>
      </c>
      <c r="L3" s="147" t="s">
        <v>56</v>
      </c>
      <c r="M3" s="145" t="s">
        <v>46</v>
      </c>
      <c r="N3" s="146" t="s">
        <v>102</v>
      </c>
      <c r="O3" s="146" t="s">
        <v>48</v>
      </c>
      <c r="P3" s="147" t="s">
        <v>56</v>
      </c>
      <c r="Q3" s="145" t="s">
        <v>46</v>
      </c>
      <c r="R3" s="146" t="s">
        <v>102</v>
      </c>
      <c r="S3" s="146" t="s">
        <v>48</v>
      </c>
      <c r="T3" s="147" t="s">
        <v>56</v>
      </c>
      <c r="U3" s="145" t="s">
        <v>46</v>
      </c>
      <c r="V3" s="146" t="s">
        <v>102</v>
      </c>
      <c r="W3" s="146" t="s">
        <v>48</v>
      </c>
      <c r="X3" s="147" t="s">
        <v>56</v>
      </c>
      <c r="Y3" s="145" t="s">
        <v>46</v>
      </c>
      <c r="Z3" s="146" t="s">
        <v>102</v>
      </c>
      <c r="AA3" s="146" t="s">
        <v>48</v>
      </c>
      <c r="AB3" s="147" t="s">
        <v>56</v>
      </c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</row>
    <row r="4" spans="1:28" ht="259.5" customHeight="1" thickBot="1" thickTop="1">
      <c r="A4" s="560" t="s">
        <v>92</v>
      </c>
      <c r="B4" s="561"/>
      <c r="C4" s="561"/>
      <c r="D4" s="564" t="s">
        <v>116</v>
      </c>
      <c r="E4" s="564"/>
      <c r="F4" s="564"/>
      <c r="G4" s="549" t="s">
        <v>129</v>
      </c>
      <c r="H4" s="550"/>
      <c r="I4" s="149">
        <f>+'[1]Hoja5'!$I$6</f>
        <v>100075.89448043109</v>
      </c>
      <c r="J4" s="150">
        <f>+'[1]Hoja5'!$C$6*60%</f>
        <v>186190.84837259998</v>
      </c>
      <c r="K4" s="150"/>
      <c r="L4" s="151">
        <f>SUM(I4:K4)</f>
        <v>286266.7428530311</v>
      </c>
      <c r="M4" s="149">
        <f>+'[1]Hoja5'!$J$6</f>
        <v>154950.30890804162</v>
      </c>
      <c r="N4" s="150">
        <f>+'[1]Hoja5'!$D$6*60%</f>
        <v>199629.5115581587</v>
      </c>
      <c r="O4" s="150"/>
      <c r="P4" s="151">
        <f>SUM(M4:O4)</f>
        <v>354579.82046620036</v>
      </c>
      <c r="Q4" s="149">
        <f>+'[1]Hoja5'!$K$6</f>
        <v>204462.7149002637</v>
      </c>
      <c r="R4" s="150">
        <f>+'[1]Hoja5'!$E$6*60%</f>
        <v>224736.30920958592</v>
      </c>
      <c r="S4" s="150"/>
      <c r="T4" s="151">
        <f>SUM(Q4:S4)</f>
        <v>429199.0241098496</v>
      </c>
      <c r="U4" s="149">
        <f>+'[1]Hoja5'!$L$6</f>
        <v>302839.40310510667</v>
      </c>
      <c r="V4" s="150">
        <f>+'[1]Hoja5'!$F$6*60%</f>
        <v>238220.5197839257</v>
      </c>
      <c r="W4" s="150"/>
      <c r="X4" s="151">
        <f>SUM(U4:W4)</f>
        <v>541059.9228890324</v>
      </c>
      <c r="Y4" s="149">
        <f aca="true" t="shared" si="0" ref="Y4:AA7">+I4+M4+Q4+U4</f>
        <v>762328.321393843</v>
      </c>
      <c r="Z4" s="150">
        <f t="shared" si="0"/>
        <v>848777.1889242703</v>
      </c>
      <c r="AA4" s="150">
        <f t="shared" si="0"/>
        <v>0</v>
      </c>
      <c r="AB4" s="151">
        <f>SUM(Y4:AA4)</f>
        <v>1611105.5103181135</v>
      </c>
    </row>
    <row r="5" spans="1:28" ht="213.75" customHeight="1" thickBot="1" thickTop="1">
      <c r="A5" s="551" t="s">
        <v>93</v>
      </c>
      <c r="B5" s="552"/>
      <c r="C5" s="552"/>
      <c r="D5" s="553" t="s">
        <v>149</v>
      </c>
      <c r="E5" s="553"/>
      <c r="F5" s="553"/>
      <c r="G5" s="549" t="s">
        <v>17</v>
      </c>
      <c r="H5" s="550"/>
      <c r="I5" s="152">
        <f>+'[1]Hoja5'!$I$5</f>
        <v>66717.26298695405</v>
      </c>
      <c r="J5" s="153">
        <f>+'[1]Hoja5'!$C$5+'[1]Hoja5'!$C$6*10%</f>
        <v>196534.7843933</v>
      </c>
      <c r="K5" s="153"/>
      <c r="L5" s="154">
        <f>SUM(I5:K5)</f>
        <v>263252.0473802541</v>
      </c>
      <c r="M5" s="152">
        <f>+'[1]Hoja5'!$J$5</f>
        <v>103300.20593869442</v>
      </c>
      <c r="N5" s="153">
        <f>+'[1]Hoja5'!$D$5+'[1]Hoja5'!$D$6*10%</f>
        <v>210720.03997805642</v>
      </c>
      <c r="O5" s="153"/>
      <c r="P5" s="154">
        <f>SUM(M5:O5)</f>
        <v>314020.24591675086</v>
      </c>
      <c r="Q5" s="152">
        <f>+'[1]Hoja5'!$K$5</f>
        <v>136308.4766001758</v>
      </c>
      <c r="R5" s="153">
        <f>+'[1]Hoja5'!$E$5+'[1]Hoja5'!$E$6*10%</f>
        <v>237221.6597212296</v>
      </c>
      <c r="S5" s="153"/>
      <c r="T5" s="154">
        <f>SUM(Q5:S5)</f>
        <v>373530.1363214054</v>
      </c>
      <c r="U5" s="152">
        <f>+'[1]Hoja5'!$L$5</f>
        <v>201892.93540340447</v>
      </c>
      <c r="V5" s="153">
        <f>+'[1]Hoja5'!$F$5+'[1]Hoja5'!$F$6*10%</f>
        <v>251454.99310525492</v>
      </c>
      <c r="W5" s="153"/>
      <c r="X5" s="154">
        <f>SUM(U5:W5)</f>
        <v>453347.92850865936</v>
      </c>
      <c r="Y5" s="152">
        <f t="shared" si="0"/>
        <v>508218.8809292288</v>
      </c>
      <c r="Z5" s="153">
        <f t="shared" si="0"/>
        <v>895931.4771978409</v>
      </c>
      <c r="AA5" s="153">
        <f t="shared" si="0"/>
        <v>0</v>
      </c>
      <c r="AB5" s="154">
        <f>SUM(Y5:AA5)</f>
        <v>1404150.3581270697</v>
      </c>
    </row>
    <row r="6" spans="1:28" ht="143.25" customHeight="1" thickBot="1" thickTop="1">
      <c r="A6" s="551" t="s">
        <v>88</v>
      </c>
      <c r="B6" s="552"/>
      <c r="C6" s="552"/>
      <c r="D6" s="553" t="s">
        <v>150</v>
      </c>
      <c r="E6" s="553"/>
      <c r="F6" s="553"/>
      <c r="G6" s="549" t="s">
        <v>18</v>
      </c>
      <c r="H6" s="550"/>
      <c r="I6" s="152"/>
      <c r="J6" s="153">
        <f>+'[1]Hoja5'!$C$6*30%</f>
        <v>93095.42418629999</v>
      </c>
      <c r="K6" s="153"/>
      <c r="L6" s="154">
        <f>SUM(I6:K6)</f>
        <v>93095.42418629999</v>
      </c>
      <c r="M6" s="152"/>
      <c r="N6" s="153">
        <f>+'[1]Hoja5'!$D$6*30%</f>
        <v>99814.75577907935</v>
      </c>
      <c r="O6" s="153"/>
      <c r="P6" s="154">
        <f>SUM(M6:O6)</f>
        <v>99814.75577907935</v>
      </c>
      <c r="Q6" s="152"/>
      <c r="R6" s="153">
        <f>+'[1]Hoja5'!$E$6*30%</f>
        <v>112368.15460479296</v>
      </c>
      <c r="S6" s="153"/>
      <c r="T6" s="154">
        <f>SUM(Q6:S6)</f>
        <v>112368.15460479296</v>
      </c>
      <c r="U6" s="152"/>
      <c r="V6" s="153">
        <f>+'[1]Hoja5'!$F$6*30%</f>
        <v>119110.25989196285</v>
      </c>
      <c r="W6" s="153"/>
      <c r="X6" s="154">
        <f>SUM(U6:W6)</f>
        <v>119110.25989196285</v>
      </c>
      <c r="Y6" s="152">
        <f t="shared" si="0"/>
        <v>0</v>
      </c>
      <c r="Z6" s="153">
        <f t="shared" si="0"/>
        <v>424388.59446213517</v>
      </c>
      <c r="AA6" s="153">
        <f t="shared" si="0"/>
        <v>0</v>
      </c>
      <c r="AB6" s="154">
        <f>SUM(Y6:AA6)</f>
        <v>424388.59446213517</v>
      </c>
    </row>
    <row r="7" spans="1:28" ht="96" customHeight="1" thickBot="1" thickTop="1">
      <c r="A7" s="562" t="s">
        <v>89</v>
      </c>
      <c r="B7" s="563"/>
      <c r="C7" s="563"/>
      <c r="D7" s="559" t="s">
        <v>90</v>
      </c>
      <c r="E7" s="559"/>
      <c r="F7" s="559"/>
      <c r="G7" s="565" t="s">
        <v>19</v>
      </c>
      <c r="H7" s="566"/>
      <c r="I7" s="155">
        <f>+'[1]Hoja5'!$I$12</f>
        <v>83396.57873369259</v>
      </c>
      <c r="J7" s="156">
        <f>+'[1]Hoja5'!$C$12</f>
        <v>103439.360207</v>
      </c>
      <c r="K7" s="156"/>
      <c r="L7" s="157">
        <f>SUM(I7:K7)</f>
        <v>186835.93894069258</v>
      </c>
      <c r="M7" s="155">
        <f>+'[1]Hoja5'!$J$12</f>
        <v>129125.25742336804</v>
      </c>
      <c r="N7" s="156">
        <f>+'[1]Hoja5'!$D$12</f>
        <v>110905.28419897705</v>
      </c>
      <c r="O7" s="156"/>
      <c r="P7" s="157">
        <f>SUM(M7:O7)</f>
        <v>240030.5416223451</v>
      </c>
      <c r="Q7" s="155">
        <f>+'[1]Hoja5'!$K$12</f>
        <v>170385.59575021977</v>
      </c>
      <c r="R7" s="156">
        <f>+'[1]Hoja5'!$E$12</f>
        <v>124853.50511643663</v>
      </c>
      <c r="S7" s="156"/>
      <c r="T7" s="157">
        <f>SUM(Q7:S7)</f>
        <v>295239.1008666564</v>
      </c>
      <c r="U7" s="155">
        <f>+'[1]Hoja5'!$L$12</f>
        <v>252366.1692542556</v>
      </c>
      <c r="V7" s="156">
        <f>+'[1]Hoja5'!$F$12</f>
        <v>132344.73321329206</v>
      </c>
      <c r="W7" s="156"/>
      <c r="X7" s="157">
        <f>SUM(U7:W7)</f>
        <v>384710.9024675477</v>
      </c>
      <c r="Y7" s="155">
        <f t="shared" si="0"/>
        <v>635273.6011615361</v>
      </c>
      <c r="Z7" s="156">
        <f t="shared" si="0"/>
        <v>471542.8827357057</v>
      </c>
      <c r="AA7" s="156">
        <f t="shared" si="0"/>
        <v>0</v>
      </c>
      <c r="AB7" s="157">
        <f>SUM(Y7:AA7)</f>
        <v>1106816.4838972418</v>
      </c>
    </row>
    <row r="8" spans="1:44" s="42" customFormat="1" ht="14.25" thickBot="1" thickTop="1">
      <c r="A8" s="556" t="s">
        <v>56</v>
      </c>
      <c r="B8" s="557"/>
      <c r="C8" s="557"/>
      <c r="D8" s="557"/>
      <c r="E8" s="557"/>
      <c r="F8" s="557"/>
      <c r="G8" s="545"/>
      <c r="H8" s="546"/>
      <c r="I8" s="122">
        <f aca="true" t="shared" si="1" ref="I8:AB8">SUM(I4:I7)</f>
        <v>250189.73620107773</v>
      </c>
      <c r="J8" s="123">
        <f t="shared" si="1"/>
        <v>579260.4171592001</v>
      </c>
      <c r="K8" s="123">
        <f t="shared" si="1"/>
        <v>0</v>
      </c>
      <c r="L8" s="124">
        <f t="shared" si="1"/>
        <v>829450.1533602778</v>
      </c>
      <c r="M8" s="122">
        <f t="shared" si="1"/>
        <v>387375.7722701041</v>
      </c>
      <c r="N8" s="123">
        <f t="shared" si="1"/>
        <v>621069.5915142715</v>
      </c>
      <c r="O8" s="123">
        <f t="shared" si="1"/>
        <v>0</v>
      </c>
      <c r="P8" s="124">
        <f t="shared" si="1"/>
        <v>1008445.3637843757</v>
      </c>
      <c r="Q8" s="122">
        <f t="shared" si="1"/>
        <v>511156.7872506593</v>
      </c>
      <c r="R8" s="123">
        <f t="shared" si="1"/>
        <v>699179.6286520452</v>
      </c>
      <c r="S8" s="123">
        <f t="shared" si="1"/>
        <v>0</v>
      </c>
      <c r="T8" s="124">
        <f t="shared" si="1"/>
        <v>1210336.4159027045</v>
      </c>
      <c r="U8" s="122">
        <f t="shared" si="1"/>
        <v>757098.5077627667</v>
      </c>
      <c r="V8" s="123">
        <f t="shared" si="1"/>
        <v>741130.5059944355</v>
      </c>
      <c r="W8" s="123">
        <f t="shared" si="1"/>
        <v>0</v>
      </c>
      <c r="X8" s="124">
        <f t="shared" si="1"/>
        <v>1498229.0137572023</v>
      </c>
      <c r="Y8" s="122">
        <f t="shared" si="1"/>
        <v>1905820.803484608</v>
      </c>
      <c r="Z8" s="123">
        <f t="shared" si="1"/>
        <v>2640640.1433199523</v>
      </c>
      <c r="AA8" s="123">
        <f t="shared" si="1"/>
        <v>0</v>
      </c>
      <c r="AB8" s="124">
        <f t="shared" si="1"/>
        <v>4546460.946804561</v>
      </c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</row>
    <row r="9" ht="13.5" thickTop="1"/>
  </sheetData>
  <mergeCells count="23">
    <mergeCell ref="Y2:AB2"/>
    <mergeCell ref="U2:X2"/>
    <mergeCell ref="Q2:T2"/>
    <mergeCell ref="I2:L2"/>
    <mergeCell ref="M2:P2"/>
    <mergeCell ref="A1:L1"/>
    <mergeCell ref="D7:F7"/>
    <mergeCell ref="A6:C6"/>
    <mergeCell ref="A4:C4"/>
    <mergeCell ref="D6:F6"/>
    <mergeCell ref="A7:C7"/>
    <mergeCell ref="D4:F4"/>
    <mergeCell ref="G6:H6"/>
    <mergeCell ref="G7:H7"/>
    <mergeCell ref="G8:H8"/>
    <mergeCell ref="A2:C3"/>
    <mergeCell ref="D2:F3"/>
    <mergeCell ref="G4:H4"/>
    <mergeCell ref="G5:H5"/>
    <mergeCell ref="A5:C5"/>
    <mergeCell ref="D5:F5"/>
    <mergeCell ref="G2:H3"/>
    <mergeCell ref="A8:F8"/>
  </mergeCells>
  <printOptions/>
  <pageMargins left="0.984251968503937" right="0.3937007874015748" top="0.984251968503937" bottom="0.7874015748031497" header="0" footer="0"/>
  <pageSetup horizontalDpi="300" verticalDpi="300" orientation="landscape" paperSize="5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B13">
      <selection activeCell="A19" sqref="A19"/>
    </sheetView>
  </sheetViews>
  <sheetFormatPr defaultColWidth="11.421875" defaultRowHeight="12.75"/>
  <cols>
    <col min="1" max="1" width="50.140625" style="0" bestFit="1" customWidth="1"/>
    <col min="2" max="2" width="17.421875" style="0" customWidth="1"/>
    <col min="3" max="3" width="17.8515625" style="0" bestFit="1" customWidth="1"/>
    <col min="4" max="4" width="19.8515625" style="0" customWidth="1"/>
    <col min="5" max="5" width="16.7109375" style="0" customWidth="1"/>
    <col min="6" max="6" width="12.28125" style="0" bestFit="1" customWidth="1"/>
  </cols>
  <sheetData>
    <row r="1" spans="1:5" ht="15.75">
      <c r="A1" s="576" t="s">
        <v>134</v>
      </c>
      <c r="B1" s="576"/>
      <c r="C1" s="576"/>
      <c r="D1" s="576"/>
      <c r="E1" s="576"/>
    </row>
    <row r="2" spans="1:5" ht="15.75">
      <c r="A2" s="576" t="s">
        <v>135</v>
      </c>
      <c r="B2" s="576"/>
      <c r="C2" s="576"/>
      <c r="D2" s="576"/>
      <c r="E2" s="576"/>
    </row>
    <row r="3" spans="1:5" ht="15.75">
      <c r="A3" s="576" t="s">
        <v>152</v>
      </c>
      <c r="B3" s="576"/>
      <c r="C3" s="576"/>
      <c r="D3" s="576"/>
      <c r="E3" s="576"/>
    </row>
    <row r="5" spans="1:5" ht="15">
      <c r="A5" s="577" t="s">
        <v>153</v>
      </c>
      <c r="B5" s="577"/>
      <c r="C5" s="577"/>
      <c r="D5" s="577"/>
      <c r="E5" s="577"/>
    </row>
    <row r="6" spans="1:5" ht="12.75">
      <c r="A6" s="5"/>
      <c r="B6" s="5"/>
      <c r="C6" s="5"/>
      <c r="D6" s="5"/>
      <c r="E6" s="5"/>
    </row>
    <row r="7" spans="1:5" ht="13.5" thickBot="1">
      <c r="A7" s="5"/>
      <c r="B7" s="168"/>
      <c r="C7" s="168"/>
      <c r="D7" s="168"/>
      <c r="E7" s="168"/>
    </row>
    <row r="8" spans="1:5" ht="13.5" thickTop="1">
      <c r="A8" s="169"/>
      <c r="B8" s="573" t="s">
        <v>154</v>
      </c>
      <c r="C8" s="574"/>
      <c r="D8" s="574"/>
      <c r="E8" s="575"/>
    </row>
    <row r="9" spans="1:5" ht="13.5" thickBot="1">
      <c r="A9" s="170" t="s">
        <v>155</v>
      </c>
      <c r="B9" s="171" t="s">
        <v>156</v>
      </c>
      <c r="C9" s="172" t="s">
        <v>47</v>
      </c>
      <c r="D9" s="172" t="s">
        <v>48</v>
      </c>
      <c r="E9" s="172" t="s">
        <v>56</v>
      </c>
    </row>
    <row r="10" spans="1:5" ht="13.5" thickTop="1">
      <c r="A10" s="173"/>
      <c r="B10" s="173"/>
      <c r="C10" s="174"/>
      <c r="D10" s="174"/>
      <c r="E10" s="174"/>
    </row>
    <row r="11" spans="1:5" ht="12.75">
      <c r="A11" s="174"/>
      <c r="B11" s="174"/>
      <c r="C11" s="174"/>
      <c r="D11" s="174"/>
      <c r="E11" s="174"/>
    </row>
    <row r="12" spans="1:5" ht="12.75">
      <c r="A12" s="175" t="s">
        <v>157</v>
      </c>
      <c r="B12" s="176">
        <f>PARTICIPACION!W11</f>
        <v>3224692</v>
      </c>
      <c r="C12" s="176">
        <f>PARTICIPACION!X11</f>
        <v>1500160.035829988</v>
      </c>
      <c r="D12" s="176">
        <f>SUM('[2]Hoja1 (2)'!W11)</f>
        <v>0</v>
      </c>
      <c r="E12" s="176">
        <f>SUM(B12:D12)</f>
        <v>4724852.035829988</v>
      </c>
    </row>
    <row r="13" spans="1:5" ht="12.75">
      <c r="A13" s="175" t="s">
        <v>158</v>
      </c>
      <c r="B13" s="176"/>
      <c r="C13" s="176"/>
      <c r="D13" s="176"/>
      <c r="E13" s="176"/>
    </row>
    <row r="14" spans="1:5" ht="12.75">
      <c r="A14" s="174"/>
      <c r="B14" s="174"/>
      <c r="C14" s="174"/>
      <c r="D14" s="174"/>
      <c r="E14" s="174"/>
    </row>
    <row r="15" spans="1:5" ht="12.75">
      <c r="A15" s="175" t="s">
        <v>52</v>
      </c>
      <c r="B15" s="174"/>
      <c r="C15" s="174"/>
      <c r="D15" s="174"/>
      <c r="E15" s="174"/>
    </row>
    <row r="16" spans="1:5" ht="12.75">
      <c r="A16" s="174"/>
      <c r="B16" s="174"/>
      <c r="C16" s="174"/>
      <c r="D16" s="174"/>
      <c r="E16" s="174"/>
    </row>
    <row r="17" spans="1:5" ht="12.75">
      <c r="A17" s="174" t="s">
        <v>159</v>
      </c>
      <c r="B17" s="176">
        <f>PARTICIPACION!W23</f>
        <v>1143492</v>
      </c>
      <c r="C17" s="176">
        <f>PARTICIPACION!X23</f>
        <v>125614436.10488576</v>
      </c>
      <c r="D17" s="176">
        <f>PARTICIPACION!Y23</f>
        <v>0</v>
      </c>
      <c r="E17" s="176">
        <f>SUM(B17:D17)</f>
        <v>126757928.10488576</v>
      </c>
    </row>
    <row r="18" spans="1:5" ht="12.75">
      <c r="A18" s="174" t="s">
        <v>160</v>
      </c>
      <c r="B18" s="176">
        <f>PARTICIPACION!W33</f>
        <v>0</v>
      </c>
      <c r="C18" s="176">
        <f>PARTICIPACION!X33</f>
        <v>614255.6934147463</v>
      </c>
      <c r="D18" s="176">
        <f>PARTICIPACION!Y33</f>
        <v>0</v>
      </c>
      <c r="E18" s="176">
        <f>SUM(B18:D18)</f>
        <v>614255.6934147463</v>
      </c>
    </row>
    <row r="19" spans="1:5" ht="12.75">
      <c r="A19" s="174" t="s">
        <v>161</v>
      </c>
      <c r="B19" s="176">
        <f>PARTICIPACION!W72</f>
        <v>0</v>
      </c>
      <c r="C19" s="176">
        <f>PARTICIPACION!X72</f>
        <v>25678605.574593</v>
      </c>
      <c r="D19" s="176">
        <f>PARTICIPACION!Y72</f>
        <v>5088229</v>
      </c>
      <c r="E19" s="176">
        <f aca="true" t="shared" si="0" ref="E19:E31">SUM(B19:D19)</f>
        <v>30766834.574593</v>
      </c>
    </row>
    <row r="20" spans="1:5" ht="12.75">
      <c r="A20" s="174" t="s">
        <v>162</v>
      </c>
      <c r="B20" s="176">
        <f>PARTICIPACION!W44</f>
        <v>1000000</v>
      </c>
      <c r="C20" s="176">
        <f>PARTICIPACION!X44</f>
        <v>1556412.9763593157</v>
      </c>
      <c r="D20" s="176">
        <f>PARTICIPACION!Y44</f>
        <v>0</v>
      </c>
      <c r="E20" s="176">
        <f t="shared" si="0"/>
        <v>2556412.9763593157</v>
      </c>
    </row>
    <row r="21" spans="1:5" ht="12.75">
      <c r="A21" s="174" t="s">
        <v>163</v>
      </c>
      <c r="B21" s="176">
        <f>PARTICIPACION!W52</f>
        <v>1013215.9024720195</v>
      </c>
      <c r="C21" s="176">
        <f>PARTICIPACION!X52</f>
        <v>746742.8827357058</v>
      </c>
      <c r="D21" s="176">
        <f>PARTICIPACION!Y52</f>
        <v>0</v>
      </c>
      <c r="E21" s="176">
        <f t="shared" si="0"/>
        <v>1759958.7852077254</v>
      </c>
    </row>
    <row r="22" spans="1:5" ht="12.75">
      <c r="A22" s="174"/>
      <c r="B22" s="174"/>
      <c r="C22" s="174"/>
      <c r="D22" s="174"/>
      <c r="E22" s="176">
        <f t="shared" si="0"/>
        <v>0</v>
      </c>
    </row>
    <row r="23" spans="1:5" ht="12.75">
      <c r="A23" s="175" t="s">
        <v>164</v>
      </c>
      <c r="B23" s="174"/>
      <c r="C23" s="174"/>
      <c r="D23" s="174"/>
      <c r="E23" s="176">
        <f t="shared" si="0"/>
        <v>0</v>
      </c>
    </row>
    <row r="24" spans="1:5" ht="12.75">
      <c r="A24" s="175" t="s">
        <v>165</v>
      </c>
      <c r="B24" s="176">
        <f>'DESARROLLO ECON'!Y8</f>
        <v>1905820.803484608</v>
      </c>
      <c r="C24" s="176">
        <f>'DESARROLLO ECON'!Z8</f>
        <v>2640640.1433199523</v>
      </c>
      <c r="D24" s="176">
        <f>'DESARROLLO ECON'!AA8</f>
        <v>0</v>
      </c>
      <c r="E24" s="176">
        <f t="shared" si="0"/>
        <v>4546460.946804561</v>
      </c>
    </row>
    <row r="25" spans="1:5" ht="12.75">
      <c r="A25" s="174"/>
      <c r="B25" s="174"/>
      <c r="C25" s="174"/>
      <c r="D25" s="174"/>
      <c r="E25" s="176">
        <f t="shared" si="0"/>
        <v>0</v>
      </c>
    </row>
    <row r="26" spans="1:5" ht="12.75">
      <c r="A26" s="175" t="s">
        <v>95</v>
      </c>
      <c r="B26" s="176">
        <f>'DESARROLLO TERRI'!U28</f>
        <v>21720001.94796994</v>
      </c>
      <c r="C26" s="176">
        <f>'DESARROLLO TERRI'!V28</f>
        <v>12206067.313322334</v>
      </c>
      <c r="D26" s="176">
        <f>'DESARROLLO TERRI'!W28</f>
        <v>7275000</v>
      </c>
      <c r="E26" s="176">
        <f t="shared" si="0"/>
        <v>41201069.26129227</v>
      </c>
    </row>
    <row r="27" spans="1:5" ht="12.75">
      <c r="A27" s="174"/>
      <c r="B27" s="174"/>
      <c r="C27" s="174"/>
      <c r="D27" s="174"/>
      <c r="E27" s="176">
        <f t="shared" si="0"/>
        <v>0</v>
      </c>
    </row>
    <row r="28" spans="1:5" ht="12.75">
      <c r="A28" s="175" t="s">
        <v>166</v>
      </c>
      <c r="B28" s="174"/>
      <c r="C28" s="174"/>
      <c r="D28" s="174"/>
      <c r="E28" s="176">
        <f t="shared" si="0"/>
        <v>0</v>
      </c>
    </row>
    <row r="29" spans="1:5" ht="12.75">
      <c r="A29" s="175" t="s">
        <v>167</v>
      </c>
      <c r="B29" s="176">
        <f>'DESARROLLO TERRI'!U39</f>
        <v>2952909.9180785306</v>
      </c>
      <c r="C29" s="176">
        <f>'DESARROLLO TERRI'!V39</f>
        <v>1690769.0008999999</v>
      </c>
      <c r="D29" s="176">
        <f>'DESARROLLO TERRI'!W39</f>
        <v>1725000</v>
      </c>
      <c r="E29" s="176">
        <f t="shared" si="0"/>
        <v>6368678.918978531</v>
      </c>
    </row>
    <row r="30" spans="1:5" ht="12.75">
      <c r="A30" s="174"/>
      <c r="B30" s="174"/>
      <c r="C30" s="174"/>
      <c r="D30" s="174"/>
      <c r="E30" s="174"/>
    </row>
    <row r="31" spans="1:5" ht="12.75">
      <c r="A31" s="177"/>
      <c r="B31" s="178"/>
      <c r="C31" s="176"/>
      <c r="D31" s="178"/>
      <c r="E31" s="176">
        <f t="shared" si="0"/>
        <v>0</v>
      </c>
    </row>
    <row r="32" spans="1:5" ht="13.5" thickBot="1">
      <c r="A32" s="179"/>
      <c r="B32" s="178"/>
      <c r="C32" s="178"/>
      <c r="D32" s="178"/>
      <c r="E32" s="178"/>
    </row>
    <row r="33" spans="1:6" ht="14.25" thickBot="1" thickTop="1">
      <c r="A33" s="182" t="s">
        <v>56</v>
      </c>
      <c r="B33" s="180">
        <f>SUM(B12:B31)</f>
        <v>32960132.572005097</v>
      </c>
      <c r="C33" s="180">
        <f>SUM(C12:C31)</f>
        <v>172248089.7253608</v>
      </c>
      <c r="D33" s="180">
        <f>SUM(D12:D31)</f>
        <v>14088229</v>
      </c>
      <c r="E33" s="180">
        <f>SUM(E12:E29)+1</f>
        <v>219296452.2973659</v>
      </c>
      <c r="F33" s="38"/>
    </row>
    <row r="34" ht="13.5" thickTop="1"/>
  </sheetData>
  <mergeCells count="5">
    <mergeCell ref="B8:E8"/>
    <mergeCell ref="A1:E1"/>
    <mergeCell ref="A2:E2"/>
    <mergeCell ref="A3:E3"/>
    <mergeCell ref="A5:E5"/>
  </mergeCells>
  <printOptions horizontalCentered="1"/>
  <pageMargins left="1.4566929133858268" right="0.7874015748031497" top="0.984251968503937" bottom="0.98425196850393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dq</cp:lastModifiedBy>
  <cp:lastPrinted>2004-06-03T10:49:35Z</cp:lastPrinted>
  <dcterms:created xsi:type="dcterms:W3CDTF">2004-03-17T02:00:54Z</dcterms:created>
  <dcterms:modified xsi:type="dcterms:W3CDTF">2004-06-07T11:05:55Z</dcterms:modified>
  <cp:category/>
  <cp:version/>
  <cp:contentType/>
  <cp:contentStatus/>
</cp:coreProperties>
</file>