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416" windowWidth="6030" windowHeight="6930" firstSheet="1" activeTab="2"/>
  </bookViews>
  <sheets>
    <sheet name="Gráfico1" sheetId="1" r:id="rId1"/>
    <sheet name="INGRESOS" sheetId="2" r:id="rId2"/>
    <sheet name="Egresos" sheetId="3" r:id="rId3"/>
  </sheets>
  <definedNames/>
  <calcPr fullCalcOnLoad="1"/>
</workbook>
</file>

<file path=xl/sharedStrings.xml><?xml version="1.0" encoding="utf-8"?>
<sst xmlns="http://schemas.openxmlformats.org/spreadsheetml/2006/main" count="1452" uniqueCount="1208">
  <si>
    <t xml:space="preserve">          Regalías Carboníferas</t>
  </si>
  <si>
    <t xml:space="preserve">          Regalías por Gas Natural</t>
  </si>
  <si>
    <t xml:space="preserve">          Regalías Niquel</t>
  </si>
  <si>
    <t xml:space="preserve">          Oro Físico</t>
  </si>
  <si>
    <t xml:space="preserve">          Explotación Esmeraldas</t>
  </si>
  <si>
    <t xml:space="preserve">          Salinas</t>
  </si>
  <si>
    <t xml:space="preserve">          Otras Regalías</t>
  </si>
  <si>
    <t xml:space="preserve">  RECURSOS DEL CRÉDITO</t>
  </si>
  <si>
    <t xml:space="preserve">    Interno</t>
  </si>
  <si>
    <t xml:space="preserve">      Del Sector Financiero</t>
  </si>
  <si>
    <t xml:space="preserve">        Findeter</t>
  </si>
  <si>
    <t xml:space="preserve">        Fonade</t>
  </si>
  <si>
    <t xml:space="preserve">        Banca Comercial</t>
  </si>
  <si>
    <t xml:space="preserve">        Corporaciones Financieras</t>
  </si>
  <si>
    <t xml:space="preserve">        Institutos de Desarrollo</t>
  </si>
  <si>
    <t xml:space="preserve">        Para Financiar Ajuste</t>
  </si>
  <si>
    <t xml:space="preserve">        Otros Recursos del Sector Financiero</t>
  </si>
  <si>
    <t xml:space="preserve">      Del Sector No Financiero</t>
  </si>
  <si>
    <t xml:space="preserve">    Externo</t>
  </si>
  <si>
    <t xml:space="preserve">  RECURSOS DEL BALANCE</t>
  </si>
  <si>
    <t xml:space="preserve">    Saldo en Caja y Bancos a Diciembre 31 Vigencia Anterior</t>
  </si>
  <si>
    <t xml:space="preserve">    Recuperación de Cartera</t>
  </si>
  <si>
    <t xml:space="preserve">      Ingresos Tributarios</t>
  </si>
  <si>
    <t xml:space="preserve">      Prestamos Concedidos - Capital</t>
  </si>
  <si>
    <t xml:space="preserve">      Prestamos Concedidos - Intereses</t>
  </si>
  <si>
    <t xml:space="preserve">     Otras Recuperaciones</t>
  </si>
  <si>
    <t xml:space="preserve">    Reintegros</t>
  </si>
  <si>
    <t xml:space="preserve">    Cancelación de Reservas</t>
  </si>
  <si>
    <t xml:space="preserve">    Superávit Fiscal</t>
  </si>
  <si>
    <t xml:space="preserve">    Venta de Activos</t>
  </si>
  <si>
    <t xml:space="preserve">    Otros Recursos del Balance</t>
  </si>
  <si>
    <t xml:space="preserve">  RENDIMIENTO DE INVERSIONES FINANCIERAS</t>
  </si>
  <si>
    <t xml:space="preserve">  DONACIONES</t>
  </si>
  <si>
    <t xml:space="preserve">  EXCEDENTES FINANCIEROS</t>
  </si>
  <si>
    <t xml:space="preserve">    Excedente de Establecimientos Públicos</t>
  </si>
  <si>
    <t xml:space="preserve">    Utilidad de Empresas Industriales y Comerciales</t>
  </si>
  <si>
    <t xml:space="preserve">  APROVECHAMIENTOS</t>
  </si>
  <si>
    <t xml:space="preserve">          Fondo de Ahorro y Estabilización Petrolera -FAEP-</t>
  </si>
  <si>
    <t xml:space="preserve">  OTROS INGRESOS DE CAPITAL</t>
  </si>
  <si>
    <t xml:space="preserve">  TRANSFERENCIAS</t>
  </si>
  <si>
    <t xml:space="preserve">   Al Sector Público</t>
  </si>
  <si>
    <t xml:space="preserve">      Pagos de Previsión Social</t>
  </si>
  <si>
    <t xml:space="preserve">          Cesantías (pagos directos)</t>
  </si>
  <si>
    <t xml:space="preserve">          Pensiones (mesadas)</t>
  </si>
  <si>
    <t xml:space="preserve">          Otras Prestaciones Sociales</t>
  </si>
  <si>
    <t xml:space="preserve">      Pagos a Otras Entidades del Sector Público</t>
  </si>
  <si>
    <t xml:space="preserve">        Al Nivel Nacional</t>
  </si>
  <si>
    <t xml:space="preserve">        Departamento (Administración Central)</t>
  </si>
  <si>
    <t xml:space="preserve">        Distrito (Administración Central)</t>
  </si>
  <si>
    <t xml:space="preserve">        Municipios (Administración Central)</t>
  </si>
  <si>
    <t xml:space="preserve">        A Entidades Descentralizadas</t>
  </si>
  <si>
    <t xml:space="preserve">   Al Sector Privado</t>
  </si>
  <si>
    <t xml:space="preserve">      Pagos a Particulares y Organismos Privados</t>
  </si>
  <si>
    <t xml:space="preserve">      Pagos a Organismos Internacionales</t>
  </si>
  <si>
    <t xml:space="preserve">    Cuota de Auditaje</t>
  </si>
  <si>
    <t xml:space="preserve">   Indemnizaciones por Retiros de Personal</t>
  </si>
  <si>
    <t xml:space="preserve">   Sentencias y Conciliaciones</t>
  </si>
  <si>
    <t xml:space="preserve">   Otras Transferencias</t>
  </si>
  <si>
    <t xml:space="preserve">   DEFICIT FISCAL (FUNCIONAMIENTO) </t>
  </si>
  <si>
    <t xml:space="preserve">    DEFICIT FISCAL Vigencia Anterior </t>
  </si>
  <si>
    <t xml:space="preserve">    DEFICIT FISCAL Otras Vigencias </t>
  </si>
  <si>
    <t>GASTOS DE INVERSION</t>
  </si>
  <si>
    <t xml:space="preserve">  CON RECURSOS DEL SGP</t>
  </si>
  <si>
    <t xml:space="preserve">   EDUCACION</t>
  </si>
  <si>
    <t xml:space="preserve">      Construcción, reparación y manteniemiento de Planteles para Preescolar, Primaria y Secundaria</t>
  </si>
  <si>
    <t xml:space="preserve">      Preinversión: Estudios, Proyectos, Diseños y Asesorías</t>
  </si>
  <si>
    <t xml:space="preserve">      Pago Personal Docente</t>
  </si>
  <si>
    <t xml:space="preserve">      Aportes de Seguridad Social del Personal del Sector</t>
  </si>
  <si>
    <t xml:space="preserve">      Subsidio para el Acceso de la Población a Servicios Educativos</t>
  </si>
  <si>
    <t xml:space="preserve">      Otros Gastos Educación</t>
  </si>
  <si>
    <t xml:space="preserve">   SALUD</t>
  </si>
  <si>
    <t xml:space="preserve">      Construcción y mantenimiento de Hospitales y Puestos de Salud</t>
  </si>
  <si>
    <t xml:space="preserve">      Pagos de Personal del Sector</t>
  </si>
  <si>
    <t xml:space="preserve">      Subsidio para el Acceso de la Población a Servicios Medicos</t>
  </si>
  <si>
    <t xml:space="preserve">      Otros Gastos Salud</t>
  </si>
  <si>
    <t xml:space="preserve">  CON RECURSOS DE PARTICIPACIONES DE PROPOSITO GENERAL - SGP</t>
  </si>
  <si>
    <t xml:space="preserve">    Pagos de personal y aportes a la seguridad  social</t>
  </si>
  <si>
    <t xml:space="preserve">       Agua Potable y Saneamiento Básico</t>
  </si>
  <si>
    <t xml:space="preserve">       Infraestructura Vial </t>
  </si>
  <si>
    <t xml:space="preserve">       Vivienda</t>
  </si>
  <si>
    <t xml:space="preserve">       Educación</t>
  </si>
  <si>
    <t xml:space="preserve">       Educación Física, Deporte y Recreación</t>
  </si>
  <si>
    <t xml:space="preserve">       Salud</t>
  </si>
  <si>
    <t xml:space="preserve">       Cultura</t>
  </si>
  <si>
    <t xml:space="preserve">       Sector Energético</t>
  </si>
  <si>
    <t xml:space="preserve">       Desarrollo Agropecuario y Minero</t>
  </si>
  <si>
    <t xml:space="preserve">       Infraestructura Urbana</t>
  </si>
  <si>
    <t xml:space="preserve">       Desarrollo de la comunidad</t>
  </si>
  <si>
    <t xml:space="preserve">       Justicia, defensa y seguridad</t>
  </si>
  <si>
    <t xml:space="preserve">       Otros sectores</t>
  </si>
  <si>
    <t xml:space="preserve">    Subsidios para el acceso de la población al servicio</t>
  </si>
  <si>
    <t xml:space="preserve">        Sector Energético</t>
  </si>
  <si>
    <t xml:space="preserve">    Formación Bruta de capital  y otros (construcción, reparación, mantenimiento, asistencia técnica, preinversión, etc)</t>
  </si>
  <si>
    <t xml:space="preserve">       Desarrollo Institucional</t>
  </si>
  <si>
    <t xml:space="preserve">  CON RECURSOS DE REGALIAS Y FONDOS DE COFINANCIACIÓN</t>
  </si>
  <si>
    <t xml:space="preserve">       Otros</t>
  </si>
  <si>
    <t xml:space="preserve">  CON RECURSOS PROPIOS Y OTROS</t>
  </si>
  <si>
    <t xml:space="preserve">  DÉFICIT FISCAL (POR INVERSIÓN)</t>
  </si>
  <si>
    <t xml:space="preserve"> SERVICIO DE LA DEUDA</t>
  </si>
  <si>
    <t xml:space="preserve">    Deuda Interna</t>
  </si>
  <si>
    <t xml:space="preserve">      Amortización</t>
  </si>
  <si>
    <t xml:space="preserve">      Intereses</t>
  </si>
  <si>
    <t xml:space="preserve">      Comisiones y Otros</t>
  </si>
  <si>
    <t xml:space="preserve">      Bonos Pensionales</t>
  </si>
  <si>
    <t xml:space="preserve">    Deuda Externa</t>
  </si>
  <si>
    <t>CONCEPTO</t>
  </si>
  <si>
    <t>Escenario Financiero Año 2</t>
  </si>
  <si>
    <t>Escenario Financiero Año 3</t>
  </si>
  <si>
    <t>Escenario Financiero Año 4</t>
  </si>
  <si>
    <t>Escenario Financiero Año 5</t>
  </si>
  <si>
    <t>Escenario Financiero Año 6</t>
  </si>
  <si>
    <t>Escenario Financiero Año 7</t>
  </si>
  <si>
    <t>Escenario Financiero Año 8</t>
  </si>
  <si>
    <t>Escenario Financiero Año 9</t>
  </si>
  <si>
    <t>Escenario Financiero Año 10</t>
  </si>
  <si>
    <t>Escenario Financiero Año 11</t>
  </si>
  <si>
    <t>Escenario Financiero Año 12</t>
  </si>
  <si>
    <t>Escenario Financiero Año 13</t>
  </si>
  <si>
    <t>Escenario Financiero Año 14</t>
  </si>
  <si>
    <t>Escenario Financiero Año 15</t>
  </si>
  <si>
    <t>Inicial</t>
  </si>
  <si>
    <t>ORGANISMOS DE CONTROL</t>
  </si>
  <si>
    <t>Transferencias a Concejo</t>
  </si>
  <si>
    <t xml:space="preserve">Transferencias a Contraloría </t>
  </si>
  <si>
    <t>Transferencias a Personería</t>
  </si>
  <si>
    <t>CÓDIGO</t>
  </si>
  <si>
    <t xml:space="preserve">D E S C R I P C I Ó N </t>
  </si>
  <si>
    <t>ANAL VERTIICAL</t>
  </si>
  <si>
    <t>ANAL HORIZONTAL</t>
  </si>
  <si>
    <t>VAR %</t>
  </si>
  <si>
    <t>VAR ABS</t>
  </si>
  <si>
    <t>PRESUPUESTO DE RENTAS</t>
  </si>
  <si>
    <t>INGRESOS CORRIENTE</t>
  </si>
  <si>
    <t>1.1.1</t>
  </si>
  <si>
    <t>INGRESOS TRIBUTARIOS</t>
  </si>
  <si>
    <t>1.1.1.1</t>
  </si>
  <si>
    <t>INGRESOS DIRECTOS</t>
  </si>
  <si>
    <t>1.1.1.1.1</t>
  </si>
  <si>
    <t>IMPUESTO PREDIAL UNIFICADO</t>
  </si>
  <si>
    <t>1.1.1.1.1.01</t>
  </si>
  <si>
    <t xml:space="preserve"> Impuesto Predial Unificado V. Actual</t>
  </si>
  <si>
    <t>1.1.1.1.1.02</t>
  </si>
  <si>
    <t>* Intereses Predial Unificado V. Actual</t>
  </si>
  <si>
    <t>1.1.1.1.1.03</t>
  </si>
  <si>
    <t>* Impuesto Predial Unificado V. Anteriores</t>
  </si>
  <si>
    <t>1.1.1.1.1.04</t>
  </si>
  <si>
    <t>* Intereses Predial Unificado V. Anteriores</t>
  </si>
  <si>
    <t>1.1.1.1.2</t>
  </si>
  <si>
    <t>SOBRETASA AMBIENTAL</t>
  </si>
  <si>
    <t>1.1.1.1.2.01</t>
  </si>
  <si>
    <t>* Sobretasa Ambiental V. Actual</t>
  </si>
  <si>
    <t>1.1.1.1.2.02</t>
  </si>
  <si>
    <t>* Intereses Sobretasa Amb V. Actual</t>
  </si>
  <si>
    <t>1.1.1.1.2.03</t>
  </si>
  <si>
    <t>* Sobretasa Ambiental V. Anteriores</t>
  </si>
  <si>
    <t>1.1.1.1.2.04</t>
  </si>
  <si>
    <t>* Intereses Sobretasa Amb V. Anteriores</t>
  </si>
  <si>
    <t>1.1.1.1.3</t>
  </si>
  <si>
    <t>OTROS IMPUESTOS DIRECTOS</t>
  </si>
  <si>
    <t>1.1.1.2</t>
  </si>
  <si>
    <t>INGRESOS INDIRECTOS</t>
  </si>
  <si>
    <t>1.1.1.2.1</t>
  </si>
  <si>
    <t>INDUSTRIA Y COMERCIO</t>
  </si>
  <si>
    <t>1.1.1.2.1.01</t>
  </si>
  <si>
    <t>Vigencia actual</t>
  </si>
  <si>
    <t>1.1.1.2.1.02</t>
  </si>
  <si>
    <t>Intereses vigencia actual</t>
  </si>
  <si>
    <t>1.1.1.2.1.03</t>
  </si>
  <si>
    <t>Vigencia anterior</t>
  </si>
  <si>
    <t>1.1.1.2.1.04</t>
  </si>
  <si>
    <t>Intereses vigencia anterior</t>
  </si>
  <si>
    <t>1.1.1.2.1.05</t>
  </si>
  <si>
    <t>Multas y sanciones</t>
  </si>
  <si>
    <t>1.1.1.2.1.06</t>
  </si>
  <si>
    <t>Retencioón de Industria y Comercio</t>
  </si>
  <si>
    <t>1.1.1.2.2</t>
  </si>
  <si>
    <t xml:space="preserve">OTROS INGRESOS </t>
  </si>
  <si>
    <t>1.1.1.2.20.1</t>
  </si>
  <si>
    <t>Avisos y Tableros</t>
  </si>
  <si>
    <t>1.1.1.2.20.2</t>
  </si>
  <si>
    <t>Estampillas</t>
  </si>
  <si>
    <t>1.1.1.2.20.3</t>
  </si>
  <si>
    <t>Espectáculos públicos</t>
  </si>
  <si>
    <t>1.1.1.2.20.4</t>
  </si>
  <si>
    <t>Delineación urbana</t>
  </si>
  <si>
    <t>1.1.1.2.20.5</t>
  </si>
  <si>
    <t>Deguello de ganado menor</t>
  </si>
  <si>
    <t>1.1.1.2.20.6</t>
  </si>
  <si>
    <t>Ocupación de vías</t>
  </si>
  <si>
    <t>1.1.1.2.20.7</t>
  </si>
  <si>
    <t>Extracción de arena, cascajo y otros</t>
  </si>
  <si>
    <t>1.1.1.2.20.8</t>
  </si>
  <si>
    <t>Venta por el sistema de clubes</t>
  </si>
  <si>
    <t>1.1.1.2.20.9</t>
  </si>
  <si>
    <t>Registro de patentes, marcas y herretes</t>
  </si>
  <si>
    <t>1.1.1.2.2.10</t>
  </si>
  <si>
    <t>Rockolas</t>
  </si>
  <si>
    <t>1.1.1.2.2.11</t>
  </si>
  <si>
    <t>Servicio Zonas Azules</t>
  </si>
  <si>
    <t>1.1.1.2.3</t>
  </si>
  <si>
    <t>SOBRETASA A LA GASOLINA</t>
  </si>
  <si>
    <t>1.1.1.2.3.01</t>
  </si>
  <si>
    <t>Sobretasa gasolina motor extra y corriente 2.004</t>
  </si>
  <si>
    <t>1.1.1.2.3.02</t>
  </si>
  <si>
    <t>Sobretasa gasolina motor extra y corriente 2.003</t>
  </si>
  <si>
    <t>1.1.1.2.4</t>
  </si>
  <si>
    <t>ALUMBRADO PUBLICO</t>
  </si>
  <si>
    <t>1.1.1.2.4.01</t>
  </si>
  <si>
    <t>Impuesto alumbrado público</t>
  </si>
  <si>
    <t>1.1.1.2.4.03</t>
  </si>
  <si>
    <t>Otros ingresos</t>
  </si>
  <si>
    <t>1.1.1.2.5</t>
  </si>
  <si>
    <t>OTROS INGRESOS INDIRECTOS</t>
  </si>
  <si>
    <t>1.1.2</t>
  </si>
  <si>
    <t>INGRESOS NO TRIBUTARIOS</t>
  </si>
  <si>
    <t>1.1.2.1</t>
  </si>
  <si>
    <t>VENTAS DE BIENES Y SERVICIOS</t>
  </si>
  <si>
    <t>1.1.2.1.01</t>
  </si>
  <si>
    <t>Arrendamiento plaza de mercado</t>
  </si>
  <si>
    <t>1.1.2.1.02</t>
  </si>
  <si>
    <t>Expendio de carne</t>
  </si>
  <si>
    <t>1.1.2.1.03</t>
  </si>
  <si>
    <t>Gaceta oficial</t>
  </si>
  <si>
    <t>1.1.2.1.04</t>
  </si>
  <si>
    <t>Licencias de construcción</t>
  </si>
  <si>
    <t>1.1.2.1.06</t>
  </si>
  <si>
    <t>Participacion en plusvalia por acciones</t>
  </si>
  <si>
    <t>1.1.2.1.07</t>
  </si>
  <si>
    <t>Pesas y medidas</t>
  </si>
  <si>
    <t>1.1.2.1.08</t>
  </si>
  <si>
    <t>Venta de bienes y servicios</t>
  </si>
  <si>
    <t>1.1.2.1.09</t>
  </si>
  <si>
    <t>Servicio Plaza de mercado</t>
  </si>
  <si>
    <t>1.1.2.1.10</t>
  </si>
  <si>
    <t>Servicio de matadero</t>
  </si>
  <si>
    <t>1.1.2.1.11</t>
  </si>
  <si>
    <t>Venta de formularios y especies</t>
  </si>
  <si>
    <t>1.1.2.1.12</t>
  </si>
  <si>
    <t>Coso municipal</t>
  </si>
  <si>
    <t>1.1.2.1.13</t>
  </si>
  <si>
    <t>SANIDAD</t>
  </si>
  <si>
    <t>1.1.2.1.13.1</t>
  </si>
  <si>
    <t>Aprobación sanitaria de planos de construcción y urbanísticos</t>
  </si>
  <si>
    <t>1.1.2.1.13.2</t>
  </si>
  <si>
    <t>Certificación manipulador de alimentos</t>
  </si>
  <si>
    <t>1.1.2.1.13.3</t>
  </si>
  <si>
    <t xml:space="preserve">Certificación a establecimientos especiales Hoteles, </t>
  </si>
  <si>
    <t>1.1.2.1.13.4</t>
  </si>
  <si>
    <t>Certificado de fabricación, procesamiento, preparación de alimentos</t>
  </si>
  <si>
    <t>1.1.2.1.13.5</t>
  </si>
  <si>
    <t xml:space="preserve">Transporte, distribución, importación, exportación, </t>
  </si>
  <si>
    <t>1.1.2.1.13.6</t>
  </si>
  <si>
    <t>Control sanitario deguello ganado mayor y menor</t>
  </si>
  <si>
    <t>1.1.2.1.14</t>
  </si>
  <si>
    <t>CIRCULACION Y TRANSITO</t>
  </si>
  <si>
    <t>1.1.2.1.14.01</t>
  </si>
  <si>
    <t>Formulario único nacional FUN</t>
  </si>
  <si>
    <t>1.1.2.1.14.02</t>
  </si>
  <si>
    <t>Licencia de conducción</t>
  </si>
  <si>
    <t>1.1.2.1.14.03</t>
  </si>
  <si>
    <t>Licencia de tránsito</t>
  </si>
  <si>
    <t>1.1.2.1.14.04</t>
  </si>
  <si>
    <t>Placa única nacional de motocicletas y similares</t>
  </si>
  <si>
    <t>1.1.2.1.14.05</t>
  </si>
  <si>
    <t>Placa única de vehículos</t>
  </si>
  <si>
    <t>1.1.2.1.14.06</t>
  </si>
  <si>
    <t>Revisión tecnomecánica vehículos livianos</t>
  </si>
  <si>
    <t>1.1.2.1.14.07</t>
  </si>
  <si>
    <t>Revisión tecnomecánica vehículos pesados</t>
  </si>
  <si>
    <t>1.1.2.1.14.08</t>
  </si>
  <si>
    <t>Certificado de movilización (calcomanía)</t>
  </si>
  <si>
    <t>1.1.2.1.14.09</t>
  </si>
  <si>
    <t>Cambio de placa, reposición, duplicado de motos y similares</t>
  </si>
  <si>
    <t>1.1.2.1.14.10</t>
  </si>
  <si>
    <t>Cambio de placa, reposición, duplicado de autos y similares</t>
  </si>
  <si>
    <t>1.1.2.1.14.11</t>
  </si>
  <si>
    <t>Registro inicial matrícula automotores</t>
  </si>
  <si>
    <t>1.1.2.1.14.12</t>
  </si>
  <si>
    <t>Registro inicial matrícula motos y similares</t>
  </si>
  <si>
    <t>1.1.2.1.14.13</t>
  </si>
  <si>
    <t>Traspaso de vehículos automotores</t>
  </si>
  <si>
    <t>1.1.2.1.14.14</t>
  </si>
  <si>
    <t>Traspaso de motocicletas y similares</t>
  </si>
  <si>
    <t>1.1.2.1.14.15</t>
  </si>
  <si>
    <t>Cancelación matrícula de automotores</t>
  </si>
  <si>
    <t>1.1.2.1.14.16</t>
  </si>
  <si>
    <t>Cancelación matrícula motocicletas y similares</t>
  </si>
  <si>
    <t>1.1.2.1.14.17</t>
  </si>
  <si>
    <t>Cambio de color</t>
  </si>
  <si>
    <t>1.1.2.1.14.18</t>
  </si>
  <si>
    <t>Cambio de empresa</t>
  </si>
  <si>
    <t>1.1.2.1.14.19</t>
  </si>
  <si>
    <t>Cambio de servicio</t>
  </si>
  <si>
    <t>1.1.2.1.14.20</t>
  </si>
  <si>
    <t>Cambio de estructura conversión</t>
  </si>
  <si>
    <t>1.1.2.1.14.21</t>
  </si>
  <si>
    <t>Regrabación motor, chasis, serial</t>
  </si>
  <si>
    <t>1.1.2.1.14.22</t>
  </si>
  <si>
    <t>Certificado de tradición</t>
  </si>
  <si>
    <t>1.1.2.1.14.23</t>
  </si>
  <si>
    <t>Concepto técnico de accidente</t>
  </si>
  <si>
    <t>1.1.2.1.14.24</t>
  </si>
  <si>
    <t>Inscripción y cancelación de embargos y demandas</t>
  </si>
  <si>
    <t>1.1.2.1.14.25</t>
  </si>
  <si>
    <t>Inscripción y cancelación de reservas de dominio</t>
  </si>
  <si>
    <t>1.1.2.1.14.26</t>
  </si>
  <si>
    <t>Expedición de documentos y envíos para otros organismos</t>
  </si>
  <si>
    <t>1.1.2.1.14.27</t>
  </si>
  <si>
    <t>Expedición tarjetas de operación</t>
  </si>
  <si>
    <t>1.1.2.1.14.28</t>
  </si>
  <si>
    <t>Revisión certificada</t>
  </si>
  <si>
    <t>1.1.2.1.14.29</t>
  </si>
  <si>
    <t>Premisos especiales</t>
  </si>
  <si>
    <t>1.1.2.1.14.30</t>
  </si>
  <si>
    <t>Transformación cambio de carrocería</t>
  </si>
  <si>
    <t>1.1.2.1.14.31</t>
  </si>
  <si>
    <t>Reposición de equipos servicio público</t>
  </si>
  <si>
    <t>1.1.2.1.14.32</t>
  </si>
  <si>
    <t>Derechos de habilitación de empresas</t>
  </si>
  <si>
    <t>1.1.2.1.14.33</t>
  </si>
  <si>
    <t>Derechos de habilitación automotores servicio individual</t>
  </si>
  <si>
    <t>1.1.2.1.14.34</t>
  </si>
  <si>
    <t>Calcomanía tárifa servicio público urbano</t>
  </si>
  <si>
    <t>1.1.2.1.14.35</t>
  </si>
  <si>
    <t>Inscripción servitecas</t>
  </si>
  <si>
    <t>1.1.2.1.14.36</t>
  </si>
  <si>
    <t>Vidrios polarizados</t>
  </si>
  <si>
    <t>1.1.2.1.14.37</t>
  </si>
  <si>
    <t>Rodamiento</t>
  </si>
  <si>
    <t>1.1.2.1.15</t>
  </si>
  <si>
    <t>OTROS INGRESOS NO TRIBUTARIOS</t>
  </si>
  <si>
    <t>1.1.2.1.16</t>
  </si>
  <si>
    <t>MULTAS</t>
  </si>
  <si>
    <t>1.1.2.1.16.1</t>
  </si>
  <si>
    <t>De Policía</t>
  </si>
  <si>
    <t>1.1.2.1.16.2</t>
  </si>
  <si>
    <t>De transito</t>
  </si>
  <si>
    <t>1.1.2.1.16.3</t>
  </si>
  <si>
    <t>De rentas</t>
  </si>
  <si>
    <t>1.1.2.1.16.4</t>
  </si>
  <si>
    <t>De gobierno</t>
  </si>
  <si>
    <t>1.1.2.1.16.5</t>
  </si>
  <si>
    <t>Por infracciones urbanísticas (planeación)</t>
  </si>
  <si>
    <t>1.1.2.1.16.6</t>
  </si>
  <si>
    <t>Otras multas</t>
  </si>
  <si>
    <t>1.1.2.1.17</t>
  </si>
  <si>
    <t>RENTAS CONTRACTUALES</t>
  </si>
  <si>
    <t>1.1.2.1.17.1</t>
  </si>
  <si>
    <t>Arrendamientos inmuebles y muebles</t>
  </si>
  <si>
    <t>1.1.2.1.17.2</t>
  </si>
  <si>
    <t>Arrendamiento o alquiler de vehículos</t>
  </si>
  <si>
    <t>1.1.2.1.17.3</t>
  </si>
  <si>
    <t>Reintegros</t>
  </si>
  <si>
    <t>1.1.2.2</t>
  </si>
  <si>
    <t>TRANSFERENCIAS</t>
  </si>
  <si>
    <t>1.1.2.2.1</t>
  </si>
  <si>
    <t>SISTEMA GENERAL DE PARTICIPACIONES</t>
  </si>
  <si>
    <t>1.1.2.2.1.1</t>
  </si>
  <si>
    <t>ASIGNACIONES ESPECIALES</t>
  </si>
  <si>
    <t>1.1.2.2.1.1.01</t>
  </si>
  <si>
    <t>Alimentacion Escolar</t>
  </si>
  <si>
    <t>1.1.2.2.1.2</t>
  </si>
  <si>
    <t>DISTRIBUCION SECTORIAL</t>
  </si>
  <si>
    <t>1.1.2.2.1.2.1</t>
  </si>
  <si>
    <t>PARTICIPACION PARA LA EDUCACION</t>
  </si>
  <si>
    <t>1.1.2.2.1.2.1.1</t>
  </si>
  <si>
    <t>Aportes Patronales</t>
  </si>
  <si>
    <t>1.1.2.2.1.2.1.2</t>
  </si>
  <si>
    <t>Calidad</t>
  </si>
  <si>
    <t>1.1.2.2.1.2.2</t>
  </si>
  <si>
    <t>PARTICIPACION PARA PROPOSITO GENERAL</t>
  </si>
  <si>
    <t>1.1.2.2.1.2.2.1</t>
  </si>
  <si>
    <t>Agua Potable y Saneamiento Basico</t>
  </si>
  <si>
    <t>1.1.2.2.1.2.2.2</t>
  </si>
  <si>
    <t>Deporte</t>
  </si>
  <si>
    <t>1.1.2.2.1.2.2.3</t>
  </si>
  <si>
    <t>Cultura</t>
  </si>
  <si>
    <t>1.1.2.2.1.2.2.4</t>
  </si>
  <si>
    <t xml:space="preserve">Otros Sectores </t>
  </si>
  <si>
    <t>1.1.2.2.1.2.2.5</t>
  </si>
  <si>
    <t>Libre Destinacion</t>
  </si>
  <si>
    <t>1.1.2.2.2</t>
  </si>
  <si>
    <t>DEL DEPARTAMENTO DEL TOLIMA</t>
  </si>
  <si>
    <t>1.1.2.2.2.1</t>
  </si>
  <si>
    <t>Degüello de ganado mayor</t>
  </si>
  <si>
    <t>1.1.2.2.2.2</t>
  </si>
  <si>
    <t>Impuesto vehículos automotores</t>
  </si>
  <si>
    <t>1.1.2.2.3</t>
  </si>
  <si>
    <t>REGALIAS</t>
  </si>
  <si>
    <t>1.1.2.2.3.01</t>
  </si>
  <si>
    <t>Anticipo de regalías</t>
  </si>
  <si>
    <t>1.1.2.2.3.02</t>
  </si>
  <si>
    <t>Regalías petrolíferas</t>
  </si>
  <si>
    <t>1.1.2.2.3.02.1</t>
  </si>
  <si>
    <t>Libre Destinacion (5%)</t>
  </si>
  <si>
    <t>1.1.2.2.3.02.2</t>
  </si>
  <si>
    <t>Para Interventorías (5%)</t>
  </si>
  <si>
    <t>1.1.2.2.3.02.3</t>
  </si>
  <si>
    <t>Para Inversión (90%)</t>
  </si>
  <si>
    <t>1.1.2.2.4.</t>
  </si>
  <si>
    <t>S.G.P ULTIMA DOCEAVA 2003 y MAYOR VR INFLA.</t>
  </si>
  <si>
    <t>1.1.2.2.4.1</t>
  </si>
  <si>
    <t>1.1.2.2.1.4.01</t>
  </si>
  <si>
    <t>1.1.2.2.4.2</t>
  </si>
  <si>
    <t>1.1.2.2.4.2.1</t>
  </si>
  <si>
    <t>PARTICIPACIÓN PARA LA EDUCACIÓN.</t>
  </si>
  <si>
    <t>1.1.2.2.4.2.1.1</t>
  </si>
  <si>
    <t>1.1.2.2.4.2.2</t>
  </si>
  <si>
    <t>1.1.2.2.4.2.2.1</t>
  </si>
  <si>
    <t>1.1.2.2.4.2.2.2</t>
  </si>
  <si>
    <t>1.1.2.2.4.2.2.3</t>
  </si>
  <si>
    <t>1.1.2.2.4.2.2.4</t>
  </si>
  <si>
    <t>1.1.2.2.4.2.2.5</t>
  </si>
  <si>
    <t>FONDOS ESPECIALES</t>
  </si>
  <si>
    <t>1.3.1</t>
  </si>
  <si>
    <t>FONDO LOCAL DE SALUD</t>
  </si>
  <si>
    <t>1.3.1.1</t>
  </si>
  <si>
    <t>APORTES PARA LA SALUD S.G.P.</t>
  </si>
  <si>
    <t>1.3.1.1.1</t>
  </si>
  <si>
    <t>SALUD PUBLICA</t>
  </si>
  <si>
    <t>1.3.1.1.2</t>
  </si>
  <si>
    <t>REGIMEN SUBSIDIADO</t>
  </si>
  <si>
    <t>1.3.1.1.2.1</t>
  </si>
  <si>
    <t>Régimen Subsidiado -continuidad</t>
  </si>
  <si>
    <t>1.3.1.1.2.2</t>
  </si>
  <si>
    <t>Régimen Subsidiado -ampliación</t>
  </si>
  <si>
    <t>1.3.1.1.3</t>
  </si>
  <si>
    <t>PRESTACION SERVICIOS POBLACION NO AFILIADA</t>
  </si>
  <si>
    <t>1.3.1.1.3.01</t>
  </si>
  <si>
    <t>Prestsación servicios</t>
  </si>
  <si>
    <t>1.3.1.1.3.02</t>
  </si>
  <si>
    <t>1.3.1.1.5</t>
  </si>
  <si>
    <t>OTROS APORTES DE LA NACION</t>
  </si>
  <si>
    <t>1.3.1.1.5.1</t>
  </si>
  <si>
    <t>FOSYGA</t>
  </si>
  <si>
    <t>1.3.1.1.5.1.01</t>
  </si>
  <si>
    <t>Fosyga aporte exepcional ARS</t>
  </si>
  <si>
    <t>1.3.1.1.5.1.02</t>
  </si>
  <si>
    <t>Fosyga</t>
  </si>
  <si>
    <t>1.3.1.1.5.1.03</t>
  </si>
  <si>
    <t>Fosyga Ampliación</t>
  </si>
  <si>
    <t>1.3.1.1.5.2</t>
  </si>
  <si>
    <t>ETESA</t>
  </si>
  <si>
    <t>1.3.1.1.5.2.01</t>
  </si>
  <si>
    <t>Etesa aporte exepcional ARS</t>
  </si>
  <si>
    <t>1.3.1.1.5.2.02</t>
  </si>
  <si>
    <t>Etesa</t>
  </si>
  <si>
    <t>1.3.1.2</t>
  </si>
  <si>
    <t>ÚLTIMA DOCEAVA S.G.P 2003</t>
  </si>
  <si>
    <t>1.3.1.2.1</t>
  </si>
  <si>
    <t>SALUD PÚBLICA</t>
  </si>
  <si>
    <t>1.3.1.2.2</t>
  </si>
  <si>
    <t>RÉGIMEN SUBSIDIADO</t>
  </si>
  <si>
    <t>1.3.1.2.2.1</t>
  </si>
  <si>
    <t>1.3.1.2.2.2</t>
  </si>
  <si>
    <t>1.3.1.2.3</t>
  </si>
  <si>
    <t>1.3.1.3</t>
  </si>
  <si>
    <t>VIGENCIA ANTERIOR</t>
  </si>
  <si>
    <t>1.3.1.3.1</t>
  </si>
  <si>
    <t>1.3.1.3.2</t>
  </si>
  <si>
    <t>1.3.1.3.3</t>
  </si>
  <si>
    <t>Situado Fiscal Trasformado</t>
  </si>
  <si>
    <t>1.3.1.3.4</t>
  </si>
  <si>
    <t>RECURSOS DE COFINANCIACIÓN</t>
  </si>
  <si>
    <t>1.3.1.3.4.1</t>
  </si>
  <si>
    <t>ENTIDADES DEL SECTOR PRIVADO</t>
  </si>
  <si>
    <t>1.3.1.4.4.01</t>
  </si>
  <si>
    <t>PETROBRAS</t>
  </si>
  <si>
    <t>1.3.1.4.4.01.001</t>
  </si>
  <si>
    <t>Convenio Compra Equipo Puesto de salud cualmaná</t>
  </si>
  <si>
    <t>1.3.1.4.4.01.002</t>
  </si>
  <si>
    <t>Convenio apoyar Funcionamiento puesto de salud Cualamaná</t>
  </si>
  <si>
    <t>1.3.1.4</t>
  </si>
  <si>
    <t>1.3.1.4.01</t>
  </si>
  <si>
    <t>1.3.1.4.01.001</t>
  </si>
  <si>
    <t>Convenio 245 Gobernación Municipio de Melgar</t>
  </si>
  <si>
    <t>1.3.2</t>
  </si>
  <si>
    <t>FONDO DE VALORIZACION</t>
  </si>
  <si>
    <t>1.3.2.1</t>
  </si>
  <si>
    <t>Contribuciones valorización</t>
  </si>
  <si>
    <t>1.3.3</t>
  </si>
  <si>
    <t>FONDO MUNICIPAL DEL DEPORTE</t>
  </si>
  <si>
    <t>1.3.3.5</t>
  </si>
  <si>
    <t>1,5%Contrato obras vias publicas</t>
  </si>
  <si>
    <t>1.3.3.6</t>
  </si>
  <si>
    <t>Deporte y recreación Sistema General de Participaciones</t>
  </si>
  <si>
    <t>Rendimientos Financieros</t>
  </si>
  <si>
    <t>1.3.4</t>
  </si>
  <si>
    <t>FONDO DE BOMBEROS OFICIALES</t>
  </si>
  <si>
    <t>1.3.4.1</t>
  </si>
  <si>
    <t>5% Impuesto de vehículos automotor</t>
  </si>
  <si>
    <t>1.3.4.2</t>
  </si>
  <si>
    <t>10% Delineación urbana</t>
  </si>
  <si>
    <t>1.3.4.3</t>
  </si>
  <si>
    <t>2x1000 Industria y comercio</t>
  </si>
  <si>
    <t>1.3.5</t>
  </si>
  <si>
    <t>FONDO DE SEGURIDAD</t>
  </si>
  <si>
    <t>1.3.5.1</t>
  </si>
  <si>
    <t>5% Contratos obras vías públicas</t>
  </si>
  <si>
    <t>1.3.6</t>
  </si>
  <si>
    <t>FONDO DE VIVIE.DE INTERES SOCIAL</t>
  </si>
  <si>
    <t>Arrendamientos</t>
  </si>
  <si>
    <t>1.3.6.1</t>
  </si>
  <si>
    <t>5%  de los ICLD</t>
  </si>
  <si>
    <t>1.3.6.2</t>
  </si>
  <si>
    <t>Venta de inmuebles - cuotas</t>
  </si>
  <si>
    <t>1.3.6.3</t>
  </si>
  <si>
    <t>Subsidios</t>
  </si>
  <si>
    <t>Cuotas Plan de Vivienda de Interés Social Juna de Dios</t>
  </si>
  <si>
    <t>1.3.7</t>
  </si>
  <si>
    <t>FONDO DE SOLIDARIDAD Y REDISTRIBUCION DE INGRESOS</t>
  </si>
  <si>
    <t>1.3.7.1</t>
  </si>
  <si>
    <t>Subsidios Servicios Públicos estratos</t>
  </si>
  <si>
    <t>1.3.7.2</t>
  </si>
  <si>
    <t>Transferencias acueductos particulares.</t>
  </si>
  <si>
    <t>1.3.7.3</t>
  </si>
  <si>
    <t>Aporte Municipio Sistema General de Participaciones</t>
  </si>
  <si>
    <t>1.3.8</t>
  </si>
  <si>
    <t>FONDO PROTECCION CUENCAS HIDROG.</t>
  </si>
  <si>
    <t>1.3.8.1</t>
  </si>
  <si>
    <t>1%  de los ICLD</t>
  </si>
  <si>
    <t>1.3.8.2</t>
  </si>
  <si>
    <t>Egetsa</t>
  </si>
  <si>
    <t>RECURSOS DE CAPITAL</t>
  </si>
  <si>
    <t>1.4.1</t>
  </si>
  <si>
    <t>RECURSOS DEL BALANCE DICIEMBRE 31 DE 2.003</t>
  </si>
  <si>
    <t>1.4.1.01</t>
  </si>
  <si>
    <t>Ingresos Corrientes de libre destinación</t>
  </si>
  <si>
    <t>1.4.1.02</t>
  </si>
  <si>
    <t>Cancelación de Reservas</t>
  </si>
  <si>
    <t>Contrato N° 246 de 2.002 Estudio Planta de Residuos</t>
  </si>
  <si>
    <t>1.4.1.02.01</t>
  </si>
  <si>
    <t>VIGENCIA EXPIRADA</t>
  </si>
  <si>
    <t>1.4.1.02.01.01</t>
  </si>
  <si>
    <t>Regalias</t>
  </si>
  <si>
    <t>1.4.1.03</t>
  </si>
  <si>
    <t>Fondos especiales</t>
  </si>
  <si>
    <t>1.4.1.03.7</t>
  </si>
  <si>
    <t>Fondo de Solidariad y redistribución</t>
  </si>
  <si>
    <t>1.4.1.3.01</t>
  </si>
  <si>
    <t>Fondo Local Salud</t>
  </si>
  <si>
    <t>1.4.1.3.1.1</t>
  </si>
  <si>
    <t>Salun Pública</t>
  </si>
  <si>
    <t>1.4.1.3.1.2</t>
  </si>
  <si>
    <t>Régimen Subsidiado</t>
  </si>
  <si>
    <t>1.4.1.3.1.2.1</t>
  </si>
  <si>
    <t>Vigencias expiradas</t>
  </si>
  <si>
    <t>1.4.1.3.1.2.1.01</t>
  </si>
  <si>
    <t>Comcaja ARS</t>
  </si>
  <si>
    <t>1.4.1.3.1.2.1.02</t>
  </si>
  <si>
    <t>Humanavivir S.A  E.P.S</t>
  </si>
  <si>
    <t>1.4.1.3.1.3</t>
  </si>
  <si>
    <t>Prestación servicios población pobre no afiliada</t>
  </si>
  <si>
    <t>1.4.1.3.1.4</t>
  </si>
  <si>
    <t>1.4.1.3.2</t>
  </si>
  <si>
    <t>Fondo de Valorización</t>
  </si>
  <si>
    <t>1.4.1.3.3</t>
  </si>
  <si>
    <t>Fondo Municipal del Deporte</t>
  </si>
  <si>
    <t>1.4.1.3.4</t>
  </si>
  <si>
    <t>Fondo de Bomberos oficiales</t>
  </si>
  <si>
    <t>1.4.1.3.5</t>
  </si>
  <si>
    <t>Fondo de Seguridad</t>
  </si>
  <si>
    <t>1.4.1.3.6</t>
  </si>
  <si>
    <t>Fondo de Vivienda interés social</t>
  </si>
  <si>
    <t>1.4.1.3.6.1</t>
  </si>
  <si>
    <t>San Francisco de Asís.</t>
  </si>
  <si>
    <t>1.4.1.3.6.2</t>
  </si>
  <si>
    <t>Juan de Dios.</t>
  </si>
  <si>
    <t>1.4.1.3.7</t>
  </si>
  <si>
    <t>Fondo de Solidaridad y redistribución del Ingreso</t>
  </si>
  <si>
    <t>1.4.1.3.8</t>
  </si>
  <si>
    <t>Fondo Protección cuencas hidrográficas</t>
  </si>
  <si>
    <t>1.4.1.3.8.01</t>
  </si>
  <si>
    <t>1.4.1.4</t>
  </si>
  <si>
    <t>REGALIAS PETROLIFERAS</t>
  </si>
  <si>
    <t>1.4.1.4.1</t>
  </si>
  <si>
    <t>Saldos sin Ejecutasr 2003</t>
  </si>
  <si>
    <t>1.4.2</t>
  </si>
  <si>
    <t>RECURSOS DEL CREDITO</t>
  </si>
  <si>
    <t>1.4.2.1</t>
  </si>
  <si>
    <t>Desembolsos créditos internos</t>
  </si>
  <si>
    <t>1.4.2.2</t>
  </si>
  <si>
    <t>Desembolsos créditos externos</t>
  </si>
  <si>
    <t>1.4.3</t>
  </si>
  <si>
    <t>RENDIMIENTOS FINANCIEROS</t>
  </si>
  <si>
    <t>1.4.3.01</t>
  </si>
  <si>
    <t>1.4.3.02</t>
  </si>
  <si>
    <t>Fondos Especiales</t>
  </si>
  <si>
    <t>1.4.3.02.7</t>
  </si>
  <si>
    <t>Fondo de solaridad y redistribución</t>
  </si>
  <si>
    <t>1.4.3.2.1</t>
  </si>
  <si>
    <t>FONDO LOCAL SALUD</t>
  </si>
  <si>
    <t>1.4.3.2.1.001</t>
  </si>
  <si>
    <t>1.4.3.2.1.002</t>
  </si>
  <si>
    <t>1.4.3.2.1.003</t>
  </si>
  <si>
    <t>1.4.3.2.1.004</t>
  </si>
  <si>
    <t>PRESTACIÓN SERVICOS OFERTA</t>
  </si>
  <si>
    <t>1.4.3.2.1.005</t>
  </si>
  <si>
    <t>1.4.3.2.2</t>
  </si>
  <si>
    <t>1.4.3.2.3</t>
  </si>
  <si>
    <t>1.4.3.2.4</t>
  </si>
  <si>
    <t>1.4.3.2.5</t>
  </si>
  <si>
    <t>1.4.3.2.6</t>
  </si>
  <si>
    <t>1.4.3.2.7</t>
  </si>
  <si>
    <t>1.4.3.2.8</t>
  </si>
  <si>
    <t>1.4.3.2.8.1</t>
  </si>
  <si>
    <t>1.4.3.3</t>
  </si>
  <si>
    <t>Sistema General de Participaciones</t>
  </si>
  <si>
    <t>1.4.3.3.1</t>
  </si>
  <si>
    <t>1.4.3.3.2</t>
  </si>
  <si>
    <t>Deporte y Recreación</t>
  </si>
  <si>
    <t>1.4.3.3.3</t>
  </si>
  <si>
    <t>1.4.3.3.4</t>
  </si>
  <si>
    <t>Otros sectores de Inversión</t>
  </si>
  <si>
    <t>1.4.3.3.5</t>
  </si>
  <si>
    <t>Educación</t>
  </si>
  <si>
    <t>1.4.3.4</t>
  </si>
  <si>
    <t>1.4.3.5</t>
  </si>
  <si>
    <t>VIGENCIA ACTUAL</t>
  </si>
  <si>
    <t>1.4..3.5.1</t>
  </si>
  <si>
    <t>1.4.3.5.1.001</t>
  </si>
  <si>
    <t>1.4.3.5.1.002</t>
  </si>
  <si>
    <t>1.4.3.5.1.003</t>
  </si>
  <si>
    <t>1.4.3.5.1.004</t>
  </si>
  <si>
    <t>Prestación Servicio Oferta</t>
  </si>
  <si>
    <t>1.4.3.5.1.005</t>
  </si>
  <si>
    <t>1.4.3.5.1.006</t>
  </si>
  <si>
    <t>Varios Salud Fondo local salud Situado Fiscal 1</t>
  </si>
  <si>
    <t>1.4.3.5.1.007</t>
  </si>
  <si>
    <t>Varios Salud Fondo local salud Situado Fiscal 2</t>
  </si>
  <si>
    <t>1.4.3.5.1.008</t>
  </si>
  <si>
    <t>Varios Salud Fondo local salud Situado Fiscal 3</t>
  </si>
  <si>
    <t>1.4.3.5.1.009</t>
  </si>
  <si>
    <t>Varios Salud Promoción y Prevención</t>
  </si>
  <si>
    <t>1.4.3.5.1.010</t>
  </si>
  <si>
    <t xml:space="preserve">Varios Salud Otros Sectores de Salud </t>
  </si>
  <si>
    <t>1.4.3.6</t>
  </si>
  <si>
    <t>Convenios</t>
  </si>
  <si>
    <t>1.4.3.7</t>
  </si>
  <si>
    <t xml:space="preserve">SALDOS I.C.N. EDUCACIÓN </t>
  </si>
  <si>
    <t>1.4.4</t>
  </si>
  <si>
    <t>DONACION</t>
  </si>
  <si>
    <t>1.4.4.1</t>
  </si>
  <si>
    <t>Bancolombia</t>
  </si>
  <si>
    <t>1.4.5</t>
  </si>
  <si>
    <t>EXCEDENTES FINANCIEROS</t>
  </si>
  <si>
    <t>1.4.5.1</t>
  </si>
  <si>
    <t>Establecimientos públicos</t>
  </si>
  <si>
    <t>1.4.5.2</t>
  </si>
  <si>
    <t>Empumelgar E.S:P.</t>
  </si>
  <si>
    <t>1.4.5.3</t>
  </si>
  <si>
    <t>Hospital</t>
  </si>
  <si>
    <t>1.4.6</t>
  </si>
  <si>
    <t>RECURSOS DE COFINANCIACION</t>
  </si>
  <si>
    <t>1.4.6.1</t>
  </si>
  <si>
    <t>1.4.6.1.001</t>
  </si>
  <si>
    <t>1.4.6.1.001.01</t>
  </si>
  <si>
    <t>Convenio Estudio para el Desarrollo del Municipio</t>
  </si>
  <si>
    <t>1.4.6.1.001.02</t>
  </si>
  <si>
    <t>Fiestas San Pedrinas</t>
  </si>
  <si>
    <t>1.4.6.1.001.03</t>
  </si>
  <si>
    <t>Programa Para la niñez Incapacitada</t>
  </si>
  <si>
    <t>1.4.6.1.001.04</t>
  </si>
  <si>
    <t>Convenio 017 Asisitencia Técnica Agropecuaria</t>
  </si>
  <si>
    <t>1.4.6.2</t>
  </si>
  <si>
    <t>DEL DEPARTAMENTO</t>
  </si>
  <si>
    <t>1.4.6.2.01</t>
  </si>
  <si>
    <t>1.4.7</t>
  </si>
  <si>
    <t>RENTAS OCASIONALES</t>
  </si>
  <si>
    <t>1.4.7.01</t>
  </si>
  <si>
    <t>1.4.7.02</t>
  </si>
  <si>
    <t>FONDO NACIONA DE REAGALIAS</t>
  </si>
  <si>
    <t>1.4.7.02.1</t>
  </si>
  <si>
    <t>Aporte deuda pública Electrolima en liquidación</t>
  </si>
  <si>
    <t>1.4.7.03</t>
  </si>
  <si>
    <t>FAEP</t>
  </si>
  <si>
    <t>1.4.7.04</t>
  </si>
  <si>
    <t>Indemnización de seguros</t>
  </si>
  <si>
    <t>1.4.8</t>
  </si>
  <si>
    <t>SALDOS SIN EJECUTAR 2003</t>
  </si>
  <si>
    <t>1.4.8.1</t>
  </si>
  <si>
    <t xml:space="preserve">COOFINANCIACIÓN </t>
  </si>
  <si>
    <t>1.4.8.1.1</t>
  </si>
  <si>
    <t>1.4.8.1.1.01</t>
  </si>
  <si>
    <t>Convenio 462 Servicios Docentes</t>
  </si>
  <si>
    <t>1.1.8.1.1.02</t>
  </si>
  <si>
    <t>Convenio Kits Escolar</t>
  </si>
  <si>
    <t>1.4.8.1.2</t>
  </si>
  <si>
    <t>DEL SECTOR PRIVADO</t>
  </si>
  <si>
    <t>1.4.8.1.2.1</t>
  </si>
  <si>
    <t>1.4.8.1.2.1.01</t>
  </si>
  <si>
    <t>Programa de la Niñez Discapacitada</t>
  </si>
  <si>
    <t>SUBTOTAL INGRESOS .............................................$</t>
  </si>
  <si>
    <t>DESCIRPCION</t>
  </si>
  <si>
    <t>AN H BAR %</t>
  </si>
  <si>
    <t>AN H BAR ABS</t>
  </si>
  <si>
    <t>PRESUPUESTO DE GASTOS</t>
  </si>
  <si>
    <t>SECCIÓN 01</t>
  </si>
  <si>
    <t>CONCEJO MUNICIPAL</t>
  </si>
  <si>
    <t>A-  GASTOS DE FUNCIONAMIENTO</t>
  </si>
  <si>
    <t>SECCIÓN 02</t>
  </si>
  <si>
    <t>PERSONERÍA MUNICIPAL</t>
  </si>
  <si>
    <t>SECCION 03</t>
  </si>
  <si>
    <t>ALCALDIA  MUNICIPAL</t>
  </si>
  <si>
    <t>GASTOS DE PERSONAL</t>
  </si>
  <si>
    <t>SERVICIOS PERSONALES ASOCIADOS A LA NOMINA</t>
  </si>
  <si>
    <t>Sueldo Personal Nomina</t>
  </si>
  <si>
    <t>Horas extras y días festivos</t>
  </si>
  <si>
    <t>INDEMNIZACIONES</t>
  </si>
  <si>
    <t>Indemnizaciones por vacaciones</t>
  </si>
  <si>
    <t>Indemnizaciones por incapacidades</t>
  </si>
  <si>
    <t>Indemnizaciones por despidos</t>
  </si>
  <si>
    <t>OTROS GASTOS POR SERVICIOS PERSONALES</t>
  </si>
  <si>
    <t>Subsidio de transporte</t>
  </si>
  <si>
    <t>Prima de navidad</t>
  </si>
  <si>
    <t>Bonificaciòn de Direcciòn</t>
  </si>
  <si>
    <t>Prima de Vacaciones</t>
  </si>
  <si>
    <t>SERVICIOS PERSONALES INDIRECTOS</t>
  </si>
  <si>
    <t>Trabajadores oficiales</t>
  </si>
  <si>
    <t>Personal supernumerario</t>
  </si>
  <si>
    <t>Honorarios profesionales</t>
  </si>
  <si>
    <t>Remuneración por servicios tecnicos</t>
  </si>
  <si>
    <t>Otros gastos por servicios personales indirectos</t>
  </si>
  <si>
    <t>CONTRIBUCIONES INHERENTES A LA NOMINA AL SECTOR PRIVADO</t>
  </si>
  <si>
    <t>Subsidio familiar</t>
  </si>
  <si>
    <t>CONTRIBUCIONES INHERENTES A LA NOMINA AL  SECTOR PUBLICO</t>
  </si>
  <si>
    <t>S.E.N.A.</t>
  </si>
  <si>
    <t>I.C.B.F.</t>
  </si>
  <si>
    <t>E.S.A.P.</t>
  </si>
  <si>
    <t>Escuelas industriales e institutos tecnicos</t>
  </si>
  <si>
    <t>GASTOS GENERALES</t>
  </si>
  <si>
    <t>ADQUISICION DE BIENES</t>
  </si>
  <si>
    <t>Compra de equipo</t>
  </si>
  <si>
    <t>Materiales y suministros</t>
  </si>
  <si>
    <t>Gastos imprevistos</t>
  </si>
  <si>
    <t>ADQUISICION DE SERVICIOS</t>
  </si>
  <si>
    <t>Mantenimiento y conservación</t>
  </si>
  <si>
    <t>Viaticos y gastos de viaje</t>
  </si>
  <si>
    <t>Impresos y publicaciones</t>
  </si>
  <si>
    <t>Comunicaciones y transporte</t>
  </si>
  <si>
    <t>Seguros</t>
  </si>
  <si>
    <t>Servicios publicos</t>
  </si>
  <si>
    <t>Fotocopias</t>
  </si>
  <si>
    <t>Intereses, comisiones y gastos legales bancarios</t>
  </si>
  <si>
    <t>Impuestos Tasas y Multas</t>
  </si>
  <si>
    <t>Dotacion Obreros y Empleados Publicos</t>
  </si>
  <si>
    <t>OTROS GASTOS GENERALES</t>
  </si>
  <si>
    <t>Gastos electorales</t>
  </si>
  <si>
    <t>Devoluciòn cobros irregulares</t>
  </si>
  <si>
    <t>Capacitación, bienestar social y estimulos</t>
  </si>
  <si>
    <t>Gastos protocolarios y relaciones publicas</t>
  </si>
  <si>
    <t>Gastos funerarios pobres de solemnidad</t>
  </si>
  <si>
    <t>Ración y traslado de presos</t>
  </si>
  <si>
    <t>Gastos festival san predino</t>
  </si>
  <si>
    <t>Condecoraciones Acuerdo 0042 de 1996</t>
  </si>
  <si>
    <t>Día Tercera edad y del pensionado</t>
  </si>
  <si>
    <t>Gastos varios e imprevistos</t>
  </si>
  <si>
    <t>TRANSFERENCIAS CORRIENTES</t>
  </si>
  <si>
    <t>TRANSFERENCIAS DE PREVISION Y SEGURIDAD SOCIAL</t>
  </si>
  <si>
    <t>PENSIONES Y JUBILACIONES</t>
  </si>
  <si>
    <t>Pago de pensiones</t>
  </si>
  <si>
    <t>Aporte patronal fondos de pensiones</t>
  </si>
  <si>
    <t>Mesada adicional junio y diciembre</t>
  </si>
  <si>
    <t>Cuotas partes y bonos pensionales</t>
  </si>
  <si>
    <t>Gastos Funerarios Pensionados.</t>
  </si>
  <si>
    <t>CESANTIAS</t>
  </si>
  <si>
    <t>Pago cesantias acumuladas</t>
  </si>
  <si>
    <t>Fondo municipal de cesantias</t>
  </si>
  <si>
    <t>Cesantias parciales</t>
  </si>
  <si>
    <t>OTRAS TRANSFERENCIAS DE PREVISION Y SEGURIDAD SOCIAL</t>
  </si>
  <si>
    <t>Aporte patronal E.P.S</t>
  </si>
  <si>
    <t>Riesgo profesional</t>
  </si>
  <si>
    <t>OTRAS TRANSFERENCIAS CORRIENTES</t>
  </si>
  <si>
    <t>Sentencias judiciales, laudos, conciliaciones</t>
  </si>
  <si>
    <t>Aporte federación colombiana de municipios</t>
  </si>
  <si>
    <t xml:space="preserve">CORTOLIMA Sobretasa ambiental </t>
  </si>
  <si>
    <t>Sobretasa Ambiental 1% del presupuesto</t>
  </si>
  <si>
    <t>Aporte federación colombiana de municipios (10% SIMIT)</t>
  </si>
  <si>
    <t>CONVENIOS</t>
  </si>
  <si>
    <t>Policía Nacional</t>
  </si>
  <si>
    <t>Universidad del Tolima</t>
  </si>
  <si>
    <t>SENA</t>
  </si>
  <si>
    <t>Defensa Civil</t>
  </si>
  <si>
    <t>Defensa Inpec</t>
  </si>
  <si>
    <t>Cruz Roja</t>
  </si>
  <si>
    <t>DEUDA FLOTANTE</t>
  </si>
  <si>
    <t>CUENTAS POR PAGAR</t>
  </si>
  <si>
    <t>Constituidas por Tesoreria del año 2.003</t>
  </si>
  <si>
    <t>RESERVA PRESUPUESTAL</t>
  </si>
  <si>
    <t>Constituidas por Alcalde y Presupuesto año 2.003</t>
  </si>
  <si>
    <t>DEFICIT FISCAL</t>
  </si>
  <si>
    <t>Deficit Fiscal  años anteriores a 2.003</t>
  </si>
  <si>
    <t>VIGENCIAS EXPIRADAS</t>
  </si>
  <si>
    <t>Reservas de Apropiación y de Caja Constituídas a Dic. 2002 y Anteriores.</t>
  </si>
  <si>
    <t>B. GASTOS DE INVERSION</t>
  </si>
  <si>
    <t>INVERSION INGR. CTES. LIBR. DESTINACION</t>
  </si>
  <si>
    <t>EDUCACION</t>
  </si>
  <si>
    <t>Convenio programa Capacitación Sena</t>
  </si>
  <si>
    <t>Compra de terreno y construcción Institución Educativa Berlin</t>
  </si>
  <si>
    <t>Dotación implementos y material educativo estudiantes</t>
  </si>
  <si>
    <t>Convenios Educación</t>
  </si>
  <si>
    <t>Alimentación Escolar.</t>
  </si>
  <si>
    <t>Capacitación Docentes.</t>
  </si>
  <si>
    <t>AGUA POTABLE Y SANEAMIENTO BASICO</t>
  </si>
  <si>
    <t>Constrcción Baterias sanitarias y pozos sépticos San José La Colorada</t>
  </si>
  <si>
    <t>Canalización alcantarillado calle el olvido Galan I</t>
  </si>
  <si>
    <t>Pózo Séptico Primavera.</t>
  </si>
  <si>
    <t>RECREACION Y DEPORTE</t>
  </si>
  <si>
    <t>Compra de terreno y construcción Polideportivo La Laguna</t>
  </si>
  <si>
    <t>Adecuación, Mejoramiento y Mantenimiento de Escenarios Deportivos.</t>
  </si>
  <si>
    <t>Escuelas de Formación Deportiva</t>
  </si>
  <si>
    <t>OTROS SECTORES DE INVERSION SOCIAL</t>
  </si>
  <si>
    <t>INFRAESTRUCTUTRA VIAL</t>
  </si>
  <si>
    <t>Construcción Anillo vial Villa Carmenza, Florida, Base Aérea</t>
  </si>
  <si>
    <t>Construcción Anillo vial Sicomoro, Galan II, Galan I, Centro</t>
  </si>
  <si>
    <t>Rehabilitación y ampliación Calle 7 entre Cras. 19, 21y 23,  25 y 27, 29</t>
  </si>
  <si>
    <t>Construcción Vías Urbanización Juan de Dios</t>
  </si>
  <si>
    <t>Rehabilitación y ampliación Calle 8 entre Cras. 22 y 26</t>
  </si>
  <si>
    <t>Rehabilitación y ampliación Cra. 26 entre Calle 7 y electrificadora</t>
  </si>
  <si>
    <t>Rehabilitación y Mejoramiento Circunvalar 17 de enero</t>
  </si>
  <si>
    <t>Rehabilitación y Mejoramiento Icacal Calle 12</t>
  </si>
  <si>
    <t>Pavimentación circunvalar Sector Los Almendros</t>
  </si>
  <si>
    <t>Régimen Subsidiado - ampliación</t>
  </si>
  <si>
    <t xml:space="preserve">Programa Promoción Turistica </t>
  </si>
  <si>
    <t>SERVICIOS PUBLICOS</t>
  </si>
  <si>
    <t>Ampliacion y Mejoramiento Alumbrado Publico</t>
  </si>
  <si>
    <t>Construccion Vivienda Interes Social</t>
  </si>
  <si>
    <t>EQUIPAMIENTO MUNICIPAL</t>
  </si>
  <si>
    <t>Remodelación y Mantenimiento Matadero Municipal</t>
  </si>
  <si>
    <t>Pavimentación inicia calle 12/cra 12 sector Guarapería</t>
  </si>
  <si>
    <t>Mantenimiento, adecuación, mejoramiento y ampliación de vías</t>
  </si>
  <si>
    <t>Contrucción, Mejoramiento y Mantenimiento Escenarios Deportivos.</t>
  </si>
  <si>
    <t>Mantenimiento, conservación y mejoramiento de caminos veredales.</t>
  </si>
  <si>
    <t>Rehabiliatación Calle 7 entre Carreras 30 y 40.</t>
  </si>
  <si>
    <t>Pavimentación Barrio Galán Parte Baja Sector Calle 11 y 12.</t>
  </si>
  <si>
    <t>Compra de materiales para Alumbrado Público</t>
  </si>
  <si>
    <t>Remodelación y mapliación rede de media, alta y baja tensión Galan I</t>
  </si>
  <si>
    <t>Mantenimiento de redes alumbrado público.</t>
  </si>
  <si>
    <t>EQUIPAMIIENTO URBANO</t>
  </si>
  <si>
    <t>Compra de terreno y Construcción Terminal de Transporte</t>
  </si>
  <si>
    <t>Compra de terreno y Construcción Parque de Atracción Turística</t>
  </si>
  <si>
    <t>Mejoramiento Matadero Municipal</t>
  </si>
  <si>
    <t xml:space="preserve">Adquisición vehículo de carga Plaza de Mercado </t>
  </si>
  <si>
    <t>Compra de áreas de interés para acueductos Artículo 111 Ley 99 de 1993.</t>
  </si>
  <si>
    <t>VIVIENDA</t>
  </si>
  <si>
    <t>Construcción vivienda interés social</t>
  </si>
  <si>
    <t>Mejoramiento de vivienda zona urbana</t>
  </si>
  <si>
    <t>ATENCION A GRUPOS VULNERABLES</t>
  </si>
  <si>
    <t>Compra terreno y construc. Hogar Comunitario Salero, Malachí, San Jose  Colorada</t>
  </si>
  <si>
    <t>Construcción Hogar Comuncitario Semilla de vidad Sector Barrios Unidos</t>
  </si>
  <si>
    <t>Programa de Apoyo a Personas Discapactadas</t>
  </si>
  <si>
    <t>Hogar Infantil Semilla de Vida El Balso.</t>
  </si>
  <si>
    <t>FORTALECIMIENTO INSTITUCIONAL</t>
  </si>
  <si>
    <t xml:space="preserve">Actualización Estratificación </t>
  </si>
  <si>
    <t>Sistematización de procesos y saneamiento contable</t>
  </si>
  <si>
    <t>Auditoría Hospital</t>
  </si>
  <si>
    <t>Ajuste Plan de Ordenamiento Territorial</t>
  </si>
  <si>
    <t>Convenio ICBF</t>
  </si>
  <si>
    <t>Convenio INPEC</t>
  </si>
  <si>
    <t>Dotación e Implementación Archivo Municipal.</t>
  </si>
  <si>
    <t>Reestructuración de la Planta de Personal.</t>
  </si>
  <si>
    <t>SEGURIDAD</t>
  </si>
  <si>
    <t>Convenio Policía</t>
  </si>
  <si>
    <t>Convenio C.T.I.</t>
  </si>
  <si>
    <t>PREVENCIÓN Y ATENCIÓN DE DESASTRES</t>
  </si>
  <si>
    <t>Adecuación, Mantenimiento y Mejoramiento de Zonas Urbanas y Rurales.</t>
  </si>
  <si>
    <t>Fumigación de Sectores Vulnerables.</t>
  </si>
  <si>
    <t>PROMOCION Y DESARROLLO</t>
  </si>
  <si>
    <t>Recuperación del Espacio Público y Organización Vendedores Ambulantes.</t>
  </si>
  <si>
    <t>Apoyo a Microempresarios</t>
  </si>
  <si>
    <t>Festival San Pedrino.</t>
  </si>
  <si>
    <t>Exposición Equina Grado B.</t>
  </si>
  <si>
    <t>Promoción Turística.</t>
  </si>
  <si>
    <t>Desarrollo Comunitario.</t>
  </si>
  <si>
    <t>SALUD</t>
  </si>
  <si>
    <t>Adquisición Ambulancia, Central de Urgencias Louis Pasteur.</t>
  </si>
  <si>
    <t>Puestos de Salud.</t>
  </si>
  <si>
    <t>CULTURA</t>
  </si>
  <si>
    <t>Eventos Culturales</t>
  </si>
  <si>
    <t>GASTOS DE INVERSION - DESTINACION ESPECIFICA</t>
  </si>
  <si>
    <t>ASIGNACION ESPECIAL</t>
  </si>
  <si>
    <t xml:space="preserve">Programa Alimentación escolar </t>
  </si>
  <si>
    <t>SECTOR EDUCACION</t>
  </si>
  <si>
    <t>Transporte Escolar</t>
  </si>
  <si>
    <t>Servicios Públicos Establecimientos de educación</t>
  </si>
  <si>
    <t>Contrucción 2º, 3º y 4º piso Institución Educ. Sumapaz Anexa Escuela Antonio Ma.</t>
  </si>
  <si>
    <t>Mejoramiento y Mantenimiento Establecimientos Públicos Educativos.</t>
  </si>
  <si>
    <t>Dotación Establecimientos Educativos</t>
  </si>
  <si>
    <t>SECTOR PROPOSITO GENERAL</t>
  </si>
  <si>
    <t>Construcción Planta de Tratamiento Aguas Residuales</t>
  </si>
  <si>
    <t>Construcción alcantarillado Barrios Unidos</t>
  </si>
  <si>
    <t>Construcción alcantarillado La Laguna</t>
  </si>
  <si>
    <t>Construcción alcantarillado Los Cristales</t>
  </si>
  <si>
    <t>Construcción colector Quebrada La Chicha</t>
  </si>
  <si>
    <t>Saneamiento Básico</t>
  </si>
  <si>
    <t>Construcción Plantas de Tratamiento Agua potable Zona Rural</t>
  </si>
  <si>
    <t>Tratamiento y disposición final de basuras</t>
  </si>
  <si>
    <t>Protección cuencas Hidrográficas</t>
  </si>
  <si>
    <t>Contribución para subsidio"Fondo de Solidaridad y redistribución del ingreso"</t>
  </si>
  <si>
    <t>Mejoramiento, Construcción y Ampliación de Alcantarillados.</t>
  </si>
  <si>
    <t>DEPORTE Y RECREACION</t>
  </si>
  <si>
    <t>Adecuación, Ampliación y Mejoramiento Polideportivo Las Vegas</t>
  </si>
  <si>
    <t>Juegos Intercolegiados y Fetivales Escolares.</t>
  </si>
  <si>
    <t>Eventos Deportivos.</t>
  </si>
  <si>
    <t>Adecuación de Escenarios Deportivos.</t>
  </si>
  <si>
    <t>Compra de terreno y construcción casa de la cultura</t>
  </si>
  <si>
    <t>Pago instructores escolares música y danzas</t>
  </si>
  <si>
    <t>Dotación Escuelas de Formación Artística.</t>
  </si>
  <si>
    <t>SECTOR AGROPECUARIO</t>
  </si>
  <si>
    <t>Dotación , Mantenimiento y operación Umata</t>
  </si>
  <si>
    <t>Compra de terreno y Construcción Centro de Acopio</t>
  </si>
  <si>
    <t>MEDIO AMIENTE</t>
  </si>
  <si>
    <t>Compra de terreno para conservación de cuencas y microcuencas</t>
  </si>
  <si>
    <t>Mejoramiento de vivienda zona urbana y rural</t>
  </si>
  <si>
    <t>PREVENCION Y ATENCION DE DESASTRES</t>
  </si>
  <si>
    <t>Prevención y Atención de Desastres</t>
  </si>
  <si>
    <t>PROMOCION DEL DESARROLLO</t>
  </si>
  <si>
    <t>Promoción Turística Feria de las Colonias</t>
  </si>
  <si>
    <t>Promoción Turística Reinado Nacional de la Juventud</t>
  </si>
  <si>
    <t>Promoción Turística Festival San Pedro</t>
  </si>
  <si>
    <t>Promoción Turística Fiestas Patonales yFeria exposición equina grado B</t>
  </si>
  <si>
    <t>Promoción de Eventos Turísticos</t>
  </si>
  <si>
    <t>Programa Adulto Mayor</t>
  </si>
  <si>
    <t>Convenio ICBF  Hogares Comunitarios I, II, III y IV</t>
  </si>
  <si>
    <t>Clubes Juveniles</t>
  </si>
  <si>
    <t>Programa madres sustitutas y educadores familiares</t>
  </si>
  <si>
    <t>Programa de atención a al población desplazada</t>
  </si>
  <si>
    <t>DESARROLLO INSTITUCIONAL</t>
  </si>
  <si>
    <t>INVERSION REGALIAS PETROLIFERAS</t>
  </si>
  <si>
    <t>EDUCACION INFRAESTRUCTURA</t>
  </si>
  <si>
    <t>Mantenimiento, Remodelación y Dotación Institución Educativa Gabriela Mistral</t>
  </si>
  <si>
    <t>Contrucción 2º,  3º y 4º piso Institución Educat. Sumapaz Anexa Escuela Antonio Ma.</t>
  </si>
  <si>
    <t xml:space="preserve">Dotación Centro de Informática Victor Manuel Triana </t>
  </si>
  <si>
    <t>Dotación establecimientos de educación</t>
  </si>
  <si>
    <t>Adquisición de Lotes Instituciiones Educativas.</t>
  </si>
  <si>
    <t>Ampliación y Mejoramiento Institución Educativa Gabriel Mistral Sede Central.</t>
  </si>
  <si>
    <t>Ampliación y Mejoramiento Institución Educativa Sede 2 Antonio María Lozano.</t>
  </si>
  <si>
    <t>Estudios y Diseños para la Construcción de Instituciones.</t>
  </si>
  <si>
    <t>Ampliación y Mejoramiento Escuela Vereda Cualamaná.</t>
  </si>
  <si>
    <t>Ampliación y Mejoramiento Escuela Rural Mixta Chimbí.</t>
  </si>
  <si>
    <t>Ampliación y Mejoramiento Escuela Rural Mixta Inalí.</t>
  </si>
  <si>
    <t>Ampliación y Mejoramiento Escuela Rural Mixta Cálcuta.</t>
  </si>
  <si>
    <t>Ampliación y Mejoramiento Escuela Rural Mixta Veraguas.</t>
  </si>
  <si>
    <t>Ampliación y Mejoramiento Centro Educativo Rafael Pombo.</t>
  </si>
  <si>
    <t>Ampliación y Mejoramiento Institución Educativa Técnica Sumapaz.</t>
  </si>
  <si>
    <t>SALUD INFRAESTRUCTURA</t>
  </si>
  <si>
    <t>Dotación Central de Urgencias Louis Pasteur</t>
  </si>
  <si>
    <t>Ampliación, Remodelación y Dotación Puestos de salud</t>
  </si>
  <si>
    <t xml:space="preserve">Compra de Terreno y Construcción Puesto de Salud El Salero </t>
  </si>
  <si>
    <t>Ampliación y Mejoramiento Puesto de Salud Rural.</t>
  </si>
  <si>
    <t>Adquisición Unidad Móvil.</t>
  </si>
  <si>
    <t>Dotación Puestos de Salud.</t>
  </si>
  <si>
    <t>Construcción tanque de almacenamiento y planta de tratam. Acueduto Vda. Chimbí</t>
  </si>
  <si>
    <t xml:space="preserve">Construcción Acueducto Vereda El Salero </t>
  </si>
  <si>
    <t>Construcción Acueducto Vereda San Cristóbal 1 Sector.</t>
  </si>
  <si>
    <t>Construcción Acueducto Vereda Águila Media.</t>
  </si>
  <si>
    <t>Ampliación y Mejoramiento Acueducto Vereda Cualamaná.</t>
  </si>
  <si>
    <t>Construcción Colector Aguas Negras Barrios Unidos.</t>
  </si>
  <si>
    <t>Construcción Alcantarillado Aguas Negras Barrios Unidos.</t>
  </si>
  <si>
    <t>Construcción de Unidades Sanitarias Sector Rural.</t>
  </si>
  <si>
    <t>Remodelación y Adecuación de las Instalaciones de la Morgue.</t>
  </si>
  <si>
    <t>Adquisición Lote para Planta de Residuos Sólidos.</t>
  </si>
  <si>
    <t>Estudio y Diseños de la Planta de Residuos Sólidos.</t>
  </si>
  <si>
    <t>Gestión Integral de Residuos Sólidos.</t>
  </si>
  <si>
    <t>INFRAESTRUCTURA</t>
  </si>
  <si>
    <t>Construcción de vias por el sistema</t>
  </si>
  <si>
    <t>FONDO BOMBEROS OFICIALES</t>
  </si>
  <si>
    <t>ADMINISTRACION DEL ESTADO</t>
  </si>
  <si>
    <t>Para celebrar contratos con cuerpos de bomberos voluntarios</t>
  </si>
  <si>
    <t xml:space="preserve">Reconstrucción de cuarteles y otras instalaciones terroristas . . . . . . . . . . . . </t>
  </si>
  <si>
    <t>Apoyo economico para  la  reconstrucción  de  instalaciones municipales</t>
  </si>
  <si>
    <t>municipales de Ejercito y  de   Policía  afectadas   por   actos</t>
  </si>
  <si>
    <t xml:space="preserve">Construcción de instalaciones de Policía que no ofrezcan garantías de seg. . . . . . . . </t>
  </si>
  <si>
    <t>DOTACION</t>
  </si>
  <si>
    <t xml:space="preserve">Adquisición de equipos de comunicación, alarmas y operaciones de redes de intel. . . </t>
  </si>
  <si>
    <t>Adquisición de equipos de transporte mantenimiento y sumini</t>
  </si>
  <si>
    <t>Adquisición equipos de oficina</t>
  </si>
  <si>
    <t>Dotación y raciones para agentes y soldados</t>
  </si>
  <si>
    <t>Adquisición material de guerra</t>
  </si>
  <si>
    <t>RECURSO HUMANO</t>
  </si>
  <si>
    <t>Contratación  de  personal para la capacitación especializada, Nal. O extranjera a . . .</t>
  </si>
  <si>
    <t>nacional o extranjera a las fuerzas militares, de  Policía y a  los</t>
  </si>
  <si>
    <t>funcionarios de la Administración Municipal y seguridad ciudadana......</t>
  </si>
  <si>
    <t>SUBSIDIOS</t>
  </si>
  <si>
    <t>Pago    de  informantes  con  gastos  menores  reservados  de inteligencia, recompen. .</t>
  </si>
  <si>
    <t xml:space="preserve">inteligencia, recompensas a las personas que colaboren   con </t>
  </si>
  <si>
    <t>la justicia, las fuerzas militares, de Policías, Das y Fiscalía.</t>
  </si>
  <si>
    <t>Gastos operativos de funcionamiento y demás gastos necesarios para el Obj. Del fondo</t>
  </si>
  <si>
    <t>Programa de educación y capacitación ciudadana tendientes a prevenir y contrarres. . .</t>
  </si>
  <si>
    <t>FONDO DE VIVIENDA DE INTERES SOCIAL</t>
  </si>
  <si>
    <t>Adecuación de vivienda de interes social</t>
  </si>
  <si>
    <t>DEVOLUCIÓN CUOTAS DE VIVIENDA</t>
  </si>
  <si>
    <t>Plan de Vivienda San Francisco de Asís.</t>
  </si>
  <si>
    <t>Plan de Vivienda San Juan de Dios.</t>
  </si>
  <si>
    <t>FONDO DE SOLIDARIDAD Y REDISTRIBUCION DE INGRESO</t>
  </si>
  <si>
    <t>Pago de subsidios servicios públicos, estrato 1 y 2</t>
  </si>
  <si>
    <t>FONDO PROTECCION CUENCAS HIDROGRAFICAS</t>
  </si>
  <si>
    <t>CONSERVACION DE CUENCAS Y MICROCUENCAS</t>
  </si>
  <si>
    <t>Adquisición de terrernos</t>
  </si>
  <si>
    <t>Saneamiento Básico y Medio Ambiente.</t>
  </si>
  <si>
    <t>SECTOR SALUD</t>
  </si>
  <si>
    <t>Salud Pública</t>
  </si>
  <si>
    <t>Subsidio a la demanda - Continuación</t>
  </si>
  <si>
    <t>Subsidio a la demanda - Ampliación</t>
  </si>
  <si>
    <t>Prestación servicios</t>
  </si>
  <si>
    <t>Aportes patronales</t>
  </si>
  <si>
    <t>SITUADO FISCAL TRASNFORMADO</t>
  </si>
  <si>
    <t>Fosyga Aportes excepcional ARS</t>
  </si>
  <si>
    <t>Fosyga Continuidad</t>
  </si>
  <si>
    <t>Fosyga - Ampliación.</t>
  </si>
  <si>
    <t>RENTAS CEDIDAS TRANSFORMADAS</t>
  </si>
  <si>
    <t>Etesa aportes excepcional ARS</t>
  </si>
  <si>
    <t>Ampliación ARS.</t>
  </si>
  <si>
    <t>Prestación de Servicios Oferta.</t>
  </si>
  <si>
    <t>Régimen Subsidiado - Tercera Edad.</t>
  </si>
  <si>
    <t>ÚLTIMA DOCEAVA S.G.P. 2003</t>
  </si>
  <si>
    <t>Régimen Subsidiado - Continuidad</t>
  </si>
  <si>
    <t>Régimen Subsidiado - Ampliación</t>
  </si>
  <si>
    <t>Prestación de servicios no afiliada</t>
  </si>
  <si>
    <t>VIGENCIAS ANTERIORES</t>
  </si>
  <si>
    <t>Situado Fiscal Transformado</t>
  </si>
  <si>
    <t>Régimen Subsidiado.</t>
  </si>
  <si>
    <t>GIROS 4.01%</t>
  </si>
  <si>
    <t>Fosyga - Continuidad</t>
  </si>
  <si>
    <t>Fosyga - Aportes excepcionales ARS</t>
  </si>
  <si>
    <t>Etesa Excepcional.</t>
  </si>
  <si>
    <t>Regalías Petrolíferas - Régimen Subsidiado Ampliación</t>
  </si>
  <si>
    <t>Fosyga.</t>
  </si>
  <si>
    <t>Aportes patronales - Prestación de Servicios Oferta.</t>
  </si>
  <si>
    <t>Etesa.</t>
  </si>
  <si>
    <t>REGALÍAS PETROLÍFERAS</t>
  </si>
  <si>
    <t>Regimen Subsidiado Ampliación</t>
  </si>
  <si>
    <t>Prestación de Servicios de Salud Población Vinculada.</t>
  </si>
  <si>
    <t>Convenio Compra de equipos para el puesto de salud de cualamaná</t>
  </si>
  <si>
    <t>Convenio Apoyar el funcionamiento del puesto de salud de la vereda Cualamaná.</t>
  </si>
  <si>
    <t>DEPARTAMENTO.</t>
  </si>
  <si>
    <t>Convenio No. 245 Proyecto Productivo en Veredas.</t>
  </si>
  <si>
    <t>INVERSIÓN POR COFINANCIACIÓN</t>
  </si>
  <si>
    <t>Del Departamento</t>
  </si>
  <si>
    <t>Convenio 462/2003 (Servicio Educativo Docentes)</t>
  </si>
  <si>
    <t xml:space="preserve">Convenio Kit Escolares </t>
  </si>
  <si>
    <t>Convenio 136 Gobernación del Tolima - Municipio de Melgar.  Transporte Escolar.</t>
  </si>
  <si>
    <t>Convenio Estudios para el desarrollo del Municipio.</t>
  </si>
  <si>
    <t>Fiestas San Pedrinas.</t>
  </si>
  <si>
    <t>Convenio 017 Asistencia Técnica Agropecuaria</t>
  </si>
  <si>
    <t>S.G.P. ÚLTIMA DOCEAVA 2003 Y MAYOR VALOR INFLA.</t>
  </si>
  <si>
    <t>ASIGNACIÓN ESPECÍFICA</t>
  </si>
  <si>
    <t>Programa Alimentación Escolar.</t>
  </si>
  <si>
    <t>DISTRIBUCIÓN SECTORIAL</t>
  </si>
  <si>
    <t>SECTOR EDUCACIÓN</t>
  </si>
  <si>
    <t>SECTOR PROPÓSITO GENERAL</t>
  </si>
  <si>
    <t>AGUA POTABLE Y SANEAMIENTO BÁSICO</t>
  </si>
  <si>
    <t>Mejoramiento, Construcción y Ampliación de Alcantarilaldos.</t>
  </si>
  <si>
    <t>Dotación y Mantenimiento de Acueductos Veredales.</t>
  </si>
  <si>
    <t>DEPORTE Y RECREACIÓN</t>
  </si>
  <si>
    <t>Mantenimiento, Adecuación y Conservación escenarios deportivos.</t>
  </si>
  <si>
    <t>CULTURA.</t>
  </si>
  <si>
    <t>Cultura Ciudadana.</t>
  </si>
  <si>
    <t>OTROS SECTORES DE INVERSIÓN SOCIAL.</t>
  </si>
  <si>
    <t>SEGURIDAD Y ORDEN PÚBLICO.</t>
  </si>
  <si>
    <t>Apoyo a Organismos de Seguridad</t>
  </si>
  <si>
    <t>TRANSPORTE.</t>
  </si>
  <si>
    <t>Mantenimiento, Conservación y Mejoramiento de Vías y caminos vecinales.</t>
  </si>
  <si>
    <t>PREVENCIÓN Y ATENCIÓN DE DESASTRES.</t>
  </si>
  <si>
    <t>Prevención y Atención de Desastres.</t>
  </si>
  <si>
    <t>PROMOCIÓN DEL DESARROLLO.</t>
  </si>
  <si>
    <t>Promoción de Eventos Turísticos.</t>
  </si>
  <si>
    <t>ATENCIÓN A GRUPOS VULNERABLES.</t>
  </si>
  <si>
    <t>Programa FAMI - Madres Gestantes.</t>
  </si>
  <si>
    <t>RÉGIMEN SUBSIDIADO.</t>
  </si>
  <si>
    <t>COMCAJA ARS</t>
  </si>
  <si>
    <t>Humana Vivir S.A.</t>
  </si>
  <si>
    <t>Regalías.</t>
  </si>
  <si>
    <t>DONACIONES.</t>
  </si>
  <si>
    <t>ENTIDADES DEL SECTOR PRIVADO.</t>
  </si>
  <si>
    <t>Bancolombia.</t>
  </si>
  <si>
    <t>SECCION 04</t>
  </si>
  <si>
    <t>SECRETARIA DE HACIENDA</t>
  </si>
  <si>
    <t>C-  SERVICIO DE LA DEUDA PUBLICA</t>
  </si>
  <si>
    <t>EDUCACION Y PARQUES</t>
  </si>
  <si>
    <t>DEUDA INTERNA</t>
  </si>
  <si>
    <t>ABONO A CAPITAL</t>
  </si>
  <si>
    <t>Megabanco Pagaré No. 4263008494</t>
  </si>
  <si>
    <t>Megabanco Pagaré No. 4263009598</t>
  </si>
  <si>
    <t>Megabanco Pagaré No. 4263010340</t>
  </si>
  <si>
    <t>Megabanco Pagaré No. 4263010804</t>
  </si>
  <si>
    <t>ABONO A INTERES Y OTROS GASTOS</t>
  </si>
  <si>
    <t>ENTIDADES NO FINANCIERAS DEPARTAMENTALES</t>
  </si>
  <si>
    <t>ELECTROLIMA S.A. E.S.P. DEUDA JUNIO 30 DE 2002</t>
  </si>
  <si>
    <t>Capital</t>
  </si>
  <si>
    <t>DEUDA PÚBLICA OTRAS ENTIDADES</t>
  </si>
  <si>
    <t>CAPITAL - RECURSOS FAEP</t>
  </si>
  <si>
    <t>FINDETER.</t>
  </si>
  <si>
    <t>INTERESES</t>
  </si>
  <si>
    <t>Findeter.</t>
  </si>
  <si>
    <t>INTERESES - RECURSOS FAEP</t>
  </si>
  <si>
    <t>DEUDA PÚBLICA CON TERCEROS</t>
  </si>
  <si>
    <t>PASIVO LABORAL</t>
  </si>
  <si>
    <t>PASIVO LABORAL - RECURSOS FAEP</t>
  </si>
  <si>
    <t>Pasivos Laborales a Diciembre 30 de 2000</t>
  </si>
  <si>
    <t>RENTAS CEDIDAS</t>
  </si>
  <si>
    <t>Dotación Archivo Municipal y remodelación matadero municipal</t>
  </si>
  <si>
    <t>SERVICIOS PUBLICOS INFRAESTRUCTURA</t>
  </si>
  <si>
    <r>
      <t xml:space="preserve">TRANSFERENCIAS               </t>
    </r>
    <r>
      <rPr>
        <b/>
        <sz val="9"/>
        <color indexed="10"/>
        <rFont val="Tahoma"/>
        <family val="2"/>
      </rPr>
      <t xml:space="preserve"> *</t>
    </r>
  </si>
  <si>
    <t>VAR MEDIA</t>
  </si>
  <si>
    <t>Otros Intereses.</t>
  </si>
  <si>
    <t>Mejoramiento, Construcción y Ampliación de Acueductos.</t>
  </si>
  <si>
    <t>Transporte Escolar.</t>
  </si>
  <si>
    <t>Construccción y Dotación Bibliotecas Municipales.</t>
  </si>
  <si>
    <t>Adecuacion Y Mejoramiento Instituciones Educativas</t>
  </si>
  <si>
    <t>Convenios Media Tecnica</t>
  </si>
  <si>
    <t>Adquisicion Vehiculo para Alumbrado Publico</t>
  </si>
  <si>
    <t>Dotación Archivo Municipal</t>
  </si>
  <si>
    <t>Señalizacion Malla Vial Y Semaforizacion</t>
  </si>
  <si>
    <t>Palacio Municipal</t>
  </si>
  <si>
    <t>Policia Vial</t>
  </si>
  <si>
    <t>Convenios Universidad del Tolima</t>
  </si>
  <si>
    <t>Eventos Deportivos</t>
  </si>
  <si>
    <t>CuLTURA</t>
  </si>
  <si>
    <t>Actualizacion Del Procesos De Sistemas</t>
  </si>
  <si>
    <t>Aporte Patronal E.P.S</t>
  </si>
  <si>
    <t>Riesgos Patronales</t>
  </si>
  <si>
    <t>Aporte Patronal Fondo de Pensiones.</t>
  </si>
  <si>
    <t>ATENCION A GRUPOS VULNERABLES Y DESARROLLO COMUNITARIO</t>
  </si>
  <si>
    <t>GASTOS</t>
  </si>
  <si>
    <t xml:space="preserve"> GASTOS DE FUNCIONAMIENTO</t>
  </si>
  <si>
    <t xml:space="preserve">  GASTOS DE PERSONAL</t>
  </si>
  <si>
    <t xml:space="preserve">   Servicios Personales Asociados a la Nómina</t>
  </si>
  <si>
    <t xml:space="preserve">   Servicios Personales Indirectos</t>
  </si>
  <si>
    <t xml:space="preserve">      Honorarios</t>
  </si>
  <si>
    <t xml:space="preserve">      Jornales</t>
  </si>
  <si>
    <t xml:space="preserve">      Personal Supernumerario</t>
  </si>
  <si>
    <t xml:space="preserve">      Remuneración por Servicios Técnicos</t>
  </si>
  <si>
    <t xml:space="preserve">      Otros Servicios Personales Indirectos</t>
  </si>
  <si>
    <t xml:space="preserve">   Contribuciones Inherentes a la Nómina</t>
  </si>
  <si>
    <t xml:space="preserve">      Al Sector Público</t>
  </si>
  <si>
    <t xml:space="preserve">        Aportes Previsión Social</t>
  </si>
  <si>
    <t xml:space="preserve">        Aportes Parafiscales</t>
  </si>
  <si>
    <t xml:space="preserve">      Al Sector Privado</t>
  </si>
  <si>
    <t xml:space="preserve">  GASTOS GENERALES</t>
  </si>
  <si>
    <t xml:space="preserve">    Adquisición de Bienes</t>
  </si>
  <si>
    <t xml:space="preserve">    Adquisición de Servicios</t>
  </si>
  <si>
    <t xml:space="preserve">    Otros Gastos Generales</t>
  </si>
  <si>
    <t>INGRESOS</t>
  </si>
  <si>
    <t xml:space="preserve"> INGRESOS CORRIENTES</t>
  </si>
  <si>
    <t xml:space="preserve">  TRIBUTARIOS</t>
  </si>
  <si>
    <t xml:space="preserve">    Impuesto Predial Unificado (Incluye Compensación por predial de Resguardos Indigenas)</t>
  </si>
  <si>
    <t xml:space="preserve">    Sobretasa Ambiental ( O Participación del predial para las CAR)</t>
  </si>
  <si>
    <t xml:space="preserve">    Impuesto de Circulación y Tránsito Servicio Público</t>
  </si>
  <si>
    <t xml:space="preserve">    Impuesto de Industria y Comercio</t>
  </si>
  <si>
    <t xml:space="preserve">    Sobretasa a la Gasolina</t>
  </si>
  <si>
    <t xml:space="preserve">    Impuesto de Espectáculos Públicos</t>
  </si>
  <si>
    <t xml:space="preserve">    Impuesto sobre Rifas y Apuestas</t>
  </si>
  <si>
    <t xml:space="preserve">    Impuesto de Avisos y Tableros</t>
  </si>
  <si>
    <t xml:space="preserve">    Impuesto de Deguello de Ganado Menor</t>
  </si>
  <si>
    <t xml:space="preserve">    Impuesto de Delineación Urbana</t>
  </si>
  <si>
    <t xml:space="preserve">    Impuesto sobre Servicio de Alumbrado Público</t>
  </si>
  <si>
    <t xml:space="preserve">    Impuesto al Transporte Hidrocarburos</t>
  </si>
  <si>
    <t xml:space="preserve">  Estampillas</t>
  </si>
  <si>
    <t xml:space="preserve">   Estampilla Pro-Palacio</t>
  </si>
  <si>
    <t xml:space="preserve">   Estampilla Pro-Desarrollo</t>
  </si>
  <si>
    <t xml:space="preserve">   Estampilla Pro-Electrificacion Rural</t>
  </si>
  <si>
    <t xml:space="preserve">   Estampillas Pro-Turismo</t>
  </si>
  <si>
    <t xml:space="preserve">   Otras Estampillas</t>
  </si>
  <si>
    <t xml:space="preserve">    Sobretasa Bomberil</t>
  </si>
  <si>
    <t xml:space="preserve">   Otros Ingresos Tributarios</t>
  </si>
  <si>
    <t xml:space="preserve">  NO TRIBUTARIOS</t>
  </si>
  <si>
    <t xml:space="preserve">    Tasas y Multas</t>
  </si>
  <si>
    <t xml:space="preserve">    Arrendamientos</t>
  </si>
  <si>
    <t xml:space="preserve">    Alquiler de Maquinaria y Equipo</t>
  </si>
  <si>
    <t xml:space="preserve">    Contribuciones</t>
  </si>
  <si>
    <t xml:space="preserve">      Contribución por Valorización</t>
  </si>
  <si>
    <t xml:space="preserve">      Otras Contribuciones</t>
  </si>
  <si>
    <t xml:space="preserve">   Transferencias</t>
  </si>
  <si>
    <t xml:space="preserve">      Transferencias Corrientes (Para Funcionamiento)</t>
  </si>
  <si>
    <t xml:space="preserve">            Sistema General de Participaciones - Propósito General (Libre Destinación)</t>
  </si>
  <si>
    <t xml:space="preserve">        Cuota de Auditaje</t>
  </si>
  <si>
    <t xml:space="preserve">      Transferencias de Capital (Para Inversión)</t>
  </si>
  <si>
    <t xml:space="preserve">            Sistema General de Participaciones -Educación-</t>
  </si>
  <si>
    <t xml:space="preserve">              S. G. P. Educación - Prestación de Servicios</t>
  </si>
  <si>
    <t xml:space="preserve">              S. G. P. Educación - Aportes Patronales (Calidad)</t>
  </si>
  <si>
    <t xml:space="preserve">            Sistema General de Participaciones -Salud-</t>
  </si>
  <si>
    <t xml:space="preserve">              S. G. P. Salud - Subsidio Demanda</t>
  </si>
  <si>
    <t xml:space="preserve">              S. G. P. Salud - Subsidio Oferta</t>
  </si>
  <si>
    <t xml:space="preserve">              S. G. P. Salud - Plan de Atención Básica (Pab)</t>
  </si>
  <si>
    <t xml:space="preserve">              S. G. P. Salud - Aportes Patronales</t>
  </si>
  <si>
    <t xml:space="preserve">              S. G. P. Salud - Prestación de Servicios</t>
  </si>
  <si>
    <t xml:space="preserve">            Sistema General de Participaciones Propósito General (Forsoza Inversión)</t>
  </si>
  <si>
    <t xml:space="preserve">     Sistema General  de Participaciones-Alimentación Escolar</t>
  </si>
  <si>
    <t xml:space="preserve">     Sistema General  de Participaciones-Municipios Ribereños Rio Magdalena</t>
  </si>
  <si>
    <t xml:space="preserve">            Otras Transferencias del Nivel Central Nacional</t>
  </si>
  <si>
    <t xml:space="preserve">          Empresa para la Salud -ETESA-</t>
  </si>
  <si>
    <t xml:space="preserve">          Fondo de Solidaridad y Garantías -FOSYGA-</t>
  </si>
  <si>
    <t xml:space="preserve">          Otras Transferencias del Nivel Nacional</t>
  </si>
  <si>
    <t xml:space="preserve">        Del Nivel Departamental</t>
  </si>
  <si>
    <t xml:space="preserve">            De Vehículos Automotores</t>
  </si>
  <si>
    <t xml:space="preserve">          Degüello de Ganado Mayor</t>
  </si>
  <si>
    <t xml:space="preserve">          Otras Transferencias del Nivel Departamental</t>
  </si>
  <si>
    <t xml:space="preserve">    Fondos Especiales</t>
  </si>
  <si>
    <t xml:space="preserve">      Fondos para Previsión Social</t>
  </si>
  <si>
    <t xml:space="preserve">      Fondo de Seguridad (5% Contratos) -Ley 418/97-</t>
  </si>
  <si>
    <t xml:space="preserve">      Otros Fondos Especiales</t>
  </si>
  <si>
    <t xml:space="preserve">    Otros Ingresos No Tributarios</t>
  </si>
  <si>
    <t xml:space="preserve"> INGRESOS DE CAPITAL</t>
  </si>
  <si>
    <t xml:space="preserve">          Fondo Nacional de Regalías -FNR-</t>
  </si>
  <si>
    <t xml:space="preserve">            Cofinanciación</t>
  </si>
  <si>
    <t xml:space="preserve">        Regalías</t>
  </si>
  <si>
    <t xml:space="preserve">          Regalías Petrolíferas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</si>
</sst>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_ ;[Red]\-#,##0\ "/>
    <numFmt numFmtId="165" formatCode="0.0%"/>
    <numFmt numFmtId="166" formatCode="#,##0.0_ ;[Red]\-#,##0.0\ "/>
    <numFmt numFmtId="167" formatCode="_-* #,##0.00\ _€_-;\-* #,##0.00\ _€_-;_-* &quot;-&quot;??\ _€_-;_-@_-"/>
    <numFmt numFmtId="168" formatCode="[$-240A]dddd\,\ dd&quot; de &quot;mmmm&quot; de &quot;yyyy"/>
    <numFmt numFmtId="169" formatCode="[$-240A]hh:mm:ss\ AM/PM"/>
    <numFmt numFmtId="170" formatCode="0.0"/>
  </numFmts>
  <fonts count="5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color indexed="10"/>
      <name val="Tahoma"/>
      <family val="2"/>
    </font>
    <font>
      <sz val="10"/>
      <color indexed="8"/>
      <name val="Times New Roman"/>
      <family val="0"/>
    </font>
    <font>
      <sz val="8"/>
      <name val="Arial"/>
      <family val="0"/>
    </font>
    <font>
      <sz val="9"/>
      <color indexed="10"/>
      <name val="Tahoma"/>
      <family val="2"/>
    </font>
    <font>
      <sz val="8"/>
      <color indexed="8"/>
      <name val="Arial"/>
      <family val="0"/>
    </font>
    <font>
      <sz val="10"/>
      <color indexed="8"/>
      <name val="Tahoma"/>
      <family val="2"/>
    </font>
    <font>
      <sz val="10"/>
      <color indexed="8"/>
      <name val="MS Sans Serif"/>
      <family val="0"/>
    </font>
    <font>
      <b/>
      <sz val="9"/>
      <color indexed="8"/>
      <name val="Tahoma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60"/>
      <name val="Arial"/>
      <family val="0"/>
    </font>
    <font>
      <sz val="9"/>
      <color indexed="60"/>
      <name val="Tahoma"/>
      <family val="2"/>
    </font>
    <font>
      <sz val="9"/>
      <color indexed="8"/>
      <name val="Tahoma"/>
      <family val="2"/>
    </font>
    <font>
      <b/>
      <sz val="10"/>
      <color indexed="60"/>
      <name val="Arial"/>
      <family val="2"/>
    </font>
    <font>
      <b/>
      <sz val="7"/>
      <color indexed="8"/>
      <name val="Arial"/>
      <family val="2"/>
    </font>
    <font>
      <b/>
      <sz val="10"/>
      <color indexed="48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sz val="12"/>
      <color indexed="4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8"/>
      <color indexed="53"/>
      <name val="Arial"/>
      <family val="2"/>
    </font>
    <font>
      <sz val="10"/>
      <color indexed="48"/>
      <name val="Arial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8"/>
      </right>
      <top style="medium">
        <color indexed="28"/>
      </top>
      <bottom>
        <color indexed="63"/>
      </bottom>
    </border>
    <border>
      <left style="medium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8"/>
      </right>
      <top>
        <color indexed="63"/>
      </top>
      <bottom style="medium">
        <color indexed="28"/>
      </bottom>
    </border>
    <border>
      <left style="medium">
        <color indexed="28"/>
      </left>
      <right>
        <color indexed="63"/>
      </right>
      <top>
        <color indexed="63"/>
      </top>
      <bottom style="medium">
        <color indexed="28"/>
      </bottom>
    </border>
    <border>
      <left style="medium">
        <color indexed="28"/>
      </left>
      <right>
        <color indexed="63"/>
      </right>
      <top style="medium">
        <color indexed="2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1" fillId="0" borderId="8" xfId="0" applyNumberFormat="1" applyFont="1" applyBorder="1" applyAlignment="1">
      <alignment horizontal="center"/>
    </xf>
    <xf numFmtId="165" fontId="2" fillId="2" borderId="8" xfId="0" applyNumberFormat="1" applyFont="1" applyFill="1" applyBorder="1" applyAlignment="1">
      <alignment vertical="center"/>
    </xf>
    <xf numFmtId="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6" fillId="0" borderId="11" xfId="0" applyNumberFormat="1" applyFont="1" applyFill="1" applyBorder="1" applyAlignment="1">
      <alignment horizontal="left"/>
    </xf>
    <xf numFmtId="3" fontId="3" fillId="3" borderId="8" xfId="0" applyNumberFormat="1" applyFont="1" applyFill="1" applyBorder="1" applyAlignment="1">
      <alignment/>
    </xf>
    <xf numFmtId="165" fontId="3" fillId="3" borderId="8" xfId="0" applyNumberFormat="1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left"/>
    </xf>
    <xf numFmtId="164" fontId="6" fillId="0" borderId="11" xfId="0" applyNumberFormat="1" applyFont="1" applyBorder="1" applyAlignment="1">
      <alignment/>
    </xf>
    <xf numFmtId="3" fontId="3" fillId="3" borderId="13" xfId="0" applyNumberFormat="1" applyFont="1" applyFill="1" applyBorder="1" applyAlignment="1">
      <alignment/>
    </xf>
    <xf numFmtId="164" fontId="3" fillId="3" borderId="13" xfId="0" applyNumberFormat="1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9" fillId="0" borderId="12" xfId="0" applyNumberFormat="1" applyFont="1" applyFill="1" applyBorder="1" applyAlignment="1">
      <alignment horizontal="left"/>
    </xf>
    <xf numFmtId="164" fontId="10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" fillId="3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1" fillId="0" borderId="11" xfId="0" applyNumberFormat="1" applyFont="1" applyBorder="1" applyAlignment="1">
      <alignment/>
    </xf>
    <xf numFmtId="3" fontId="4" fillId="3" borderId="13" xfId="0" applyNumberFormat="1" applyFont="1" applyFill="1" applyBorder="1" applyAlignment="1">
      <alignment/>
    </xf>
    <xf numFmtId="165" fontId="4" fillId="3" borderId="8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11" fillId="0" borderId="15" xfId="0" applyNumberFormat="1" applyFont="1" applyFill="1" applyBorder="1" applyAlignment="1">
      <alignment/>
    </xf>
    <xf numFmtId="164" fontId="6" fillId="3" borderId="11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/>
    </xf>
    <xf numFmtId="164" fontId="5" fillId="0" borderId="11" xfId="20" applyNumberFormat="1" applyFont="1" applyFill="1" applyBorder="1">
      <alignment/>
      <protection/>
    </xf>
    <xf numFmtId="164" fontId="0" fillId="0" borderId="11" xfId="20" applyNumberFormat="1" applyFont="1" applyFill="1" applyBorder="1">
      <alignment/>
      <protection/>
    </xf>
    <xf numFmtId="164" fontId="0" fillId="0" borderId="11" xfId="20" applyNumberFormat="1" applyFont="1" applyBorder="1">
      <alignment/>
      <protection/>
    </xf>
    <xf numFmtId="0" fontId="15" fillId="0" borderId="12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left"/>
    </xf>
    <xf numFmtId="164" fontId="16" fillId="0" borderId="12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38" fontId="9" fillId="0" borderId="13" xfId="15" applyNumberFormat="1" applyFont="1" applyBorder="1" applyAlignment="1">
      <alignment/>
    </xf>
    <xf numFmtId="3" fontId="4" fillId="3" borderId="13" xfId="0" applyNumberFormat="1" applyFont="1" applyFill="1" applyBorder="1" applyAlignment="1">
      <alignment/>
    </xf>
    <xf numFmtId="165" fontId="4" fillId="3" borderId="8" xfId="0" applyNumberFormat="1" applyFont="1" applyFill="1" applyBorder="1" applyAlignment="1">
      <alignment/>
    </xf>
    <xf numFmtId="164" fontId="4" fillId="3" borderId="13" xfId="0" applyNumberFormat="1" applyFont="1" applyFill="1" applyBorder="1" applyAlignment="1">
      <alignment/>
    </xf>
    <xf numFmtId="164" fontId="21" fillId="0" borderId="12" xfId="0" applyNumberFormat="1" applyFont="1" applyFill="1" applyBorder="1" applyAlignment="1">
      <alignment/>
    </xf>
    <xf numFmtId="164" fontId="22" fillId="0" borderId="11" xfId="0" applyNumberFormat="1" applyFont="1" applyBorder="1" applyAlignment="1">
      <alignment/>
    </xf>
    <xf numFmtId="0" fontId="15" fillId="0" borderId="11" xfId="0" applyFont="1" applyFill="1" applyBorder="1" applyAlignment="1">
      <alignment horizontal="left" wrapText="1"/>
    </xf>
    <xf numFmtId="164" fontId="23" fillId="0" borderId="12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10" fillId="0" borderId="16" xfId="0" applyNumberFormat="1" applyFont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0" borderId="14" xfId="0" applyNumberFormat="1" applyFont="1" applyFill="1" applyBorder="1" applyAlignment="1">
      <alignment/>
    </xf>
    <xf numFmtId="164" fontId="20" fillId="0" borderId="15" xfId="0" applyNumberFormat="1" applyFont="1" applyBorder="1" applyAlignment="1">
      <alignment/>
    </xf>
    <xf numFmtId="164" fontId="15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64" fontId="24" fillId="0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64" fontId="25" fillId="0" borderId="20" xfId="17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>
      <alignment/>
    </xf>
    <xf numFmtId="164" fontId="26" fillId="0" borderId="20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>
      <alignment/>
    </xf>
    <xf numFmtId="164" fontId="25" fillId="0" borderId="18" xfId="0" applyNumberFormat="1" applyFont="1" applyFill="1" applyBorder="1" applyAlignment="1">
      <alignment/>
    </xf>
    <xf numFmtId="164" fontId="26" fillId="0" borderId="21" xfId="0" applyNumberFormat="1" applyFont="1" applyFill="1" applyBorder="1" applyAlignment="1">
      <alignment/>
    </xf>
    <xf numFmtId="164" fontId="26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>
      <alignment horizontal="left"/>
    </xf>
    <xf numFmtId="164" fontId="25" fillId="0" borderId="21" xfId="0" applyNumberFormat="1" applyFont="1" applyFill="1" applyBorder="1" applyAlignment="1">
      <alignment/>
    </xf>
    <xf numFmtId="164" fontId="25" fillId="0" borderId="22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>
      <alignment horizontal="justify" vertical="center"/>
    </xf>
    <xf numFmtId="164" fontId="26" fillId="0" borderId="18" xfId="0" applyNumberFormat="1" applyFont="1" applyFill="1" applyBorder="1" applyAlignment="1">
      <alignment horizontal="justify" vertical="center"/>
    </xf>
    <xf numFmtId="164" fontId="25" fillId="0" borderId="18" xfId="0" applyNumberFormat="1" applyFont="1" applyFill="1" applyBorder="1" applyAlignment="1">
      <alignment vertical="justify"/>
    </xf>
    <xf numFmtId="164" fontId="26" fillId="0" borderId="21" xfId="0" applyNumberFormat="1" applyFont="1" applyFill="1" applyBorder="1" applyAlignment="1">
      <alignment horizontal="justify" vertical="center"/>
    </xf>
    <xf numFmtId="164" fontId="25" fillId="0" borderId="23" xfId="0" applyNumberFormat="1" applyFont="1" applyBorder="1" applyAlignment="1">
      <alignment horizontal="center"/>
    </xf>
    <xf numFmtId="164" fontId="0" fillId="0" borderId="13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3" fontId="0" fillId="4" borderId="13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4" borderId="19" xfId="0" applyNumberForma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65" fontId="0" fillId="0" borderId="13" xfId="0" applyNumberFormat="1" applyBorder="1" applyAlignment="1">
      <alignment/>
    </xf>
    <xf numFmtId="165" fontId="2" fillId="2" borderId="24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2" fillId="2" borderId="6" xfId="0" applyNumberFormat="1" applyFont="1" applyFill="1" applyBorder="1" applyAlignment="1">
      <alignment vertical="center"/>
    </xf>
    <xf numFmtId="38" fontId="4" fillId="3" borderId="13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3" fillId="3" borderId="8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3" fontId="4" fillId="0" borderId="13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3" fontId="15" fillId="0" borderId="13" xfId="15" applyNumberFormat="1" applyFont="1" applyBorder="1" applyAlignment="1">
      <alignment/>
    </xf>
    <xf numFmtId="165" fontId="15" fillId="0" borderId="8" xfId="15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3" fontId="29" fillId="0" borderId="25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165" fontId="23" fillId="0" borderId="8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65" fontId="15" fillId="0" borderId="8" xfId="0" applyNumberFormat="1" applyFont="1" applyBorder="1" applyAlignment="1">
      <alignment/>
    </xf>
    <xf numFmtId="164" fontId="3" fillId="3" borderId="13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>
      <alignment horizontal="right"/>
    </xf>
    <xf numFmtId="38" fontId="15" fillId="0" borderId="13" xfId="15" applyNumberFormat="1" applyFont="1" applyBorder="1" applyAlignment="1">
      <alignment horizontal="right"/>
    </xf>
    <xf numFmtId="3" fontId="13" fillId="3" borderId="13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 shrinkToFit="1"/>
    </xf>
    <xf numFmtId="164" fontId="12" fillId="5" borderId="11" xfId="0" applyNumberFormat="1" applyFont="1" applyFill="1" applyBorder="1" applyAlignment="1">
      <alignment/>
    </xf>
    <xf numFmtId="3" fontId="13" fillId="3" borderId="13" xfId="0" applyNumberFormat="1" applyFont="1" applyFill="1" applyBorder="1" applyAlignment="1">
      <alignment/>
    </xf>
    <xf numFmtId="164" fontId="13" fillId="3" borderId="13" xfId="0" applyNumberFormat="1" applyFont="1" applyFill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5" fillId="0" borderId="2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/>
    </xf>
    <xf numFmtId="164" fontId="25" fillId="5" borderId="18" xfId="0" applyNumberFormat="1" applyFont="1" applyFill="1" applyBorder="1" applyAlignment="1">
      <alignment/>
    </xf>
    <xf numFmtId="164" fontId="25" fillId="5" borderId="18" xfId="0" applyNumberFormat="1" applyFont="1" applyFill="1" applyBorder="1" applyAlignment="1">
      <alignment horizontal="center"/>
    </xf>
    <xf numFmtId="164" fontId="25" fillId="0" borderId="18" xfId="0" applyNumberFormat="1" applyFont="1" applyFill="1" applyBorder="1" applyAlignment="1">
      <alignment horizontal="right"/>
    </xf>
    <xf numFmtId="164" fontId="31" fillId="0" borderId="18" xfId="0" applyNumberFormat="1" applyFont="1" applyFill="1" applyBorder="1" applyAlignment="1">
      <alignment horizontal="right"/>
    </xf>
    <xf numFmtId="164" fontId="28" fillId="0" borderId="18" xfId="0" applyNumberFormat="1" applyFont="1" applyFill="1" applyBorder="1" applyAlignment="1">
      <alignment horizontal="right"/>
    </xf>
    <xf numFmtId="164" fontId="31" fillId="0" borderId="21" xfId="0" applyNumberFormat="1" applyFont="1" applyFill="1" applyBorder="1" applyAlignment="1">
      <alignment horizontal="right"/>
    </xf>
    <xf numFmtId="164" fontId="26" fillId="0" borderId="21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>
      <alignment horizontal="right"/>
    </xf>
    <xf numFmtId="164" fontId="25" fillId="0" borderId="21" xfId="0" applyNumberFormat="1" applyFont="1" applyFill="1" applyBorder="1" applyAlignment="1">
      <alignment horizontal="right"/>
    </xf>
    <xf numFmtId="164" fontId="25" fillId="0" borderId="23" xfId="0" applyNumberFormat="1" applyFont="1" applyBorder="1" applyAlignment="1">
      <alignment horizontal="right"/>
    </xf>
    <xf numFmtId="164" fontId="25" fillId="3" borderId="18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0" fontId="32" fillId="0" borderId="25" xfId="0" applyFont="1" applyFill="1" applyBorder="1" applyAlignment="1">
      <alignment vertical="justify" wrapText="1"/>
    </xf>
    <xf numFmtId="164" fontId="31" fillId="0" borderId="20" xfId="0" applyNumberFormat="1" applyFont="1" applyFill="1" applyBorder="1" applyAlignment="1">
      <alignment horizontal="right"/>
    </xf>
    <xf numFmtId="3" fontId="33" fillId="0" borderId="18" xfId="21" applyNumberFormat="1" applyFont="1" applyFill="1" applyBorder="1" applyAlignment="1">
      <alignment horizontal="left"/>
      <protection/>
    </xf>
    <xf numFmtId="3" fontId="35" fillId="0" borderId="20" xfId="0" applyNumberFormat="1" applyFont="1" applyFill="1" applyBorder="1" applyAlignment="1">
      <alignment horizontal="right"/>
    </xf>
    <xf numFmtId="164" fontId="35" fillId="0" borderId="20" xfId="0" applyNumberFormat="1" applyFont="1" applyFill="1" applyBorder="1" applyAlignment="1">
      <alignment horizontal="right"/>
    </xf>
    <xf numFmtId="164" fontId="35" fillId="0" borderId="20" xfId="0" applyNumberFormat="1" applyFont="1" applyFill="1" applyBorder="1" applyAlignment="1">
      <alignment/>
    </xf>
    <xf numFmtId="164" fontId="35" fillId="3" borderId="20" xfId="0" applyNumberFormat="1" applyFont="1" applyFill="1" applyBorder="1" applyAlignment="1">
      <alignment horizontal="right"/>
    </xf>
    <xf numFmtId="164" fontId="35" fillId="0" borderId="22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3" borderId="0" xfId="0" applyNumberFormat="1" applyFont="1" applyFill="1" applyAlignment="1">
      <alignment/>
    </xf>
    <xf numFmtId="164" fontId="35" fillId="0" borderId="18" xfId="0" applyNumberFormat="1" applyFont="1" applyFill="1" applyBorder="1" applyAlignment="1">
      <alignment horizontal="right"/>
    </xf>
    <xf numFmtId="164" fontId="35" fillId="0" borderId="21" xfId="0" applyNumberFormat="1" applyFont="1" applyFill="1" applyBorder="1" applyAlignment="1">
      <alignment horizontal="right"/>
    </xf>
    <xf numFmtId="164" fontId="35" fillId="3" borderId="18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3" fontId="39" fillId="0" borderId="0" xfId="0" applyNumberFormat="1" applyFont="1" applyFill="1" applyBorder="1" applyAlignment="1">
      <alignment horizontal="right"/>
    </xf>
    <xf numFmtId="164" fontId="40" fillId="3" borderId="18" xfId="0" applyNumberFormat="1" applyFont="1" applyFill="1" applyBorder="1" applyAlignment="1">
      <alignment/>
    </xf>
    <xf numFmtId="164" fontId="39" fillId="0" borderId="22" xfId="0" applyNumberFormat="1" applyFont="1" applyFill="1" applyBorder="1" applyAlignment="1">
      <alignment horizontal="right"/>
    </xf>
    <xf numFmtId="3" fontId="38" fillId="0" borderId="25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/>
    </xf>
    <xf numFmtId="3" fontId="28" fillId="0" borderId="20" xfId="0" applyNumberFormat="1" applyFont="1" applyFill="1" applyBorder="1" applyAlignment="1">
      <alignment horizontal="right"/>
    </xf>
    <xf numFmtId="164" fontId="28" fillId="0" borderId="20" xfId="0" applyNumberFormat="1" applyFont="1" applyFill="1" applyBorder="1" applyAlignment="1">
      <alignment horizontal="right"/>
    </xf>
    <xf numFmtId="164" fontId="35" fillId="0" borderId="20" xfId="17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6" borderId="17" xfId="0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left"/>
      <protection/>
    </xf>
    <xf numFmtId="3" fontId="2" fillId="0" borderId="27" xfId="0" applyNumberFormat="1" applyFont="1" applyFill="1" applyBorder="1" applyAlignment="1" applyProtection="1">
      <alignment/>
      <protection/>
    </xf>
    <xf numFmtId="0" fontId="1" fillId="0" borderId="28" xfId="0" applyFont="1" applyBorder="1" applyAlignment="1" applyProtection="1">
      <alignment horizontal="left"/>
      <protection/>
    </xf>
    <xf numFmtId="3" fontId="2" fillId="0" borderId="20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 locked="0"/>
    </xf>
    <xf numFmtId="0" fontId="30" fillId="0" borderId="28" xfId="0" applyFont="1" applyBorder="1" applyAlignment="1" applyProtection="1">
      <alignment horizontal="left"/>
      <protection/>
    </xf>
    <xf numFmtId="3" fontId="2" fillId="0" borderId="20" xfId="0" applyNumberFormat="1" applyFont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left"/>
      <protection/>
    </xf>
    <xf numFmtId="0" fontId="30" fillId="0" borderId="28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30" fillId="0" borderId="29" xfId="0" applyFont="1" applyBorder="1" applyAlignment="1" applyProtection="1">
      <alignment horizontal="left"/>
      <protection/>
    </xf>
    <xf numFmtId="3" fontId="0" fillId="0" borderId="21" xfId="0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2" fillId="0" borderId="26" xfId="0" applyFont="1" applyBorder="1" applyAlignment="1" applyProtection="1">
      <alignment horizontal="centerContinuous" vertical="center" wrapText="1"/>
      <protection/>
    </xf>
    <xf numFmtId="3" fontId="2" fillId="0" borderId="27" xfId="0" applyNumberFormat="1" applyFont="1" applyBorder="1" applyAlignment="1" applyProtection="1">
      <alignment horizontal="centerContinuous" vertical="center" wrapText="1"/>
      <protection/>
    </xf>
    <xf numFmtId="0" fontId="2" fillId="0" borderId="28" xfId="0" applyFont="1" applyBorder="1" applyAlignment="1" applyProtection="1">
      <alignment horizontal="centerContinuous" vertical="center" wrapText="1"/>
      <protection/>
    </xf>
    <xf numFmtId="3" fontId="2" fillId="0" borderId="18" xfId="0" applyNumberFormat="1" applyFont="1" applyBorder="1" applyAlignment="1" applyProtection="1">
      <alignment horizontal="centerContinuous" vertical="center" wrapText="1"/>
      <protection/>
    </xf>
    <xf numFmtId="3" fontId="2" fillId="0" borderId="21" xfId="0" applyNumberFormat="1" applyFont="1" applyBorder="1" applyAlignment="1" applyProtection="1">
      <alignment horizontal="centerContinuous" vertical="center" wrapText="1"/>
      <protection/>
    </xf>
    <xf numFmtId="0" fontId="2" fillId="0" borderId="26" xfId="0" applyNumberFormat="1" applyFont="1" applyBorder="1" applyAlignment="1" applyProtection="1">
      <alignment horizontal="left"/>
      <protection/>
    </xf>
    <xf numFmtId="3" fontId="2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NumberFormat="1" applyBorder="1" applyAlignment="1" applyProtection="1">
      <alignment horizontal="left"/>
      <protection/>
    </xf>
    <xf numFmtId="3" fontId="0" fillId="0" borderId="18" xfId="0" applyNumberFormat="1" applyFill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 horizontal="left"/>
      <protection/>
    </xf>
    <xf numFmtId="3" fontId="0" fillId="0" borderId="21" xfId="0" applyNumberFormat="1" applyFill="1" applyBorder="1" applyAlignment="1" applyProtection="1">
      <alignment/>
      <protection locked="0"/>
    </xf>
    <xf numFmtId="164" fontId="35" fillId="5" borderId="20" xfId="17" applyNumberFormat="1" applyFont="1" applyFill="1" applyBorder="1" applyAlignment="1">
      <alignment horizontal="right"/>
    </xf>
    <xf numFmtId="3" fontId="19" fillId="3" borderId="13" xfId="0" applyNumberFormat="1" applyFont="1" applyFill="1" applyBorder="1" applyAlignment="1">
      <alignment/>
    </xf>
    <xf numFmtId="165" fontId="19" fillId="3" borderId="8" xfId="0" applyNumberFormat="1" applyFont="1" applyFill="1" applyBorder="1" applyAlignment="1">
      <alignment/>
    </xf>
    <xf numFmtId="165" fontId="13" fillId="0" borderId="8" xfId="0" applyNumberFormat="1" applyFont="1" applyBorder="1" applyAlignment="1">
      <alignment/>
    </xf>
    <xf numFmtId="165" fontId="37" fillId="3" borderId="8" xfId="0" applyNumberFormat="1" applyFont="1" applyFill="1" applyBorder="1" applyAlignment="1">
      <alignment/>
    </xf>
    <xf numFmtId="165" fontId="37" fillId="0" borderId="8" xfId="0" applyNumberFormat="1" applyFont="1" applyBorder="1" applyAlignment="1">
      <alignment/>
    </xf>
    <xf numFmtId="164" fontId="6" fillId="4" borderId="11" xfId="0" applyNumberFormat="1" applyFont="1" applyFill="1" applyBorder="1" applyAlignment="1">
      <alignment/>
    </xf>
    <xf numFmtId="165" fontId="44" fillId="3" borderId="8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5" fontId="45" fillId="3" borderId="8" xfId="0" applyNumberFormat="1" applyFont="1" applyFill="1" applyBorder="1" applyAlignment="1">
      <alignment/>
    </xf>
    <xf numFmtId="164" fontId="5" fillId="7" borderId="11" xfId="0" applyNumberFormat="1" applyFont="1" applyFill="1" applyBorder="1" applyAlignment="1">
      <alignment/>
    </xf>
    <xf numFmtId="164" fontId="6" fillId="7" borderId="11" xfId="0" applyNumberFormat="1" applyFont="1" applyFill="1" applyBorder="1" applyAlignment="1">
      <alignment/>
    </xf>
    <xf numFmtId="165" fontId="46" fillId="3" borderId="8" xfId="0" applyNumberFormat="1" applyFont="1" applyFill="1" applyBorder="1" applyAlignment="1">
      <alignment/>
    </xf>
    <xf numFmtId="164" fontId="12" fillId="8" borderId="11" xfId="0" applyNumberFormat="1" applyFont="1" applyFill="1" applyBorder="1" applyAlignment="1">
      <alignment/>
    </xf>
    <xf numFmtId="165" fontId="47" fillId="3" borderId="8" xfId="0" applyNumberFormat="1" applyFont="1" applyFill="1" applyBorder="1" applyAlignment="1">
      <alignment/>
    </xf>
    <xf numFmtId="164" fontId="48" fillId="0" borderId="11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horizontal="right" vertical="top" wrapText="1"/>
      <protection/>
    </xf>
    <xf numFmtId="164" fontId="0" fillId="0" borderId="18" xfId="0" applyNumberFormat="1" applyFill="1" applyBorder="1" applyAlignment="1" applyProtection="1">
      <alignment/>
      <protection locked="0"/>
    </xf>
    <xf numFmtId="0" fontId="1" fillId="6" borderId="28" xfId="0" applyFont="1" applyFill="1" applyBorder="1" applyAlignment="1" applyProtection="1">
      <alignment horizontal="left"/>
      <protection/>
    </xf>
    <xf numFmtId="164" fontId="0" fillId="0" borderId="18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left"/>
      <protection/>
    </xf>
    <xf numFmtId="164" fontId="0" fillId="0" borderId="21" xfId="0" applyNumberFormat="1" applyFont="1" applyFill="1" applyBorder="1" applyAlignment="1" applyProtection="1">
      <alignment/>
      <protection locked="0"/>
    </xf>
    <xf numFmtId="0" fontId="49" fillId="0" borderId="0" xfId="0" applyNumberFormat="1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50" fillId="3" borderId="28" xfId="0" applyFont="1" applyFill="1" applyBorder="1" applyAlignment="1" applyProtection="1">
      <alignment horizontal="left"/>
      <protection/>
    </xf>
    <xf numFmtId="165" fontId="36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51" fillId="0" borderId="28" xfId="0" applyFont="1" applyBorder="1" applyAlignment="1" applyProtection="1">
      <alignment horizontal="left"/>
      <protection/>
    </xf>
    <xf numFmtId="0" fontId="50" fillId="0" borderId="28" xfId="0" applyFont="1" applyBorder="1" applyAlignment="1" applyProtection="1">
      <alignment horizontal="left"/>
      <protection/>
    </xf>
    <xf numFmtId="0" fontId="52" fillId="0" borderId="28" xfId="0" applyFont="1" applyBorder="1" applyAlignment="1" applyProtection="1">
      <alignment horizontal="left"/>
      <protection/>
    </xf>
    <xf numFmtId="165" fontId="53" fillId="0" borderId="0" xfId="0" applyNumberFormat="1" applyFont="1" applyAlignment="1">
      <alignment/>
    </xf>
    <xf numFmtId="0" fontId="54" fillId="0" borderId="26" xfId="0" applyFont="1" applyBorder="1" applyAlignment="1" applyProtection="1">
      <alignment horizontal="left"/>
      <protection/>
    </xf>
    <xf numFmtId="165" fontId="46" fillId="0" borderId="0" xfId="0" applyNumberFormat="1" applyFont="1" applyAlignment="1">
      <alignment/>
    </xf>
    <xf numFmtId="164" fontId="55" fillId="0" borderId="18" xfId="0" applyNumberFormat="1" applyFont="1" applyFill="1" applyBorder="1" applyAlignment="1" applyProtection="1">
      <alignment/>
      <protection locked="0"/>
    </xf>
    <xf numFmtId="3" fontId="55" fillId="0" borderId="18" xfId="0" applyNumberFormat="1" applyFont="1" applyFill="1" applyBorder="1" applyAlignment="1" applyProtection="1">
      <alignment/>
      <protection locked="0"/>
    </xf>
    <xf numFmtId="164" fontId="55" fillId="0" borderId="21" xfId="0" applyNumberFormat="1" applyFont="1" applyFill="1" applyBorder="1" applyAlignment="1" applyProtection="1">
      <alignment/>
      <protection locked="0"/>
    </xf>
    <xf numFmtId="3" fontId="43" fillId="0" borderId="18" xfId="0" applyNumberFormat="1" applyFont="1" applyFill="1" applyBorder="1" applyAlignment="1" applyProtection="1">
      <alignment/>
      <protection/>
    </xf>
    <xf numFmtId="3" fontId="55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0" fontId="0" fillId="5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0" fontId="25" fillId="0" borderId="0" xfId="17" applyNumberFormat="1" applyFont="1" applyFill="1" applyBorder="1" applyAlignment="1">
      <alignment horizontal="right"/>
    </xf>
    <xf numFmtId="164" fontId="2" fillId="0" borderId="19" xfId="0" applyNumberFormat="1" applyFont="1" applyBorder="1" applyAlignment="1">
      <alignment/>
    </xf>
    <xf numFmtId="3" fontId="2" fillId="2" borderId="24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Millares_Ejecución Gastos 2004" xfId="17"/>
    <cellStyle name="Currency" xfId="18"/>
    <cellStyle name="Currency [0]" xfId="19"/>
    <cellStyle name="Normal_Ingresos" xfId="20"/>
    <cellStyle name="Normal_LisEjecPptalGastosM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INGRESOS!$Y$167:$Y$168</c:f>
              <c:numCache>
                <c:ptCount val="2"/>
                <c:pt idx="0">
                  <c:v>16497.2525658192</c:v>
                </c:pt>
                <c:pt idx="1">
                  <c:v>70749.677448</c:v>
                </c:pt>
              </c:numCache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B443"/>
  <sheetViews>
    <sheetView workbookViewId="0" topLeftCell="B1">
      <pane xSplit="1" ySplit="3" topLeftCell="O4" activePane="bottomRight" state="frozen"/>
      <selection pane="topLeft" activeCell="U20" sqref="U20"/>
      <selection pane="topRight" activeCell="U20" sqref="U20"/>
      <selection pane="bottomLeft" activeCell="U20" sqref="U20"/>
      <selection pane="bottomRight" activeCell="O1" sqref="O1"/>
    </sheetView>
  </sheetViews>
  <sheetFormatPr defaultColWidth="11.421875" defaultRowHeight="12.75"/>
  <cols>
    <col min="2" max="2" width="36.7109375" style="0" customWidth="1"/>
    <col min="3" max="3" width="12.28125" style="0" bestFit="1" customWidth="1"/>
    <col min="15" max="15" width="13.8515625" style="0" customWidth="1"/>
  </cols>
  <sheetData>
    <row r="1" spans="1:28" ht="12.75">
      <c r="A1" s="1"/>
      <c r="B1" s="2"/>
      <c r="C1" s="275">
        <v>2002</v>
      </c>
      <c r="D1" s="3"/>
      <c r="E1" s="4"/>
      <c r="F1" s="5"/>
      <c r="G1" s="278">
        <v>2003</v>
      </c>
      <c r="H1" s="3"/>
      <c r="I1" s="4"/>
      <c r="J1" s="5"/>
      <c r="K1" s="6"/>
      <c r="L1" s="3"/>
      <c r="M1" s="4"/>
      <c r="N1" s="5"/>
      <c r="O1" s="113"/>
      <c r="P1" s="113"/>
      <c r="Q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2.75">
      <c r="A2" s="7" t="s">
        <v>125</v>
      </c>
      <c r="B2" s="8" t="s">
        <v>126</v>
      </c>
      <c r="C2" s="276"/>
      <c r="D2" s="9" t="s">
        <v>127</v>
      </c>
      <c r="E2" s="272" t="s">
        <v>128</v>
      </c>
      <c r="F2" s="273"/>
      <c r="G2" s="279"/>
      <c r="H2" s="9" t="s">
        <v>127</v>
      </c>
      <c r="I2" s="272" t="s">
        <v>128</v>
      </c>
      <c r="J2" s="273"/>
      <c r="K2" s="10">
        <v>2004</v>
      </c>
      <c r="L2" s="9" t="s">
        <v>127</v>
      </c>
      <c r="M2" s="272" t="s">
        <v>128</v>
      </c>
      <c r="N2" s="273"/>
      <c r="O2" s="114">
        <v>2005</v>
      </c>
      <c r="P2" s="116" t="s">
        <v>127</v>
      </c>
      <c r="Q2" s="116" t="s">
        <v>1104</v>
      </c>
      <c r="T2" s="114">
        <v>2006</v>
      </c>
      <c r="U2" s="114">
        <v>2007</v>
      </c>
      <c r="V2" s="114">
        <v>2008</v>
      </c>
      <c r="W2" s="114">
        <v>2009</v>
      </c>
      <c r="X2" s="114">
        <v>2010</v>
      </c>
      <c r="Y2" s="114">
        <v>2011</v>
      </c>
      <c r="Z2" s="114">
        <v>2012</v>
      </c>
      <c r="AA2" s="114">
        <v>2013</v>
      </c>
      <c r="AB2" s="114">
        <v>2014</v>
      </c>
    </row>
    <row r="3" spans="1:28" ht="13.5" thickBot="1">
      <c r="A3" s="11"/>
      <c r="B3" s="12"/>
      <c r="C3" s="277"/>
      <c r="D3" s="13"/>
      <c r="E3" s="14" t="s">
        <v>129</v>
      </c>
      <c r="F3" s="15" t="s">
        <v>130</v>
      </c>
      <c r="G3" s="277"/>
      <c r="H3" s="13"/>
      <c r="I3" s="14" t="s">
        <v>129</v>
      </c>
      <c r="J3" s="15" t="s">
        <v>130</v>
      </c>
      <c r="K3" s="16"/>
      <c r="L3" s="112"/>
      <c r="M3" s="14" t="s">
        <v>129</v>
      </c>
      <c r="N3" s="15" t="s">
        <v>130</v>
      </c>
      <c r="O3" s="115"/>
      <c r="P3" s="13"/>
      <c r="Q3" s="13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5.75">
      <c r="A4" s="17">
        <v>1</v>
      </c>
      <c r="B4" s="18" t="s">
        <v>131</v>
      </c>
      <c r="C4" s="19">
        <f>SUM(C5+C151+C216)</f>
        <v>14199057.210959999</v>
      </c>
      <c r="D4" s="20"/>
      <c r="E4" s="120">
        <f aca="true" t="shared" si="0" ref="E4:E67">G4/C4-1</f>
        <v>0.28374248056696216</v>
      </c>
      <c r="F4" s="19">
        <f aca="true" t="shared" si="1" ref="F4:F67">G4-C4</f>
        <v>4028875.714750001</v>
      </c>
      <c r="G4" s="19">
        <f>SUM(G5+G151+G216)</f>
        <v>18227932.92571</v>
      </c>
      <c r="H4" s="20"/>
      <c r="I4" s="120">
        <f aca="true" t="shared" si="2" ref="I4:I67">K4/G4-1</f>
        <v>0.27582784101254143</v>
      </c>
      <c r="J4" s="19">
        <f aca="true" t="shared" si="3" ref="J4:J67">K4-G4</f>
        <v>5027771.385020006</v>
      </c>
      <c r="K4" s="21">
        <f>SUM(K5+K151+K216)</f>
        <v>23255704.310730007</v>
      </c>
      <c r="L4" s="20"/>
      <c r="M4" s="120">
        <f aca="true" t="shared" si="4" ref="M4:M67">O4/K4-1</f>
        <v>-0.08022531959477952</v>
      </c>
      <c r="N4" s="19">
        <f aca="true" t="shared" si="5" ref="N4:N67">O4-K4</f>
        <v>-1865696.3107300065</v>
      </c>
      <c r="O4" s="21">
        <f>SUM(O5+O151+O216)</f>
        <v>21390008</v>
      </c>
      <c r="P4" s="20"/>
      <c r="Q4" s="121">
        <f>SUM(E4+I4+M4)/3</f>
        <v>0.15978166732824137</v>
      </c>
      <c r="R4" s="121"/>
      <c r="S4" s="121"/>
      <c r="T4" s="21">
        <f aca="true" t="shared" si="6" ref="T4:AB4">SUM(T5+T151+T216)</f>
        <v>23160969.5482</v>
      </c>
      <c r="U4" s="21">
        <f t="shared" si="6"/>
        <v>25094546.372363217</v>
      </c>
      <c r="V4" s="21">
        <f t="shared" si="6"/>
        <v>27286373.099658832</v>
      </c>
      <c r="W4" s="21">
        <f t="shared" si="6"/>
        <v>29688355.34028878</v>
      </c>
      <c r="X4" s="21">
        <f t="shared" si="6"/>
        <v>31666034.668025453</v>
      </c>
      <c r="Y4" s="21">
        <f t="shared" si="6"/>
        <v>34513061.13355221</v>
      </c>
      <c r="Z4" s="21">
        <f t="shared" si="6"/>
        <v>37642146.70159334</v>
      </c>
      <c r="AA4" s="21">
        <f t="shared" si="6"/>
        <v>41084215.48280056</v>
      </c>
      <c r="AB4" s="21">
        <f t="shared" si="6"/>
        <v>44873927.43945348</v>
      </c>
    </row>
    <row r="5" spans="1:28" ht="15.75">
      <c r="A5" s="22">
        <v>1.1</v>
      </c>
      <c r="B5" s="229" t="s">
        <v>132</v>
      </c>
      <c r="C5" s="24">
        <f>SUM(C6+C46)</f>
        <v>9813319.03108</v>
      </c>
      <c r="D5" s="20">
        <f>C5/C4</f>
        <v>0.6911246912580418</v>
      </c>
      <c r="E5" s="120">
        <f t="shared" si="0"/>
        <v>0.35828328747537475</v>
      </c>
      <c r="F5" s="19">
        <f t="shared" si="1"/>
        <v>3515948.2035000008</v>
      </c>
      <c r="G5" s="24">
        <f>SUM(G6+G46)</f>
        <v>13329267.23458</v>
      </c>
      <c r="H5" s="20">
        <f>G5/G4</f>
        <v>0.7312550078445502</v>
      </c>
      <c r="I5" s="120">
        <f t="shared" si="2"/>
        <v>0.44810167981887616</v>
      </c>
      <c r="J5" s="19">
        <f t="shared" si="3"/>
        <v>5972867.038570004</v>
      </c>
      <c r="K5" s="25">
        <f>SUM(K6+K46)</f>
        <v>19302134.273150004</v>
      </c>
      <c r="L5" s="20">
        <f>K5/K4</f>
        <v>0.8299956868751615</v>
      </c>
      <c r="M5" s="120">
        <f t="shared" si="4"/>
        <v>-0.040139668607929724</v>
      </c>
      <c r="N5" s="19">
        <f t="shared" si="5"/>
        <v>-774781.2731500044</v>
      </c>
      <c r="O5" s="25">
        <f>SUM(O6+O46)</f>
        <v>18527353</v>
      </c>
      <c r="P5" s="20">
        <f>O5/O4</f>
        <v>0.8661685867532167</v>
      </c>
      <c r="Q5" s="121">
        <f aca="true" t="shared" si="7" ref="Q5:Q68">SUM(E5+I5+M5)/3</f>
        <v>0.25541509956210706</v>
      </c>
      <c r="R5" s="121"/>
      <c r="S5" s="121"/>
      <c r="T5" s="25">
        <f aca="true" t="shared" si="8" ref="T5:AB5">SUM(T6+T46)</f>
        <v>20106687.2082</v>
      </c>
      <c r="U5" s="25">
        <f t="shared" si="8"/>
        <v>21834546.16996322</v>
      </c>
      <c r="V5" s="25">
        <f t="shared" si="8"/>
        <v>23785177.84106683</v>
      </c>
      <c r="W5" s="25">
        <f t="shared" si="8"/>
        <v>25926669.42100942</v>
      </c>
      <c r="X5" s="25">
        <f t="shared" si="8"/>
        <v>27623018.835203744</v>
      </c>
      <c r="Y5" s="25">
        <f t="shared" si="8"/>
        <v>30166208.99410476</v>
      </c>
      <c r="Z5" s="25">
        <f t="shared" si="8"/>
        <v>32967151.3509901</v>
      </c>
      <c r="AA5" s="25">
        <f t="shared" si="8"/>
        <v>36054825.46414906</v>
      </c>
      <c r="AB5" s="25">
        <f t="shared" si="8"/>
        <v>39461791.17930986</v>
      </c>
    </row>
    <row r="6" spans="1:28" ht="15.75">
      <c r="A6" s="22" t="s">
        <v>133</v>
      </c>
      <c r="B6" s="26" t="s">
        <v>134</v>
      </c>
      <c r="C6" s="24">
        <f>C7+C19</f>
        <v>5058216</v>
      </c>
      <c r="D6" s="20">
        <f>C6/C5</f>
        <v>0.5154439577455906</v>
      </c>
      <c r="E6" s="120">
        <f t="shared" si="0"/>
        <v>0.20301592559511095</v>
      </c>
      <c r="F6" s="19">
        <f t="shared" si="1"/>
        <v>1026898.4030999998</v>
      </c>
      <c r="G6" s="24">
        <f>G7+G19</f>
        <v>6085114.4031</v>
      </c>
      <c r="H6" s="230">
        <f>G6/G5</f>
        <v>0.45652280024166975</v>
      </c>
      <c r="I6" s="120">
        <f t="shared" si="2"/>
        <v>0.24681245288254283</v>
      </c>
      <c r="J6" s="19">
        <f t="shared" si="3"/>
        <v>1501882.0119000012</v>
      </c>
      <c r="K6" s="25">
        <f>K7+K19</f>
        <v>7586996.415000001</v>
      </c>
      <c r="L6" s="20">
        <f>K6/K5</f>
        <v>0.3930651557819592</v>
      </c>
      <c r="M6" s="120">
        <f t="shared" si="4"/>
        <v>0.03974044121121412</v>
      </c>
      <c r="N6" s="19">
        <f t="shared" si="5"/>
        <v>301510.58499999903</v>
      </c>
      <c r="O6" s="25">
        <f>O7+O19</f>
        <v>7888507</v>
      </c>
      <c r="P6" s="20">
        <f>O6/O5</f>
        <v>0.42577625632760385</v>
      </c>
      <c r="Q6" s="121">
        <f t="shared" si="7"/>
        <v>0.16318960656295597</v>
      </c>
      <c r="R6" s="121"/>
      <c r="S6" s="121"/>
      <c r="T6" s="25">
        <f aca="true" t="shared" si="9" ref="T6:AB6">T7+T19</f>
        <v>8648682.8732</v>
      </c>
      <c r="U6" s="25">
        <f t="shared" si="9"/>
        <v>9493296.28699622</v>
      </c>
      <c r="V6" s="25">
        <f t="shared" si="9"/>
        <v>10432907.024363548</v>
      </c>
      <c r="W6" s="25">
        <f t="shared" si="9"/>
        <v>11479507.024018224</v>
      </c>
      <c r="X6" s="25">
        <f t="shared" si="9"/>
        <v>11990005.209991805</v>
      </c>
      <c r="Y6" s="25">
        <f t="shared" si="9"/>
        <v>13248679.861749753</v>
      </c>
      <c r="Z6" s="25">
        <f t="shared" si="9"/>
        <v>14658066.669012198</v>
      </c>
      <c r="AA6" s="25">
        <f t="shared" si="9"/>
        <v>16238037.538038602</v>
      </c>
      <c r="AB6" s="25">
        <f t="shared" si="9"/>
        <v>18011246.238398034</v>
      </c>
    </row>
    <row r="7" spans="1:28" ht="15.75">
      <c r="A7" s="22" t="s">
        <v>135</v>
      </c>
      <c r="B7" s="27" t="s">
        <v>136</v>
      </c>
      <c r="C7" s="24">
        <f>SUM(C8+C13+C18)</f>
        <v>2831400</v>
      </c>
      <c r="D7" s="20">
        <f>C7/C6</f>
        <v>0.5597625724168362</v>
      </c>
      <c r="E7" s="120">
        <f t="shared" si="0"/>
        <v>0.05682968111181719</v>
      </c>
      <c r="F7" s="19">
        <f t="shared" si="1"/>
        <v>160907.55909999926</v>
      </c>
      <c r="G7" s="24">
        <f>SUM(G8+G13)</f>
        <v>2992307.5590999993</v>
      </c>
      <c r="H7" s="225">
        <f>G7/G6</f>
        <v>0.49174220250906026</v>
      </c>
      <c r="I7" s="120">
        <f t="shared" si="2"/>
        <v>0.09048469301779849</v>
      </c>
      <c r="J7" s="19">
        <f t="shared" si="3"/>
        <v>270758.03090000106</v>
      </c>
      <c r="K7" s="25">
        <f>SUM(K8+K13)</f>
        <v>3263065.5900000003</v>
      </c>
      <c r="L7" s="20">
        <f>K7/K6</f>
        <v>0.4300866128720848</v>
      </c>
      <c r="M7" s="120">
        <f t="shared" si="4"/>
        <v>0.051156314636016775</v>
      </c>
      <c r="N7" s="19">
        <f t="shared" si="5"/>
        <v>166926.40999999968</v>
      </c>
      <c r="O7" s="25">
        <f>SUM(O8+O13+O18)</f>
        <v>3429992</v>
      </c>
      <c r="P7" s="20">
        <f>O7/O6</f>
        <v>0.4348087667286091</v>
      </c>
      <c r="Q7" s="121">
        <f t="shared" si="7"/>
        <v>0.06615689625521082</v>
      </c>
      <c r="R7" s="121"/>
      <c r="S7" s="121"/>
      <c r="T7" s="25">
        <f aca="true" t="shared" si="10" ref="T7:AB7">SUM(T8+T13+T18)</f>
        <v>3679815.5538</v>
      </c>
      <c r="U7" s="25">
        <f t="shared" si="10"/>
        <v>3948187.80070818</v>
      </c>
      <c r="V7" s="25">
        <f t="shared" si="10"/>
        <v>4236503.531786751</v>
      </c>
      <c r="W7" s="25">
        <f t="shared" si="10"/>
        <v>4546263.365113879</v>
      </c>
      <c r="X7" s="25">
        <f t="shared" si="10"/>
        <v>4879081.827107115</v>
      </c>
      <c r="Y7" s="25">
        <f t="shared" si="10"/>
        <v>5236696.053834549</v>
      </c>
      <c r="Z7" s="25">
        <f t="shared" si="10"/>
        <v>5620975.160036681</v>
      </c>
      <c r="AA7" s="25">
        <f t="shared" si="10"/>
        <v>6033930.327264188</v>
      </c>
      <c r="AB7" s="25">
        <f t="shared" si="10"/>
        <v>6477725.666503506</v>
      </c>
    </row>
    <row r="8" spans="1:28" ht="15.75">
      <c r="A8" s="22" t="s">
        <v>137</v>
      </c>
      <c r="B8" s="23" t="s">
        <v>138</v>
      </c>
      <c r="C8" s="24">
        <f>SUM(C9:C12)</f>
        <v>2208112</v>
      </c>
      <c r="D8" s="20">
        <f>C8/C7</f>
        <v>0.7798657907748817</v>
      </c>
      <c r="E8" s="120">
        <f t="shared" si="0"/>
        <v>0.08980803740933396</v>
      </c>
      <c r="F8" s="19">
        <f t="shared" si="1"/>
        <v>198306.20509999944</v>
      </c>
      <c r="G8" s="24">
        <f>SUM(G9:G12)</f>
        <v>2406418.2050999994</v>
      </c>
      <c r="H8" s="227">
        <f>G8/G7</f>
        <v>0.8042014925176278</v>
      </c>
      <c r="I8" s="120">
        <f t="shared" si="2"/>
        <v>0.08867433991637941</v>
      </c>
      <c r="J8" s="19">
        <f t="shared" si="3"/>
        <v>213387.54590000072</v>
      </c>
      <c r="K8" s="25">
        <f>SUM(K9:K12)</f>
        <v>2619805.751</v>
      </c>
      <c r="L8" s="20">
        <f>K8/K7</f>
        <v>0.8028664085173967</v>
      </c>
      <c r="M8" s="120">
        <f t="shared" si="4"/>
        <v>0.0544266493596226</v>
      </c>
      <c r="N8" s="19">
        <f t="shared" si="5"/>
        <v>142587.24899999984</v>
      </c>
      <c r="O8" s="25">
        <f>SUM(O9:O12)</f>
        <v>2762393</v>
      </c>
      <c r="P8" s="20">
        <f>O8/O7</f>
        <v>0.8053642690711815</v>
      </c>
      <c r="Q8" s="121">
        <f t="shared" si="7"/>
        <v>0.07763634222844533</v>
      </c>
      <c r="R8" s="121"/>
      <c r="S8" s="121"/>
      <c r="T8" s="25">
        <f aca="true" t="shared" si="11" ref="T8:AB8">SUM(T9:T12)</f>
        <v>2976754.6968</v>
      </c>
      <c r="U8" s="25">
        <f t="shared" si="11"/>
        <v>3207750.86127168</v>
      </c>
      <c r="V8" s="25">
        <f t="shared" si="11"/>
        <v>3456672.3281063624</v>
      </c>
      <c r="W8" s="25">
        <f t="shared" si="11"/>
        <v>3724910.1007674164</v>
      </c>
      <c r="X8" s="25">
        <f t="shared" si="11"/>
        <v>4013963.1245869678</v>
      </c>
      <c r="Y8" s="25">
        <f t="shared" si="11"/>
        <v>4325446.663054917</v>
      </c>
      <c r="Z8" s="25">
        <f t="shared" si="11"/>
        <v>4661101.3241079785</v>
      </c>
      <c r="AA8" s="25">
        <f t="shared" si="11"/>
        <v>5022802.786858758</v>
      </c>
      <c r="AB8" s="25">
        <f t="shared" si="11"/>
        <v>5412572.283118997</v>
      </c>
    </row>
    <row r="9" spans="1:28" ht="15">
      <c r="A9" s="28" t="s">
        <v>139</v>
      </c>
      <c r="B9" s="29" t="s">
        <v>140</v>
      </c>
      <c r="C9" s="122">
        <v>1242572</v>
      </c>
      <c r="D9" s="123">
        <f>C9/C8</f>
        <v>0.5627305136695965</v>
      </c>
      <c r="E9" s="120">
        <f t="shared" si="0"/>
        <v>0.07605683059009838</v>
      </c>
      <c r="F9" s="19">
        <f t="shared" si="1"/>
        <v>94506.08809999982</v>
      </c>
      <c r="G9" s="122">
        <v>1337078.0880999998</v>
      </c>
      <c r="H9" s="123">
        <f>G9/G8</f>
        <v>0.5556299753992416</v>
      </c>
      <c r="I9" s="120">
        <f t="shared" si="2"/>
        <v>0.05634744490283339</v>
      </c>
      <c r="J9" s="19">
        <f t="shared" si="3"/>
        <v>75340.93390000053</v>
      </c>
      <c r="K9" s="63">
        <v>1412419.0220000003</v>
      </c>
      <c r="L9" s="123">
        <f>K9/K8</f>
        <v>0.5391312014109707</v>
      </c>
      <c r="M9" s="120">
        <f t="shared" si="4"/>
        <v>0.18468667862503452</v>
      </c>
      <c r="N9" s="19">
        <f t="shared" si="5"/>
        <v>260854.97799999965</v>
      </c>
      <c r="O9" s="61">
        <v>1673274</v>
      </c>
      <c r="P9" s="123">
        <f>O9/O8</f>
        <v>0.6057335071439871</v>
      </c>
      <c r="Q9" s="121">
        <f t="shared" si="7"/>
        <v>0.10569698470598876</v>
      </c>
      <c r="R9" s="121">
        <v>0.0776</v>
      </c>
      <c r="S9" s="121"/>
      <c r="T9" s="137">
        <f>(O9*R9)+O9</f>
        <v>1803120.0624</v>
      </c>
      <c r="U9" s="137">
        <f>(T9*R9)+T9</f>
        <v>1943042.17924224</v>
      </c>
      <c r="V9" s="137">
        <f>(U9*R9)+U9</f>
        <v>2093822.252351438</v>
      </c>
      <c r="W9" s="137">
        <f>(V9*R9)+V9</f>
        <v>2256302.8591339095</v>
      </c>
      <c r="X9" s="137">
        <f>(W9*R9)+W9</f>
        <v>2431391.961002701</v>
      </c>
      <c r="Y9" s="137">
        <f>(X9*R9)+X9</f>
        <v>2620067.9771765107</v>
      </c>
      <c r="Z9" s="137">
        <f>(Y9*R9)+Y9</f>
        <v>2823385.252205408</v>
      </c>
      <c r="AA9" s="137">
        <f>(Z9*R9)+Z9</f>
        <v>3042479.9477765476</v>
      </c>
      <c r="AB9" s="61">
        <f>(AA9*R9)+AA9</f>
        <v>3278576.3917240077</v>
      </c>
    </row>
    <row r="10" spans="1:28" ht="15">
      <c r="A10" s="28" t="s">
        <v>141</v>
      </c>
      <c r="B10" s="29" t="s">
        <v>142</v>
      </c>
      <c r="C10" s="122">
        <v>44512</v>
      </c>
      <c r="D10" s="123">
        <f>C10/C8</f>
        <v>0.02015839776243234</v>
      </c>
      <c r="E10" s="120">
        <f t="shared" si="0"/>
        <v>-0.3918568026599569</v>
      </c>
      <c r="F10" s="19">
        <f t="shared" si="1"/>
        <v>-17442.33</v>
      </c>
      <c r="G10" s="122">
        <v>27069.67</v>
      </c>
      <c r="H10" s="123">
        <f>G10/G8</f>
        <v>0.011248946647191406</v>
      </c>
      <c r="I10" s="120">
        <f t="shared" si="2"/>
        <v>-0.007812618328926879</v>
      </c>
      <c r="J10" s="19">
        <f t="shared" si="3"/>
        <v>-211.48500000000058</v>
      </c>
      <c r="K10" s="63">
        <v>26858.184999999998</v>
      </c>
      <c r="L10" s="123">
        <f>K10/K8</f>
        <v>0.010251975738944775</v>
      </c>
      <c r="M10" s="120">
        <f t="shared" si="4"/>
        <v>-0.3098937995996378</v>
      </c>
      <c r="N10" s="19">
        <f t="shared" si="5"/>
        <v>-8323.184999999998</v>
      </c>
      <c r="O10" s="61">
        <v>18535</v>
      </c>
      <c r="P10" s="123">
        <f>O10/O8</f>
        <v>0.006709762151873394</v>
      </c>
      <c r="Q10" s="121">
        <f t="shared" si="7"/>
        <v>-0.23652107352950721</v>
      </c>
      <c r="R10" s="121">
        <v>0.0776</v>
      </c>
      <c r="S10" s="121"/>
      <c r="T10" s="137">
        <f>(O10*R10)+O10</f>
        <v>19973.316</v>
      </c>
      <c r="U10" s="137">
        <f>(T10*R10)+T10</f>
        <v>21523.2453216</v>
      </c>
      <c r="V10" s="137">
        <f>(U10*R10)+U10</f>
        <v>23193.44915855616</v>
      </c>
      <c r="W10" s="137">
        <f>(V10*R10)+V10</f>
        <v>24993.260813260116</v>
      </c>
      <c r="X10" s="137">
        <f>(W10*R10)+W10</f>
        <v>26932.7378523691</v>
      </c>
      <c r="Y10" s="137">
        <f>(X10*R10)+X10</f>
        <v>29022.718309712942</v>
      </c>
      <c r="Z10" s="137">
        <f>(Y10*R10)+Y10</f>
        <v>31274.881250546667</v>
      </c>
      <c r="AA10" s="137">
        <f>(Z10*R10)+Z10</f>
        <v>33701.812035589086</v>
      </c>
      <c r="AB10" s="61">
        <f>(AA10*R10)+AA10</f>
        <v>36317.0726495508</v>
      </c>
    </row>
    <row r="11" spans="1:28" ht="15">
      <c r="A11" s="28" t="s">
        <v>143</v>
      </c>
      <c r="B11" s="29" t="s">
        <v>144</v>
      </c>
      <c r="C11" s="122">
        <v>529597</v>
      </c>
      <c r="D11" s="123">
        <f>C11/C8</f>
        <v>0.2398415478924982</v>
      </c>
      <c r="E11" s="120">
        <f t="shared" si="0"/>
        <v>0.13480712881681733</v>
      </c>
      <c r="F11" s="19">
        <f t="shared" si="1"/>
        <v>71393.451</v>
      </c>
      <c r="G11" s="122">
        <v>600990.451</v>
      </c>
      <c r="H11" s="123">
        <f>G11/G8</f>
        <v>0.24974480733494353</v>
      </c>
      <c r="I11" s="120">
        <f t="shared" si="2"/>
        <v>0.06028884641962473</v>
      </c>
      <c r="J11" s="19">
        <f t="shared" si="3"/>
        <v>36233.021000000066</v>
      </c>
      <c r="K11" s="63">
        <v>637223.4720000001</v>
      </c>
      <c r="L11" s="123">
        <f>K11/K8</f>
        <v>0.24323309915506786</v>
      </c>
      <c r="M11" s="120">
        <f t="shared" si="4"/>
        <v>-0.08163929027397798</v>
      </c>
      <c r="N11" s="19">
        <f t="shared" si="5"/>
        <v>-52022.47200000007</v>
      </c>
      <c r="O11" s="61">
        <v>585201</v>
      </c>
      <c r="P11" s="123">
        <f>O11/O8</f>
        <v>0.21184567148845224</v>
      </c>
      <c r="Q11" s="121">
        <f t="shared" si="7"/>
        <v>0.03781889498748803</v>
      </c>
      <c r="R11" s="121">
        <v>0.0776</v>
      </c>
      <c r="S11" s="121"/>
      <c r="T11" s="137">
        <f>(O11*R11)+O11</f>
        <v>630612.5976</v>
      </c>
      <c r="U11" s="137">
        <f>(T11*R11)+T11</f>
        <v>679548.13517376</v>
      </c>
      <c r="V11" s="137">
        <f>(U11*R11)+U11</f>
        <v>732281.0704632438</v>
      </c>
      <c r="W11" s="137">
        <f>(V11*R11)+V11</f>
        <v>789106.0815311915</v>
      </c>
      <c r="X11" s="137">
        <f>(W11*R11)+W11</f>
        <v>850340.713458012</v>
      </c>
      <c r="Y11" s="137">
        <f>(X11*R11)+X11</f>
        <v>916327.1528223536</v>
      </c>
      <c r="Z11" s="137">
        <f>(Y11*R11)+Y11</f>
        <v>987434.1398813683</v>
      </c>
      <c r="AA11" s="137">
        <f>(Z11*R11)+Z11</f>
        <v>1064059.0291361625</v>
      </c>
      <c r="AB11" s="61">
        <f>(AA11*R11)+AA11</f>
        <v>1146630.0097971286</v>
      </c>
    </row>
    <row r="12" spans="1:28" ht="15">
      <c r="A12" s="28" t="s">
        <v>145</v>
      </c>
      <c r="B12" s="29" t="s">
        <v>146</v>
      </c>
      <c r="C12" s="124">
        <v>391431</v>
      </c>
      <c r="D12" s="125">
        <f>C12/C8</f>
        <v>0.177269540675473</v>
      </c>
      <c r="E12" s="120">
        <f t="shared" si="0"/>
        <v>0.12735065950320745</v>
      </c>
      <c r="F12" s="19">
        <f t="shared" si="1"/>
        <v>49848.995999999985</v>
      </c>
      <c r="G12" s="124">
        <v>441279.996</v>
      </c>
      <c r="H12" s="125">
        <f>G12/G8</f>
        <v>0.1833762706186236</v>
      </c>
      <c r="I12" s="120">
        <f t="shared" si="2"/>
        <v>0.23120258548950834</v>
      </c>
      <c r="J12" s="19">
        <f t="shared" si="3"/>
        <v>102025.07599999994</v>
      </c>
      <c r="K12" s="63">
        <v>543305.0719999999</v>
      </c>
      <c r="L12" s="125">
        <f>K12/K8</f>
        <v>0.20738372369501676</v>
      </c>
      <c r="M12" s="120">
        <f t="shared" si="4"/>
        <v>-0.10661058581098604</v>
      </c>
      <c r="N12" s="19">
        <f t="shared" si="5"/>
        <v>-57922.07199999993</v>
      </c>
      <c r="O12" s="61">
        <v>485383</v>
      </c>
      <c r="P12" s="125">
        <f>O12/O8</f>
        <v>0.17571105921568728</v>
      </c>
      <c r="Q12" s="121">
        <f t="shared" si="7"/>
        <v>0.08398088639390992</v>
      </c>
      <c r="R12" s="121">
        <v>0.0776</v>
      </c>
      <c r="S12" s="121"/>
      <c r="T12" s="137">
        <f>(O12*R12)+O12</f>
        <v>523048.7208</v>
      </c>
      <c r="U12" s="137">
        <f>(T12*R12)+T12</f>
        <v>563637.3015340801</v>
      </c>
      <c r="V12" s="137">
        <f>(U12*R12)+U12</f>
        <v>607375.5561331246</v>
      </c>
      <c r="W12" s="137">
        <f>(V12*R12)+V12</f>
        <v>654507.8992890551</v>
      </c>
      <c r="X12" s="137">
        <f>(W12*R12)+W12</f>
        <v>705297.7122738858</v>
      </c>
      <c r="Y12" s="137">
        <f>(X12*R12)+X12</f>
        <v>760028.8147463393</v>
      </c>
      <c r="Z12" s="137">
        <f>(Y12*R12)+Y12</f>
        <v>819007.0507706553</v>
      </c>
      <c r="AA12" s="137">
        <f>(Z12*R12)+Z12</f>
        <v>882561.9979104581</v>
      </c>
      <c r="AB12" s="61">
        <f>(AA12*R12)+AA12</f>
        <v>951048.8089483096</v>
      </c>
    </row>
    <row r="13" spans="1:28" ht="15.75">
      <c r="A13" s="22" t="s">
        <v>147</v>
      </c>
      <c r="B13" s="23" t="s">
        <v>148</v>
      </c>
      <c r="C13" s="24">
        <f>SUM(C14:C17)</f>
        <v>547886</v>
      </c>
      <c r="D13" s="20">
        <f>C13/C7</f>
        <v>0.19350356713993078</v>
      </c>
      <c r="E13" s="120">
        <f t="shared" si="0"/>
        <v>0.0693636157886861</v>
      </c>
      <c r="F13" s="19">
        <f t="shared" si="1"/>
        <v>38003.35400000005</v>
      </c>
      <c r="G13" s="24">
        <f>SUM(G14:G17)</f>
        <v>585889.354</v>
      </c>
      <c r="H13" s="227">
        <f>G13/G7</f>
        <v>0.19579850748237218</v>
      </c>
      <c r="I13" s="120">
        <f t="shared" si="2"/>
        <v>0.0979203404334259</v>
      </c>
      <c r="J13" s="19">
        <f t="shared" si="3"/>
        <v>57370.484999999986</v>
      </c>
      <c r="K13" s="25">
        <f>SUM(K14:K17)</f>
        <v>643259.839</v>
      </c>
      <c r="L13" s="20">
        <f>K13/K7</f>
        <v>0.19713359148260332</v>
      </c>
      <c r="M13" s="120">
        <f t="shared" si="4"/>
        <v>-0.003721418398700993</v>
      </c>
      <c r="N13" s="19">
        <f t="shared" si="5"/>
        <v>-2393.8390000000363</v>
      </c>
      <c r="O13" s="25">
        <f>SUM(O14:O17)</f>
        <v>640866</v>
      </c>
      <c r="P13" s="20">
        <f>O13/O7</f>
        <v>0.1868418351996156</v>
      </c>
      <c r="Q13" s="121">
        <f t="shared" si="7"/>
        <v>0.05452084594113701</v>
      </c>
      <c r="R13" s="121"/>
      <c r="S13" s="121"/>
      <c r="T13" s="25">
        <f aca="true" t="shared" si="12" ref="T13:AB13">SUM(T14:T17)</f>
        <v>675793.1969999999</v>
      </c>
      <c r="U13" s="25">
        <f t="shared" si="12"/>
        <v>712623.9262365</v>
      </c>
      <c r="V13" s="25">
        <f t="shared" si="12"/>
        <v>751461.9302163891</v>
      </c>
      <c r="W13" s="25">
        <f t="shared" si="12"/>
        <v>792416.6054131824</v>
      </c>
      <c r="X13" s="25">
        <f t="shared" si="12"/>
        <v>835603.3104082007</v>
      </c>
      <c r="Y13" s="25">
        <f t="shared" si="12"/>
        <v>881143.6908254477</v>
      </c>
      <c r="Z13" s="25">
        <f>SUM(Z14:Z17)</f>
        <v>929166.0219754346</v>
      </c>
      <c r="AA13" s="25">
        <f t="shared" si="12"/>
        <v>979805.5701730958</v>
      </c>
      <c r="AB13" s="25">
        <f t="shared" si="12"/>
        <v>1033204.9737475296</v>
      </c>
    </row>
    <row r="14" spans="1:28" ht="15">
      <c r="A14" s="28" t="s">
        <v>149</v>
      </c>
      <c r="B14" s="29" t="s">
        <v>150</v>
      </c>
      <c r="C14" s="122">
        <v>342053</v>
      </c>
      <c r="D14" s="123">
        <f>C14/C13</f>
        <v>0.624314182147381</v>
      </c>
      <c r="E14" s="120">
        <f t="shared" si="0"/>
        <v>0.1447334828228375</v>
      </c>
      <c r="F14" s="19">
        <f t="shared" si="1"/>
        <v>49506.522</v>
      </c>
      <c r="G14" s="122">
        <v>391559.522</v>
      </c>
      <c r="H14" s="123">
        <f>G14/G13</f>
        <v>0.6683164992275998</v>
      </c>
      <c r="I14" s="120">
        <f t="shared" si="2"/>
        <v>0.059168450001325645</v>
      </c>
      <c r="J14" s="19">
        <f t="shared" si="3"/>
        <v>23167.969999999972</v>
      </c>
      <c r="K14" s="63">
        <v>414727.49199999997</v>
      </c>
      <c r="L14" s="123">
        <f>K14/K13</f>
        <v>0.6447277862779802</v>
      </c>
      <c r="M14" s="120">
        <f t="shared" si="4"/>
        <v>0.08814826290802058</v>
      </c>
      <c r="N14" s="19">
        <f t="shared" si="5"/>
        <v>36557.50800000003</v>
      </c>
      <c r="O14" s="61">
        <v>451285</v>
      </c>
      <c r="P14" s="123">
        <f>O14/O13</f>
        <v>0.7041799689794747</v>
      </c>
      <c r="Q14" s="121">
        <f t="shared" si="7"/>
        <v>0.09735006524406124</v>
      </c>
      <c r="R14" s="121">
        <v>0.0545</v>
      </c>
      <c r="S14" s="121"/>
      <c r="T14" s="137">
        <f>(O14*R14)+O14</f>
        <v>475880.0325</v>
      </c>
      <c r="U14" s="137">
        <f>(T14*R14)+T14</f>
        <v>501815.49427125</v>
      </c>
      <c r="V14" s="137">
        <f>(U14*R14)+U14</f>
        <v>529164.4387090331</v>
      </c>
      <c r="W14" s="137">
        <f>(V14*R14)+V14</f>
        <v>558003.9006186754</v>
      </c>
      <c r="X14" s="137">
        <f>(W14*R14)+W14</f>
        <v>588415.1132023932</v>
      </c>
      <c r="Y14" s="137">
        <f>(X14*R14)+X14</f>
        <v>620483.7368719236</v>
      </c>
      <c r="Z14" s="137">
        <f>(Y14*R14)+Y14</f>
        <v>654300.1005314434</v>
      </c>
      <c r="AA14" s="137">
        <f>(Z14*R14)+Z14</f>
        <v>689959.4560104071</v>
      </c>
      <c r="AB14" s="61">
        <f>(AA14*R14)+AA14</f>
        <v>727562.2463629743</v>
      </c>
    </row>
    <row r="15" spans="1:28" ht="15">
      <c r="A15" s="28" t="s">
        <v>151</v>
      </c>
      <c r="B15" s="29" t="s">
        <v>152</v>
      </c>
      <c r="C15" s="122">
        <v>9351</v>
      </c>
      <c r="D15" s="123">
        <f>C15/C13</f>
        <v>0.017067419134637496</v>
      </c>
      <c r="E15" s="120">
        <f t="shared" si="0"/>
        <v>-0.4197777777777777</v>
      </c>
      <c r="F15" s="19">
        <f t="shared" si="1"/>
        <v>-3925.3419999999996</v>
      </c>
      <c r="G15" s="122">
        <v>5425.658</v>
      </c>
      <c r="H15" s="123">
        <f>G15/G13</f>
        <v>0.009260550585119523</v>
      </c>
      <c r="I15" s="120">
        <f t="shared" si="2"/>
        <v>0.23971415079977376</v>
      </c>
      <c r="J15" s="19">
        <f t="shared" si="3"/>
        <v>1300.606999999999</v>
      </c>
      <c r="K15" s="63">
        <v>6726.264999999999</v>
      </c>
      <c r="L15" s="123">
        <f>K15/K13</f>
        <v>0.010456528749651972</v>
      </c>
      <c r="M15" s="120">
        <f t="shared" si="4"/>
        <v>-0.7386365241333785</v>
      </c>
      <c r="N15" s="19">
        <f t="shared" si="5"/>
        <v>-4968.264999999999</v>
      </c>
      <c r="O15" s="61">
        <v>1758</v>
      </c>
      <c r="P15" s="123">
        <f>O15/O13</f>
        <v>0.002743163157352707</v>
      </c>
      <c r="Q15" s="121">
        <f t="shared" si="7"/>
        <v>-0.30623338370379416</v>
      </c>
      <c r="R15" s="121">
        <v>0.0545</v>
      </c>
      <c r="S15" s="121"/>
      <c r="T15" s="137">
        <f>(O15*R15)+O15</f>
        <v>1853.811</v>
      </c>
      <c r="U15" s="137">
        <f>(T15*R15)+T15</f>
        <v>1954.8436995</v>
      </c>
      <c r="V15" s="137">
        <f>(U15*R15)+U15</f>
        <v>2061.38268112275</v>
      </c>
      <c r="W15" s="137">
        <f>(V15*R15)+V15</f>
        <v>2173.72803724394</v>
      </c>
      <c r="X15" s="137">
        <f>(W15*R15)+W15</f>
        <v>2292.1962152737347</v>
      </c>
      <c r="Y15" s="137">
        <f>(X15*R15)+X15</f>
        <v>2417.1209090061534</v>
      </c>
      <c r="Z15" s="137">
        <f>(Y15*R15)+Y15</f>
        <v>2548.853998546989</v>
      </c>
      <c r="AA15" s="137">
        <f>(Z15*R15)+Z15</f>
        <v>2687.7665414677995</v>
      </c>
      <c r="AB15" s="61">
        <f>(AA15*R15)+AA15</f>
        <v>2834.2498179777945</v>
      </c>
    </row>
    <row r="16" spans="1:28" ht="15">
      <c r="A16" s="28" t="s">
        <v>153</v>
      </c>
      <c r="B16" s="29" t="s">
        <v>154</v>
      </c>
      <c r="C16" s="122">
        <v>119638</v>
      </c>
      <c r="D16" s="123">
        <f>C16/C13</f>
        <v>0.21836294411611173</v>
      </c>
      <c r="E16" s="120">
        <f t="shared" si="0"/>
        <v>-0.09038414216218926</v>
      </c>
      <c r="F16" s="19">
        <f t="shared" si="1"/>
        <v>-10813.377999999997</v>
      </c>
      <c r="G16" s="122">
        <v>108824.622</v>
      </c>
      <c r="H16" s="123">
        <f>G16/G13</f>
        <v>0.18574261719730786</v>
      </c>
      <c r="I16" s="120">
        <f t="shared" si="2"/>
        <v>0.11492095051798112</v>
      </c>
      <c r="J16" s="19">
        <f t="shared" si="3"/>
        <v>12506.229000000007</v>
      </c>
      <c r="K16" s="63">
        <v>121330.85100000001</v>
      </c>
      <c r="L16" s="123">
        <f>K16/K13</f>
        <v>0.18861872550386283</v>
      </c>
      <c r="M16" s="120">
        <f t="shared" si="4"/>
        <v>-0.1378367567866149</v>
      </c>
      <c r="N16" s="19">
        <f t="shared" si="5"/>
        <v>-16723.85100000001</v>
      </c>
      <c r="O16" s="61">
        <v>104607</v>
      </c>
      <c r="P16" s="123">
        <f>O16/O13</f>
        <v>0.16322757019408113</v>
      </c>
      <c r="Q16" s="121">
        <f t="shared" si="7"/>
        <v>-0.03776664947694101</v>
      </c>
      <c r="R16" s="121">
        <v>0.0545</v>
      </c>
      <c r="S16" s="121"/>
      <c r="T16" s="137">
        <f>(O16*R16)+O16</f>
        <v>110308.0815</v>
      </c>
      <c r="U16" s="137">
        <f>(T16*R16)+T16</f>
        <v>116319.87194175</v>
      </c>
      <c r="V16" s="137">
        <f>(U16*R16)+U16</f>
        <v>122659.30496257538</v>
      </c>
      <c r="W16" s="137">
        <f>(V16*R16)+V16</f>
        <v>129344.23708303574</v>
      </c>
      <c r="X16" s="137">
        <f>(W16*R16)+W16</f>
        <v>136393.4980040612</v>
      </c>
      <c r="Y16" s="137">
        <f>(X16*R16)+X16</f>
        <v>143826.94364528253</v>
      </c>
      <c r="Z16" s="137">
        <f>(Y16*R16)+Y16</f>
        <v>151665.51207395043</v>
      </c>
      <c r="AA16" s="137">
        <f>(Z16*R16)+Z16</f>
        <v>159931.28248198074</v>
      </c>
      <c r="AB16" s="61">
        <f>(AA16*R16)+AA16</f>
        <v>168647.5373772487</v>
      </c>
    </row>
    <row r="17" spans="1:28" ht="15">
      <c r="A17" s="28" t="s">
        <v>155</v>
      </c>
      <c r="B17" s="29" t="s">
        <v>156</v>
      </c>
      <c r="C17" s="122">
        <v>76844</v>
      </c>
      <c r="D17" s="123">
        <f>C17/C13</f>
        <v>0.14025545460186972</v>
      </c>
      <c r="E17" s="120">
        <f t="shared" si="0"/>
        <v>0.042105460413304874</v>
      </c>
      <c r="F17" s="19">
        <f t="shared" si="1"/>
        <v>3235.551999999996</v>
      </c>
      <c r="G17" s="122">
        <v>80079.552</v>
      </c>
      <c r="H17" s="123">
        <f>G17/G13</f>
        <v>0.1366803329899727</v>
      </c>
      <c r="I17" s="120">
        <f t="shared" si="2"/>
        <v>0.25469272105817975</v>
      </c>
      <c r="J17" s="19">
        <f t="shared" si="3"/>
        <v>20395.679000000004</v>
      </c>
      <c r="K17" s="63">
        <v>100475.231</v>
      </c>
      <c r="L17" s="123">
        <f>K17/K13</f>
        <v>0.1561969594685049</v>
      </c>
      <c r="M17" s="120">
        <f t="shared" si="4"/>
        <v>-0.17177597730529226</v>
      </c>
      <c r="N17" s="19">
        <f t="shared" si="5"/>
        <v>-17259.231</v>
      </c>
      <c r="O17" s="61">
        <v>83216</v>
      </c>
      <c r="P17" s="123">
        <f>O17/O13</f>
        <v>0.1298492976690915</v>
      </c>
      <c r="Q17" s="121">
        <f t="shared" si="7"/>
        <v>0.04167406805539745</v>
      </c>
      <c r="R17" s="121">
        <v>0.0545</v>
      </c>
      <c r="S17" s="121"/>
      <c r="T17" s="137">
        <f>(O17*R17)+O17</f>
        <v>87751.272</v>
      </c>
      <c r="U17" s="137">
        <f>(T17*R17)+T17</f>
        <v>92533.716324</v>
      </c>
      <c r="V17" s="137">
        <f>(U17*R17)+U17</f>
        <v>97576.80386365799</v>
      </c>
      <c r="W17" s="137">
        <f>(V17*R17)+V17</f>
        <v>102894.73967422734</v>
      </c>
      <c r="X17" s="137">
        <f>(W17*R17)+W17</f>
        <v>108502.50298647273</v>
      </c>
      <c r="Y17" s="137">
        <f>(X17*R17)+X17</f>
        <v>114415.88939923549</v>
      </c>
      <c r="Z17" s="137">
        <f>(Y17*R17)+Y17</f>
        <v>120651.55537149381</v>
      </c>
      <c r="AA17" s="137">
        <f>(Z17*R17)+Z17</f>
        <v>127227.06513924022</v>
      </c>
      <c r="AB17" s="61">
        <f>(AA17*R17)+AA17</f>
        <v>134160.9401893288</v>
      </c>
    </row>
    <row r="18" spans="1:28" ht="15.75">
      <c r="A18" s="22" t="s">
        <v>157</v>
      </c>
      <c r="B18" s="23" t="s">
        <v>158</v>
      </c>
      <c r="C18" s="126">
        <v>75402</v>
      </c>
      <c r="D18" s="127">
        <f>C18/C7</f>
        <v>0.02663064208518754</v>
      </c>
      <c r="E18" s="120">
        <f t="shared" si="0"/>
        <v>-1</v>
      </c>
      <c r="F18" s="19">
        <f t="shared" si="1"/>
        <v>-75402</v>
      </c>
      <c r="G18" s="122">
        <v>0</v>
      </c>
      <c r="H18" s="127">
        <f>G18/G7</f>
        <v>0</v>
      </c>
      <c r="I18" s="120" t="e">
        <f t="shared" si="2"/>
        <v>#DIV/0!</v>
      </c>
      <c r="J18" s="19">
        <f t="shared" si="3"/>
        <v>0</v>
      </c>
      <c r="K18" s="63">
        <v>0</v>
      </c>
      <c r="L18" s="127">
        <f>K18/K7</f>
        <v>0</v>
      </c>
      <c r="M18" s="120" t="e">
        <f t="shared" si="4"/>
        <v>#DIV/0!</v>
      </c>
      <c r="N18" s="19">
        <f t="shared" si="5"/>
        <v>26733</v>
      </c>
      <c r="O18" s="37">
        <v>26733</v>
      </c>
      <c r="P18" s="127">
        <f>O18/O7</f>
        <v>0.007793895729202867</v>
      </c>
      <c r="Q18" s="121" t="e">
        <f t="shared" si="7"/>
        <v>#DIV/0!</v>
      </c>
      <c r="R18" s="121">
        <v>0.02</v>
      </c>
      <c r="S18" s="121"/>
      <c r="T18" s="137">
        <f>(O18*R18)+O18</f>
        <v>27267.66</v>
      </c>
      <c r="U18" s="137">
        <f>(T18*R18)+T18</f>
        <v>27813.0132</v>
      </c>
      <c r="V18" s="137">
        <f>(U18*R18)+U18</f>
        <v>28369.273464</v>
      </c>
      <c r="W18" s="137">
        <f>(V18*R18)+V18</f>
        <v>28936.658933280003</v>
      </c>
      <c r="X18" s="137">
        <f>(W18*R18)+W18</f>
        <v>29515.392111945603</v>
      </c>
      <c r="Y18" s="137">
        <f>(X18*R18)+X18</f>
        <v>30105.699954184514</v>
      </c>
      <c r="Z18" s="137">
        <f>(Y18*R18)+Y18</f>
        <v>30707.813953268203</v>
      </c>
      <c r="AA18" s="137">
        <f>(Z18*R18)+Z18</f>
        <v>31321.970232333566</v>
      </c>
      <c r="AB18" s="61">
        <f>(AA18*R18)+AA18</f>
        <v>31948.409636980236</v>
      </c>
    </row>
    <row r="19" spans="1:28" ht="15.75">
      <c r="A19" s="33" t="s">
        <v>159</v>
      </c>
      <c r="B19" s="27" t="s">
        <v>160</v>
      </c>
      <c r="C19" s="25">
        <f>C20+C27+C39+C42+C45</f>
        <v>2226816</v>
      </c>
      <c r="D19" s="20">
        <f>C19/C6</f>
        <v>0.4402374275831637</v>
      </c>
      <c r="E19" s="120">
        <f t="shared" si="0"/>
        <v>0.3888919623354603</v>
      </c>
      <c r="F19" s="19">
        <f t="shared" si="1"/>
        <v>865990.8440000005</v>
      </c>
      <c r="G19" s="25">
        <f>G20+G27+G39+G42+G45</f>
        <v>3092806.8440000005</v>
      </c>
      <c r="H19" s="225">
        <f>G19/G6</f>
        <v>0.5082577974909398</v>
      </c>
      <c r="I19" s="120">
        <f t="shared" si="2"/>
        <v>0.3980604166692019</v>
      </c>
      <c r="J19" s="19">
        <f t="shared" si="3"/>
        <v>1231123.9809999997</v>
      </c>
      <c r="K19" s="25">
        <f>K20+K27+K39+K42+K45</f>
        <v>4323930.825</v>
      </c>
      <c r="L19" s="20">
        <f>K19/K6</f>
        <v>0.5699133871279152</v>
      </c>
      <c r="M19" s="120">
        <f t="shared" si="4"/>
        <v>0.03112542278009256</v>
      </c>
      <c r="N19" s="19">
        <f t="shared" si="5"/>
        <v>134584.1749999998</v>
      </c>
      <c r="O19" s="25">
        <f>O20+O27+O39+O42+O45</f>
        <v>4458515</v>
      </c>
      <c r="P19" s="20">
        <f>O19/O6</f>
        <v>0.5651912332713909</v>
      </c>
      <c r="Q19" s="121">
        <f t="shared" si="7"/>
        <v>0.27269260059491823</v>
      </c>
      <c r="R19" s="121"/>
      <c r="S19" s="121"/>
      <c r="T19" s="25">
        <f aca="true" t="shared" si="13" ref="T19:AB19">T20+T27+T39+T42+T45</f>
        <v>4968867.319399999</v>
      </c>
      <c r="U19" s="25">
        <f t="shared" si="13"/>
        <v>5545108.48628804</v>
      </c>
      <c r="V19" s="25">
        <f t="shared" si="13"/>
        <v>6196403.492576797</v>
      </c>
      <c r="W19" s="25">
        <f t="shared" si="13"/>
        <v>6933243.658904347</v>
      </c>
      <c r="X19" s="25">
        <f t="shared" si="13"/>
        <v>7110923.38288469</v>
      </c>
      <c r="Y19" s="25">
        <f t="shared" si="13"/>
        <v>8011983.807915203</v>
      </c>
      <c r="Z19" s="25">
        <f t="shared" si="13"/>
        <v>9037091.508975517</v>
      </c>
      <c r="AA19" s="25">
        <f t="shared" si="13"/>
        <v>10204107.210774414</v>
      </c>
      <c r="AB19" s="25">
        <f t="shared" si="13"/>
        <v>11533520.571894528</v>
      </c>
    </row>
    <row r="20" spans="1:28" ht="15.75">
      <c r="A20" s="34" t="s">
        <v>161</v>
      </c>
      <c r="B20" s="23" t="s">
        <v>162</v>
      </c>
      <c r="C20" s="24">
        <f>SUM(C21:C26)</f>
        <v>648334</v>
      </c>
      <c r="D20" s="20">
        <f>C20/C19</f>
        <v>0.2911484379490717</v>
      </c>
      <c r="E20" s="120">
        <f t="shared" si="0"/>
        <v>1.305490907464363</v>
      </c>
      <c r="F20" s="19">
        <f t="shared" si="1"/>
        <v>846394.1420000002</v>
      </c>
      <c r="G20" s="24">
        <f>SUM(G21:G26)</f>
        <v>1494728.1420000002</v>
      </c>
      <c r="H20" s="227">
        <f>G20/G19</f>
        <v>0.48329178555064006</v>
      </c>
      <c r="I20" s="120">
        <f t="shared" si="2"/>
        <v>0.1819372763237903</v>
      </c>
      <c r="J20" s="19">
        <f t="shared" si="3"/>
        <v>271946.76699999976</v>
      </c>
      <c r="K20" s="25">
        <f>SUM(K21:K26)</f>
        <v>1766674.909</v>
      </c>
      <c r="L20" s="20">
        <f>K20/K19</f>
        <v>0.4085807522140459</v>
      </c>
      <c r="M20" s="120">
        <f t="shared" si="4"/>
        <v>0.1358960212639777</v>
      </c>
      <c r="N20" s="19">
        <f t="shared" si="5"/>
        <v>240084.09100000001</v>
      </c>
      <c r="O20" s="25">
        <f>SUM(O21:O26)</f>
        <v>2006759</v>
      </c>
      <c r="P20" s="20">
        <f>O20/O19</f>
        <v>0.4500958278709391</v>
      </c>
      <c r="Q20" s="121">
        <f t="shared" si="7"/>
        <v>0.5411080683507103</v>
      </c>
      <c r="R20" s="121"/>
      <c r="S20" s="121"/>
      <c r="T20" s="25">
        <f aca="true" t="shared" si="14" ref="T20:AB20">SUM(T21:T26)</f>
        <v>2307772.85</v>
      </c>
      <c r="U20" s="25">
        <f t="shared" si="14"/>
        <v>2653938.7775</v>
      </c>
      <c r="V20" s="25">
        <f t="shared" si="14"/>
        <v>3052029.5941250008</v>
      </c>
      <c r="W20" s="25">
        <f t="shared" si="14"/>
        <v>3509834.03324375</v>
      </c>
      <c r="X20" s="25">
        <f t="shared" si="14"/>
        <v>4036309.1382303135</v>
      </c>
      <c r="Y20" s="25">
        <f t="shared" si="14"/>
        <v>4641755.50896486</v>
      </c>
      <c r="Z20" s="25">
        <f t="shared" si="14"/>
        <v>5338018.835309589</v>
      </c>
      <c r="AA20" s="25">
        <f t="shared" si="14"/>
        <v>6138721.660606027</v>
      </c>
      <c r="AB20" s="25">
        <f t="shared" si="14"/>
        <v>7059529.909696931</v>
      </c>
    </row>
    <row r="21" spans="1:28" ht="15">
      <c r="A21" s="34" t="s">
        <v>163</v>
      </c>
      <c r="B21" s="29" t="s">
        <v>164</v>
      </c>
      <c r="C21" s="122">
        <v>563219</v>
      </c>
      <c r="D21" s="123">
        <f>C21/C20</f>
        <v>0.8687173586453896</v>
      </c>
      <c r="E21" s="120">
        <f t="shared" si="0"/>
        <v>0.17283303830304053</v>
      </c>
      <c r="F21" s="19">
        <f t="shared" si="1"/>
        <v>97342.85100000014</v>
      </c>
      <c r="G21" s="122">
        <v>660561.8510000001</v>
      </c>
      <c r="H21" s="123">
        <f>G21/G20</f>
        <v>0.4419277542444237</v>
      </c>
      <c r="I21" s="120">
        <f t="shared" si="2"/>
        <v>0.7151766398329285</v>
      </c>
      <c r="J21" s="19">
        <f t="shared" si="3"/>
        <v>472418.4049999997</v>
      </c>
      <c r="K21" s="63">
        <v>1132980.2559999998</v>
      </c>
      <c r="L21" s="123">
        <f>K21/K20</f>
        <v>0.6413065868701936</v>
      </c>
      <c r="M21" s="120">
        <f t="shared" si="4"/>
        <v>0.19350182215355405</v>
      </c>
      <c r="N21" s="19">
        <f t="shared" si="5"/>
        <v>219233.74400000018</v>
      </c>
      <c r="O21" s="61">
        <v>1352214</v>
      </c>
      <c r="P21" s="123">
        <f>O21/O20</f>
        <v>0.673829792217202</v>
      </c>
      <c r="Q21" s="121">
        <f t="shared" si="7"/>
        <v>0.360503833429841</v>
      </c>
      <c r="R21" s="121">
        <v>0.15</v>
      </c>
      <c r="S21" s="121"/>
      <c r="T21" s="137">
        <f aca="true" t="shared" si="15" ref="T21:T26">(O21*R21)+O21</f>
        <v>1555046.1</v>
      </c>
      <c r="U21" s="137">
        <f aca="true" t="shared" si="16" ref="U21:U26">(T21*R21)+T21</f>
        <v>1788303.0150000001</v>
      </c>
      <c r="V21" s="137">
        <f aca="true" t="shared" si="17" ref="V21:V26">(U21*R21)+U21</f>
        <v>2056548.4672500002</v>
      </c>
      <c r="W21" s="137">
        <f aca="true" t="shared" si="18" ref="W21:W26">(V21*R21)+V21</f>
        <v>2365030.7373375003</v>
      </c>
      <c r="X21" s="137">
        <f aca="true" t="shared" si="19" ref="X21:X26">(W21*R21)+W21</f>
        <v>2719785.3479381255</v>
      </c>
      <c r="Y21" s="137">
        <f aca="true" t="shared" si="20" ref="Y21:Y26">(X21*R21)+X21</f>
        <v>3127753.150128844</v>
      </c>
      <c r="Z21" s="137">
        <f aca="true" t="shared" si="21" ref="Z21:Z26">(Y21*R21)+Y21</f>
        <v>3596916.1226481707</v>
      </c>
      <c r="AA21" s="137">
        <f aca="true" t="shared" si="22" ref="AA21:AA26">(Z21*R21)+Z21</f>
        <v>4136453.541045396</v>
      </c>
      <c r="AB21" s="61">
        <f aca="true" t="shared" si="23" ref="AB21:AB26">(AA21*R21)+AA21</f>
        <v>4756921.572202206</v>
      </c>
    </row>
    <row r="22" spans="1:28" ht="15">
      <c r="A22" s="34" t="s">
        <v>165</v>
      </c>
      <c r="B22" s="29" t="s">
        <v>166</v>
      </c>
      <c r="C22" s="122">
        <v>0</v>
      </c>
      <c r="D22" s="123">
        <f>C22/C20</f>
        <v>0</v>
      </c>
      <c r="E22" s="120" t="e">
        <f t="shared" si="0"/>
        <v>#DIV/0!</v>
      </c>
      <c r="F22" s="19">
        <f t="shared" si="1"/>
        <v>10401.542</v>
      </c>
      <c r="G22" s="122">
        <v>10401.542</v>
      </c>
      <c r="H22" s="123">
        <f>G22/G20</f>
        <v>0.0069588186023462175</v>
      </c>
      <c r="I22" s="120">
        <f t="shared" si="2"/>
        <v>-0.9988574770933002</v>
      </c>
      <c r="J22" s="19">
        <f t="shared" si="3"/>
        <v>-10389.658</v>
      </c>
      <c r="K22" s="63">
        <v>11.884</v>
      </c>
      <c r="L22" s="123">
        <f>K22/K20</f>
        <v>6.7267610693168E-06</v>
      </c>
      <c r="M22" s="120">
        <f t="shared" si="4"/>
        <v>0.2622012790306294</v>
      </c>
      <c r="N22" s="19">
        <f t="shared" si="5"/>
        <v>3.1159999999999997</v>
      </c>
      <c r="O22" s="61">
        <v>15</v>
      </c>
      <c r="P22" s="123">
        <f>O22/O20</f>
        <v>7.474739119146843E-06</v>
      </c>
      <c r="Q22" s="121" t="e">
        <f t="shared" si="7"/>
        <v>#DIV/0!</v>
      </c>
      <c r="R22" s="121">
        <v>0.15</v>
      </c>
      <c r="S22" s="121"/>
      <c r="T22" s="137">
        <f t="shared" si="15"/>
        <v>17.25</v>
      </c>
      <c r="U22" s="137">
        <f t="shared" si="16"/>
        <v>19.8375</v>
      </c>
      <c r="V22" s="137">
        <f t="shared" si="17"/>
        <v>22.813125</v>
      </c>
      <c r="W22" s="137">
        <f t="shared" si="18"/>
        <v>26.23509375</v>
      </c>
      <c r="X22" s="137">
        <f t="shared" si="19"/>
        <v>30.1703578125</v>
      </c>
      <c r="Y22" s="137">
        <f t="shared" si="20"/>
        <v>34.695911484375</v>
      </c>
      <c r="Z22" s="137">
        <f t="shared" si="21"/>
        <v>39.900298207031256</v>
      </c>
      <c r="AA22" s="137">
        <f t="shared" si="22"/>
        <v>45.88534293808594</v>
      </c>
      <c r="AB22" s="61">
        <f t="shared" si="23"/>
        <v>52.76814437879883</v>
      </c>
    </row>
    <row r="23" spans="1:28" ht="15">
      <c r="A23" s="34" t="s">
        <v>167</v>
      </c>
      <c r="B23" s="29" t="s">
        <v>168</v>
      </c>
      <c r="C23" s="122">
        <v>56501</v>
      </c>
      <c r="D23" s="123">
        <f>C23/C20</f>
        <v>0.08714798236711324</v>
      </c>
      <c r="E23" s="120">
        <f t="shared" si="0"/>
        <v>0.4417310844055855</v>
      </c>
      <c r="F23" s="19">
        <f t="shared" si="1"/>
        <v>24958.247999999992</v>
      </c>
      <c r="G23" s="122">
        <v>81459.24799999999</v>
      </c>
      <c r="H23" s="123">
        <f>G23/G20</f>
        <v>0.05449770142883948</v>
      </c>
      <c r="I23" s="120">
        <f t="shared" si="2"/>
        <v>-0.658847832722443</v>
      </c>
      <c r="J23" s="19">
        <f t="shared" si="3"/>
        <v>-53669.248999999996</v>
      </c>
      <c r="K23" s="63">
        <v>27789.999</v>
      </c>
      <c r="L23" s="123">
        <f>K23/K20</f>
        <v>0.015730114724802492</v>
      </c>
      <c r="M23" s="120">
        <f t="shared" si="4"/>
        <v>0.03436491667380048</v>
      </c>
      <c r="N23" s="19">
        <f t="shared" si="5"/>
        <v>955.0010000000002</v>
      </c>
      <c r="O23" s="61">
        <v>28745</v>
      </c>
      <c r="P23" s="123">
        <f>O23/O20</f>
        <v>0.014324091731991733</v>
      </c>
      <c r="Q23" s="121">
        <f t="shared" si="7"/>
        <v>-0.060917277214352326</v>
      </c>
      <c r="R23" s="121">
        <v>0.15</v>
      </c>
      <c r="S23" s="121"/>
      <c r="T23" s="137">
        <f t="shared" si="15"/>
        <v>33056.75</v>
      </c>
      <c r="U23" s="137">
        <f t="shared" si="16"/>
        <v>38015.2625</v>
      </c>
      <c r="V23" s="137">
        <f t="shared" si="17"/>
        <v>43717.551875</v>
      </c>
      <c r="W23" s="137">
        <f t="shared" si="18"/>
        <v>50275.18465625</v>
      </c>
      <c r="X23" s="137">
        <f t="shared" si="19"/>
        <v>57816.4623546875</v>
      </c>
      <c r="Y23" s="137">
        <f t="shared" si="20"/>
        <v>66488.93170789063</v>
      </c>
      <c r="Z23" s="137">
        <f t="shared" si="21"/>
        <v>76462.27146407422</v>
      </c>
      <c r="AA23" s="137">
        <f t="shared" si="22"/>
        <v>87931.61218368536</v>
      </c>
      <c r="AB23" s="61">
        <f t="shared" si="23"/>
        <v>101121.35401123816</v>
      </c>
    </row>
    <row r="24" spans="1:28" ht="15">
      <c r="A24" s="34" t="s">
        <v>169</v>
      </c>
      <c r="B24" s="35" t="s">
        <v>170</v>
      </c>
      <c r="C24" s="122">
        <v>28614</v>
      </c>
      <c r="D24" s="123">
        <f>C24/C20</f>
        <v>0.04413465898749719</v>
      </c>
      <c r="E24" s="120">
        <f t="shared" si="0"/>
        <v>-0.8948073320752079</v>
      </c>
      <c r="F24" s="19">
        <f t="shared" si="1"/>
        <v>-25604.017</v>
      </c>
      <c r="G24" s="122">
        <v>3009.9829999999997</v>
      </c>
      <c r="H24" s="123">
        <f>G24/G20</f>
        <v>0.0020137327420440038</v>
      </c>
      <c r="I24" s="120">
        <f t="shared" si="2"/>
        <v>7.549268218458378</v>
      </c>
      <c r="J24" s="19">
        <f t="shared" si="3"/>
        <v>22723.169</v>
      </c>
      <c r="K24" s="63">
        <v>25733.152000000002</v>
      </c>
      <c r="L24" s="123">
        <f>K24/K20</f>
        <v>0.014565867137698734</v>
      </c>
      <c r="M24" s="120">
        <f t="shared" si="4"/>
        <v>-0.20433377147113585</v>
      </c>
      <c r="N24" s="19">
        <f t="shared" si="5"/>
        <v>-5258.152000000002</v>
      </c>
      <c r="O24" s="61">
        <v>20475</v>
      </c>
      <c r="P24" s="123">
        <f>O24/O20</f>
        <v>0.010203018897635441</v>
      </c>
      <c r="Q24" s="121">
        <f t="shared" si="7"/>
        <v>2.1500423716373445</v>
      </c>
      <c r="R24" s="121">
        <v>0.15</v>
      </c>
      <c r="S24" s="121"/>
      <c r="T24" s="137">
        <f t="shared" si="15"/>
        <v>23546.25</v>
      </c>
      <c r="U24" s="137">
        <f t="shared" si="16"/>
        <v>27078.1875</v>
      </c>
      <c r="V24" s="137">
        <f t="shared" si="17"/>
        <v>31139.915625</v>
      </c>
      <c r="W24" s="137">
        <f t="shared" si="18"/>
        <v>35810.90296875</v>
      </c>
      <c r="X24" s="137">
        <f t="shared" si="19"/>
        <v>41182.5384140625</v>
      </c>
      <c r="Y24" s="137">
        <f t="shared" si="20"/>
        <v>47359.919176171876</v>
      </c>
      <c r="Z24" s="137">
        <f t="shared" si="21"/>
        <v>54463.90705259766</v>
      </c>
      <c r="AA24" s="137">
        <f t="shared" si="22"/>
        <v>62633.4931104873</v>
      </c>
      <c r="AB24" s="61">
        <f t="shared" si="23"/>
        <v>72028.5170770604</v>
      </c>
    </row>
    <row r="25" spans="1:28" ht="15">
      <c r="A25" s="34" t="s">
        <v>171</v>
      </c>
      <c r="B25" s="29" t="s">
        <v>172</v>
      </c>
      <c r="C25" s="122">
        <v>0</v>
      </c>
      <c r="D25" s="123">
        <f>C25/C20</f>
        <v>0</v>
      </c>
      <c r="E25" s="120" t="e">
        <f t="shared" si="0"/>
        <v>#DIV/0!</v>
      </c>
      <c r="F25" s="19">
        <f t="shared" si="1"/>
        <v>20108.72</v>
      </c>
      <c r="G25" s="122">
        <v>20108.72</v>
      </c>
      <c r="H25" s="123">
        <f>G25/G20</f>
        <v>0.01345309520505435</v>
      </c>
      <c r="I25" s="120">
        <f t="shared" si="2"/>
        <v>1.2520080840550767</v>
      </c>
      <c r="J25" s="19">
        <f t="shared" si="3"/>
        <v>25176.28</v>
      </c>
      <c r="K25" s="63">
        <v>45285</v>
      </c>
      <c r="L25" s="123">
        <f>K25/K20</f>
        <v>0.025632899278358406</v>
      </c>
      <c r="M25" s="120">
        <f t="shared" si="4"/>
        <v>-0.07810533289168597</v>
      </c>
      <c r="N25" s="19">
        <f t="shared" si="5"/>
        <v>-3537</v>
      </c>
      <c r="O25" s="61">
        <v>41748</v>
      </c>
      <c r="P25" s="123">
        <f>O25/O20</f>
        <v>0.020803693916409495</v>
      </c>
      <c r="Q25" s="121" t="e">
        <f t="shared" si="7"/>
        <v>#DIV/0!</v>
      </c>
      <c r="R25" s="121">
        <v>0.15</v>
      </c>
      <c r="S25" s="121"/>
      <c r="T25" s="137">
        <f t="shared" si="15"/>
        <v>48010.2</v>
      </c>
      <c r="U25" s="137">
        <f t="shared" si="16"/>
        <v>55211.729999999996</v>
      </c>
      <c r="V25" s="137">
        <f t="shared" si="17"/>
        <v>63493.489499999996</v>
      </c>
      <c r="W25" s="137">
        <f t="shared" si="18"/>
        <v>73017.51292499999</v>
      </c>
      <c r="X25" s="137">
        <f t="shared" si="19"/>
        <v>83970.13986374998</v>
      </c>
      <c r="Y25" s="137">
        <f t="shared" si="20"/>
        <v>96565.66084331248</v>
      </c>
      <c r="Z25" s="137">
        <f t="shared" si="21"/>
        <v>111050.50996980935</v>
      </c>
      <c r="AA25" s="137">
        <f t="shared" si="22"/>
        <v>127708.08646528076</v>
      </c>
      <c r="AB25" s="61">
        <f t="shared" si="23"/>
        <v>146864.29943507287</v>
      </c>
    </row>
    <row r="26" spans="1:28" ht="15">
      <c r="A26" s="34" t="s">
        <v>173</v>
      </c>
      <c r="B26" s="29" t="s">
        <v>174</v>
      </c>
      <c r="C26" s="122">
        <v>0</v>
      </c>
      <c r="D26" s="123">
        <f>C26/C20</f>
        <v>0</v>
      </c>
      <c r="E26" s="120" t="e">
        <f t="shared" si="0"/>
        <v>#DIV/0!</v>
      </c>
      <c r="F26" s="19">
        <f t="shared" si="1"/>
        <v>719186.7980000001</v>
      </c>
      <c r="G26" s="122">
        <v>719186.7980000001</v>
      </c>
      <c r="H26" s="123">
        <f>G26/G20</f>
        <v>0.48114889777729225</v>
      </c>
      <c r="I26" s="120">
        <f t="shared" si="2"/>
        <v>-0.25627859203277537</v>
      </c>
      <c r="J26" s="19">
        <f t="shared" si="3"/>
        <v>-184312.18000000005</v>
      </c>
      <c r="K26" s="63">
        <v>534874.618</v>
      </c>
      <c r="L26" s="123">
        <f>K26/K20</f>
        <v>0.3027578052278774</v>
      </c>
      <c r="M26" s="120">
        <f t="shared" si="4"/>
        <v>0.05363384433396301</v>
      </c>
      <c r="N26" s="19">
        <f t="shared" si="5"/>
        <v>28687.381999999983</v>
      </c>
      <c r="O26" s="61">
        <v>563562</v>
      </c>
      <c r="P26" s="123">
        <f>O26/O20</f>
        <v>0.2808319284976422</v>
      </c>
      <c r="Q26" s="121" t="e">
        <f t="shared" si="7"/>
        <v>#DIV/0!</v>
      </c>
      <c r="R26" s="121">
        <v>0.15</v>
      </c>
      <c r="S26" s="121"/>
      <c r="T26" s="137">
        <f t="shared" si="15"/>
        <v>648096.3</v>
      </c>
      <c r="U26" s="137">
        <f t="shared" si="16"/>
        <v>745310.7450000001</v>
      </c>
      <c r="V26" s="137">
        <f t="shared" si="17"/>
        <v>857107.3567500002</v>
      </c>
      <c r="W26" s="137">
        <f t="shared" si="18"/>
        <v>985673.4602625002</v>
      </c>
      <c r="X26" s="137">
        <f t="shared" si="19"/>
        <v>1133524.4793018752</v>
      </c>
      <c r="Y26" s="137">
        <f t="shared" si="20"/>
        <v>1303553.1511971564</v>
      </c>
      <c r="Z26" s="137">
        <f t="shared" si="21"/>
        <v>1499086.12387673</v>
      </c>
      <c r="AA26" s="137">
        <f t="shared" si="22"/>
        <v>1723949.0424582395</v>
      </c>
      <c r="AB26" s="61">
        <f t="shared" si="23"/>
        <v>1982541.3988269754</v>
      </c>
    </row>
    <row r="27" spans="1:28" ht="15.75">
      <c r="A27" s="33" t="s">
        <v>175</v>
      </c>
      <c r="B27" s="23" t="s">
        <v>176</v>
      </c>
      <c r="C27" s="24">
        <f>SUM(C28:C38)</f>
        <v>91861</v>
      </c>
      <c r="D27" s="20">
        <f>C27/C19</f>
        <v>0.04125217350692648</v>
      </c>
      <c r="E27" s="120">
        <f t="shared" si="0"/>
        <v>0.5708086783292146</v>
      </c>
      <c r="F27" s="19">
        <f t="shared" si="1"/>
        <v>52435.05599999998</v>
      </c>
      <c r="G27" s="24">
        <f>SUM(G28:G38)</f>
        <v>144296.05599999998</v>
      </c>
      <c r="H27" s="227">
        <f>G27/G19</f>
        <v>0.0466553727013157</v>
      </c>
      <c r="I27" s="120">
        <f t="shared" si="2"/>
        <v>0.5048523640867915</v>
      </c>
      <c r="J27" s="19">
        <f t="shared" si="3"/>
        <v>72848.20500000005</v>
      </c>
      <c r="K27" s="25">
        <f>SUM(K28:K38)</f>
        <v>217144.26100000003</v>
      </c>
      <c r="L27" s="20">
        <f>K27/K19</f>
        <v>0.050219180136860775</v>
      </c>
      <c r="M27" s="120">
        <f t="shared" si="4"/>
        <v>0.06256089356190708</v>
      </c>
      <c r="N27" s="19">
        <f t="shared" si="5"/>
        <v>13584.738999999972</v>
      </c>
      <c r="O27" s="25">
        <f>SUM(O28:O38)</f>
        <v>230729</v>
      </c>
      <c r="P27" s="20">
        <f>O27/O19</f>
        <v>0.051750190366074804</v>
      </c>
      <c r="Q27" s="121">
        <f t="shared" si="7"/>
        <v>0.3794073119926377</v>
      </c>
      <c r="R27" s="121"/>
      <c r="S27" s="121"/>
      <c r="T27" s="25">
        <f aca="true" t="shared" si="24" ref="T27:AB27">SUM(T28:T38)</f>
        <v>245172.6354</v>
      </c>
      <c r="U27" s="25">
        <f t="shared" si="24"/>
        <v>260520.44237603998</v>
      </c>
      <c r="V27" s="25">
        <f t="shared" si="24"/>
        <v>276829.02206878015</v>
      </c>
      <c r="W27" s="25">
        <f t="shared" si="24"/>
        <v>294158.5188502858</v>
      </c>
      <c r="X27" s="25">
        <f t="shared" si="24"/>
        <v>312572.8421303136</v>
      </c>
      <c r="Y27" s="25">
        <f t="shared" si="24"/>
        <v>332139.9020476713</v>
      </c>
      <c r="Z27" s="25">
        <f t="shared" si="24"/>
        <v>352931.8599158555</v>
      </c>
      <c r="AA27" s="25">
        <f t="shared" si="24"/>
        <v>375025.3943465881</v>
      </c>
      <c r="AB27" s="25">
        <f t="shared" si="24"/>
        <v>398501.9840326845</v>
      </c>
    </row>
    <row r="28" spans="1:28" ht="15">
      <c r="A28" s="34" t="s">
        <v>177</v>
      </c>
      <c r="B28" s="29" t="s">
        <v>178</v>
      </c>
      <c r="C28" s="122">
        <v>82823</v>
      </c>
      <c r="D28" s="123">
        <f>C28/C27</f>
        <v>0.9016122184605001</v>
      </c>
      <c r="E28" s="120">
        <f t="shared" si="0"/>
        <v>-0.06438381850452168</v>
      </c>
      <c r="F28" s="19">
        <f t="shared" si="1"/>
        <v>-5332.460999999996</v>
      </c>
      <c r="G28" s="122">
        <v>77490.539</v>
      </c>
      <c r="H28" s="123">
        <f>G28/G27</f>
        <v>0.5370246502094279</v>
      </c>
      <c r="I28" s="120">
        <f t="shared" si="2"/>
        <v>1.0138343469258873</v>
      </c>
      <c r="J28" s="19">
        <f t="shared" si="3"/>
        <v>78562.56999999999</v>
      </c>
      <c r="K28" s="63">
        <v>156053.109</v>
      </c>
      <c r="L28" s="123">
        <f>K28/K27</f>
        <v>0.7186609873147878</v>
      </c>
      <c r="M28" s="120">
        <f t="shared" si="4"/>
        <v>0.1713127740377156</v>
      </c>
      <c r="N28" s="19">
        <f t="shared" si="5"/>
        <v>26733.891000000003</v>
      </c>
      <c r="O28" s="37">
        <v>182787</v>
      </c>
      <c r="P28" s="123">
        <f>O28/O27</f>
        <v>0.7922151095007564</v>
      </c>
      <c r="Q28" s="121">
        <f t="shared" si="7"/>
        <v>0.37358776748636036</v>
      </c>
      <c r="R28" s="121">
        <v>0.0626</v>
      </c>
      <c r="S28" s="121"/>
      <c r="T28" s="137">
        <f aca="true" t="shared" si="25" ref="T28:T38">(O28*R28)+O28</f>
        <v>194229.4662</v>
      </c>
      <c r="U28" s="137">
        <f aca="true" t="shared" si="26" ref="U28:U38">(T28*R28)+T28</f>
        <v>206388.23078412</v>
      </c>
      <c r="V28" s="137">
        <f aca="true" t="shared" si="27" ref="V28:V38">(U28*R28)+U28</f>
        <v>219308.13403120593</v>
      </c>
      <c r="W28" s="137">
        <f aca="true" t="shared" si="28" ref="W28:W38">(V28*R28)+V28</f>
        <v>233036.82322155943</v>
      </c>
      <c r="X28" s="137">
        <f aca="true" t="shared" si="29" ref="X28:X38">(W28*R28)+W28</f>
        <v>247624.92835522906</v>
      </c>
      <c r="Y28" s="137">
        <f aca="true" t="shared" si="30" ref="Y28:Y38">(X28*R28)+X28</f>
        <v>263126.24887026637</v>
      </c>
      <c r="Z28" s="137">
        <f aca="true" t="shared" si="31" ref="Z28:Z38">(Y28*R28)+Y28</f>
        <v>279597.95204954507</v>
      </c>
      <c r="AA28" s="137">
        <f aca="true" t="shared" si="32" ref="AA28:AA38">(Z28*R28)+Z28</f>
        <v>297100.7838478466</v>
      </c>
      <c r="AB28" s="61">
        <f aca="true" t="shared" si="33" ref="AB28:AB38">(AA28*R28)+AA28</f>
        <v>315699.29291672184</v>
      </c>
    </row>
    <row r="29" spans="1:28" ht="15">
      <c r="A29" s="34" t="s">
        <v>179</v>
      </c>
      <c r="B29" s="29" t="s">
        <v>180</v>
      </c>
      <c r="C29" s="122">
        <v>0</v>
      </c>
      <c r="D29" s="123">
        <f>C29/C27</f>
        <v>0</v>
      </c>
      <c r="E29" s="120" t="e">
        <f t="shared" si="0"/>
        <v>#DIV/0!</v>
      </c>
      <c r="F29" s="19">
        <f t="shared" si="1"/>
        <v>2.5</v>
      </c>
      <c r="G29" s="122">
        <v>2.5</v>
      </c>
      <c r="H29" s="123">
        <f>G29/G27</f>
        <v>1.7325490864421132E-05</v>
      </c>
      <c r="I29" s="120">
        <f t="shared" si="2"/>
        <v>640</v>
      </c>
      <c r="J29" s="19">
        <f t="shared" si="3"/>
        <v>1600</v>
      </c>
      <c r="K29" s="63">
        <v>1602.5</v>
      </c>
      <c r="L29" s="123">
        <f>K29/K27</f>
        <v>0.007379886498589064</v>
      </c>
      <c r="M29" s="120">
        <f t="shared" si="4"/>
        <v>-0.15132605304212166</v>
      </c>
      <c r="N29" s="19">
        <f t="shared" si="5"/>
        <v>-242.5</v>
      </c>
      <c r="O29" s="128">
        <v>1360</v>
      </c>
      <c r="P29" s="123">
        <f>O29/O27</f>
        <v>0.0058943609169198495</v>
      </c>
      <c r="Q29" s="121" t="e">
        <f t="shared" si="7"/>
        <v>#DIV/0!</v>
      </c>
      <c r="R29" s="121">
        <v>0.0626</v>
      </c>
      <c r="S29" s="121"/>
      <c r="T29" s="137">
        <f t="shared" si="25"/>
        <v>1445.136</v>
      </c>
      <c r="U29" s="137">
        <f t="shared" si="26"/>
        <v>1535.6015136</v>
      </c>
      <c r="V29" s="137">
        <f t="shared" si="27"/>
        <v>1631.7301683513601</v>
      </c>
      <c r="W29" s="137">
        <f t="shared" si="28"/>
        <v>1733.8764768901553</v>
      </c>
      <c r="X29" s="137">
        <f t="shared" si="29"/>
        <v>1842.417144343479</v>
      </c>
      <c r="Y29" s="137">
        <f t="shared" si="30"/>
        <v>1957.752457579381</v>
      </c>
      <c r="Z29" s="137">
        <f t="shared" si="31"/>
        <v>2080.30776142385</v>
      </c>
      <c r="AA29" s="137">
        <f t="shared" si="32"/>
        <v>2210.535027288983</v>
      </c>
      <c r="AB29" s="61">
        <f t="shared" si="33"/>
        <v>2348.9145199972736</v>
      </c>
    </row>
    <row r="30" spans="1:28" ht="15">
      <c r="A30" s="34" t="s">
        <v>181</v>
      </c>
      <c r="B30" s="29" t="s">
        <v>182</v>
      </c>
      <c r="C30" s="122">
        <v>3583</v>
      </c>
      <c r="D30" s="123">
        <f>C30/C27</f>
        <v>0.03900458301128879</v>
      </c>
      <c r="E30" s="120">
        <f t="shared" si="0"/>
        <v>-0.0725693552888641</v>
      </c>
      <c r="F30" s="19">
        <f t="shared" si="1"/>
        <v>-260.0160000000001</v>
      </c>
      <c r="G30" s="122">
        <v>3322.984</v>
      </c>
      <c r="H30" s="123">
        <f>G30/G27</f>
        <v>0.02302893157384704</v>
      </c>
      <c r="I30" s="120">
        <f t="shared" si="2"/>
        <v>1.0225797054695418</v>
      </c>
      <c r="J30" s="19">
        <f t="shared" si="3"/>
        <v>3398.016</v>
      </c>
      <c r="K30" s="63">
        <v>6721</v>
      </c>
      <c r="L30" s="123">
        <f>K30/K27</f>
        <v>0.030951773576921745</v>
      </c>
      <c r="M30" s="120">
        <f t="shared" si="4"/>
        <v>-0.2895402469870555</v>
      </c>
      <c r="N30" s="19">
        <f t="shared" si="5"/>
        <v>-1946</v>
      </c>
      <c r="O30" s="37">
        <v>4775</v>
      </c>
      <c r="P30" s="123">
        <f>O30/O27</f>
        <v>0.020695274542861974</v>
      </c>
      <c r="Q30" s="121">
        <f t="shared" si="7"/>
        <v>0.22015670106454074</v>
      </c>
      <c r="R30" s="121">
        <v>0.0626</v>
      </c>
      <c r="S30" s="121"/>
      <c r="T30" s="137">
        <f t="shared" si="25"/>
        <v>5073.915</v>
      </c>
      <c r="U30" s="137">
        <f t="shared" si="26"/>
        <v>5391.542079</v>
      </c>
      <c r="V30" s="137">
        <f t="shared" si="27"/>
        <v>5729.0526131454</v>
      </c>
      <c r="W30" s="137">
        <f t="shared" si="28"/>
        <v>6087.691306728302</v>
      </c>
      <c r="X30" s="137">
        <f t="shared" si="29"/>
        <v>6468.780782529494</v>
      </c>
      <c r="Y30" s="137">
        <f t="shared" si="30"/>
        <v>6873.72645951584</v>
      </c>
      <c r="Z30" s="137">
        <f t="shared" si="31"/>
        <v>7304.021735881532</v>
      </c>
      <c r="AA30" s="137">
        <f t="shared" si="32"/>
        <v>7761.253496547715</v>
      </c>
      <c r="AB30" s="61">
        <f t="shared" si="33"/>
        <v>8247.107965431602</v>
      </c>
    </row>
    <row r="31" spans="1:28" ht="15">
      <c r="A31" s="34" t="s">
        <v>183</v>
      </c>
      <c r="B31" s="29" t="s">
        <v>184</v>
      </c>
      <c r="C31" s="122">
        <v>795</v>
      </c>
      <c r="D31" s="123">
        <f>C31/C27</f>
        <v>0.008654379987154506</v>
      </c>
      <c r="E31" s="120">
        <f t="shared" si="0"/>
        <v>19.90242264150943</v>
      </c>
      <c r="F31" s="19">
        <f t="shared" si="1"/>
        <v>15822.425999999996</v>
      </c>
      <c r="G31" s="122">
        <v>16617.425999999996</v>
      </c>
      <c r="H31" s="123">
        <f>G31/G27</f>
        <v>0.11516202494127765</v>
      </c>
      <c r="I31" s="120">
        <f t="shared" si="2"/>
        <v>1.756749029603021</v>
      </c>
      <c r="J31" s="19">
        <f t="shared" si="3"/>
        <v>29192.647</v>
      </c>
      <c r="K31" s="63">
        <v>45810.073</v>
      </c>
      <c r="L31" s="123">
        <f>K31/K27</f>
        <v>0.2109660775239185</v>
      </c>
      <c r="M31" s="120">
        <f t="shared" si="4"/>
        <v>-0.20050334781173562</v>
      </c>
      <c r="N31" s="19">
        <f t="shared" si="5"/>
        <v>-9185.072999999997</v>
      </c>
      <c r="O31" s="37">
        <v>36625</v>
      </c>
      <c r="P31" s="123">
        <f>O31/O27</f>
        <v>0.15873600631043344</v>
      </c>
      <c r="Q31" s="121">
        <f t="shared" si="7"/>
        <v>7.152889441100238</v>
      </c>
      <c r="R31" s="121">
        <v>0.0626</v>
      </c>
      <c r="S31" s="121"/>
      <c r="T31" s="137">
        <f t="shared" si="25"/>
        <v>38917.725</v>
      </c>
      <c r="U31" s="137">
        <f t="shared" si="26"/>
        <v>41353.974584999996</v>
      </c>
      <c r="V31" s="137">
        <f t="shared" si="27"/>
        <v>43942.733394020994</v>
      </c>
      <c r="W31" s="137">
        <f t="shared" si="28"/>
        <v>46693.54850448671</v>
      </c>
      <c r="X31" s="137">
        <f t="shared" si="29"/>
        <v>49616.564640867575</v>
      </c>
      <c r="Y31" s="137">
        <f t="shared" si="30"/>
        <v>52722.561587385884</v>
      </c>
      <c r="Z31" s="137">
        <f t="shared" si="31"/>
        <v>56022.99394275624</v>
      </c>
      <c r="AA31" s="137">
        <f t="shared" si="32"/>
        <v>59530.03336357278</v>
      </c>
      <c r="AB31" s="61">
        <f t="shared" si="33"/>
        <v>63256.613452132435</v>
      </c>
    </row>
    <row r="32" spans="1:28" ht="15">
      <c r="A32" s="34" t="s">
        <v>185</v>
      </c>
      <c r="B32" s="29" t="s">
        <v>186</v>
      </c>
      <c r="C32" s="122">
        <v>2862</v>
      </c>
      <c r="D32" s="123">
        <f>C32/C27</f>
        <v>0.031155767953756217</v>
      </c>
      <c r="E32" s="120">
        <f t="shared" si="0"/>
        <v>0.3419210342417891</v>
      </c>
      <c r="F32" s="19">
        <f t="shared" si="1"/>
        <v>978.5780000000004</v>
      </c>
      <c r="G32" s="122">
        <v>3840.5780000000004</v>
      </c>
      <c r="H32" s="123">
        <f>G32/G27</f>
        <v>0.026615959621238718</v>
      </c>
      <c r="I32" s="120">
        <f t="shared" si="2"/>
        <v>0.1090380145905121</v>
      </c>
      <c r="J32" s="19">
        <f t="shared" si="3"/>
        <v>418.76900000000023</v>
      </c>
      <c r="K32" s="63">
        <v>4259.347000000001</v>
      </c>
      <c r="L32" s="123">
        <f>K32/K27</f>
        <v>0.019615287000378057</v>
      </c>
      <c r="M32" s="120">
        <f t="shared" si="4"/>
        <v>-0.14423502006293465</v>
      </c>
      <c r="N32" s="19">
        <f t="shared" si="5"/>
        <v>-614.3470000000007</v>
      </c>
      <c r="O32" s="37">
        <v>3645</v>
      </c>
      <c r="P32" s="123">
        <f>O32/O27</f>
        <v>0.015797754075127096</v>
      </c>
      <c r="Q32" s="121">
        <f t="shared" si="7"/>
        <v>0.10224134292312219</v>
      </c>
      <c r="R32" s="121">
        <v>0.0626</v>
      </c>
      <c r="S32" s="121"/>
      <c r="T32" s="137">
        <f t="shared" si="25"/>
        <v>3873.177</v>
      </c>
      <c r="U32" s="137">
        <f t="shared" si="26"/>
        <v>4115.6378802</v>
      </c>
      <c r="V32" s="137">
        <f t="shared" si="27"/>
        <v>4373.27681150052</v>
      </c>
      <c r="W32" s="137">
        <f t="shared" si="28"/>
        <v>4647.043939900453</v>
      </c>
      <c r="X32" s="137">
        <f t="shared" si="29"/>
        <v>4937.948890538221</v>
      </c>
      <c r="Y32" s="137">
        <f t="shared" si="30"/>
        <v>5247.064491085914</v>
      </c>
      <c r="Z32" s="137">
        <f t="shared" si="31"/>
        <v>5575.530728227892</v>
      </c>
      <c r="AA32" s="137">
        <f t="shared" si="32"/>
        <v>5924.558951814958</v>
      </c>
      <c r="AB32" s="61">
        <f t="shared" si="33"/>
        <v>6295.4363421985745</v>
      </c>
    </row>
    <row r="33" spans="1:28" ht="15">
      <c r="A33" s="34" t="s">
        <v>187</v>
      </c>
      <c r="B33" s="29" t="s">
        <v>188</v>
      </c>
      <c r="C33" s="122">
        <v>504</v>
      </c>
      <c r="D33" s="123">
        <f>C33/C27</f>
        <v>0.005486550331479083</v>
      </c>
      <c r="E33" s="120">
        <f t="shared" si="0"/>
        <v>82.99862103174603</v>
      </c>
      <c r="F33" s="19">
        <f t="shared" si="1"/>
        <v>41831.305</v>
      </c>
      <c r="G33" s="122">
        <v>42335.305</v>
      </c>
      <c r="H33" s="123">
        <f>G33/G27</f>
        <v>0.29339197600799294</v>
      </c>
      <c r="I33" s="120">
        <f t="shared" si="2"/>
        <v>-0.9765976411413595</v>
      </c>
      <c r="J33" s="19">
        <f t="shared" si="3"/>
        <v>-41344.559</v>
      </c>
      <c r="K33" s="63">
        <v>990.746</v>
      </c>
      <c r="L33" s="123">
        <f>K33/K27</f>
        <v>0.004562616554715208</v>
      </c>
      <c r="M33" s="120">
        <f t="shared" si="4"/>
        <v>-0.442844079108066</v>
      </c>
      <c r="N33" s="19">
        <f t="shared" si="5"/>
        <v>-438.746</v>
      </c>
      <c r="O33" s="37">
        <v>552</v>
      </c>
      <c r="P33" s="123">
        <f>O33/O27</f>
        <v>0.002392417078043939</v>
      </c>
      <c r="Q33" s="121">
        <f t="shared" si="7"/>
        <v>27.193059770498866</v>
      </c>
      <c r="R33" s="121">
        <v>0.0626</v>
      </c>
      <c r="S33" s="121"/>
      <c r="T33" s="137">
        <f t="shared" si="25"/>
        <v>586.5552</v>
      </c>
      <c r="U33" s="137">
        <f t="shared" si="26"/>
        <v>623.2735555200001</v>
      </c>
      <c r="V33" s="137">
        <f t="shared" si="27"/>
        <v>662.2904800955521</v>
      </c>
      <c r="W33" s="137">
        <f t="shared" si="28"/>
        <v>703.7498641495337</v>
      </c>
      <c r="X33" s="137">
        <f t="shared" si="29"/>
        <v>747.8046056452945</v>
      </c>
      <c r="Y33" s="137">
        <f t="shared" si="30"/>
        <v>794.6171739586899</v>
      </c>
      <c r="Z33" s="137">
        <f t="shared" si="31"/>
        <v>844.360209048504</v>
      </c>
      <c r="AA33" s="137">
        <f t="shared" si="32"/>
        <v>897.2171581349403</v>
      </c>
      <c r="AB33" s="61">
        <f t="shared" si="33"/>
        <v>953.3829522341875</v>
      </c>
    </row>
    <row r="34" spans="1:28" ht="15">
      <c r="A34" s="34" t="s">
        <v>189</v>
      </c>
      <c r="B34" s="29" t="s">
        <v>190</v>
      </c>
      <c r="C34" s="122">
        <v>17</v>
      </c>
      <c r="D34" s="123">
        <f>C34/C27</f>
        <v>0.00018506221356179444</v>
      </c>
      <c r="E34" s="120">
        <f t="shared" si="0"/>
        <v>0.5131764705882353</v>
      </c>
      <c r="F34" s="19">
        <f t="shared" si="1"/>
        <v>8.724</v>
      </c>
      <c r="G34" s="122">
        <v>25.724</v>
      </c>
      <c r="H34" s="123">
        <f>G34/G27</f>
        <v>0.0001782723707985477</v>
      </c>
      <c r="I34" s="120">
        <f t="shared" si="2"/>
        <v>1.5400015549681232</v>
      </c>
      <c r="J34" s="19">
        <f t="shared" si="3"/>
        <v>39.614999999999995</v>
      </c>
      <c r="K34" s="63">
        <v>65.339</v>
      </c>
      <c r="L34" s="123">
        <f>K34/K27</f>
        <v>0.0003009013441069022</v>
      </c>
      <c r="M34" s="120">
        <f t="shared" si="4"/>
        <v>-0.9081712300463736</v>
      </c>
      <c r="N34" s="19">
        <f t="shared" si="5"/>
        <v>-59.339</v>
      </c>
      <c r="O34" s="37">
        <v>6</v>
      </c>
      <c r="P34" s="123">
        <f>O34/O27</f>
        <v>2.6004533456999335E-05</v>
      </c>
      <c r="Q34" s="121">
        <f t="shared" si="7"/>
        <v>0.38166893183666173</v>
      </c>
      <c r="R34" s="121">
        <v>0.0626</v>
      </c>
      <c r="S34" s="121"/>
      <c r="T34" s="137">
        <f t="shared" si="25"/>
        <v>6.3756</v>
      </c>
      <c r="U34" s="137">
        <f t="shared" si="26"/>
        <v>6.77471256</v>
      </c>
      <c r="V34" s="137">
        <f t="shared" si="27"/>
        <v>7.198809566256</v>
      </c>
      <c r="W34" s="137">
        <f t="shared" si="28"/>
        <v>7.649455045103625</v>
      </c>
      <c r="X34" s="137">
        <f t="shared" si="29"/>
        <v>8.128310930927112</v>
      </c>
      <c r="Y34" s="137">
        <f t="shared" si="30"/>
        <v>8.63714319520315</v>
      </c>
      <c r="Z34" s="137">
        <f t="shared" si="31"/>
        <v>9.177828359222866</v>
      </c>
      <c r="AA34" s="137">
        <f t="shared" si="32"/>
        <v>9.752360414510218</v>
      </c>
      <c r="AB34" s="61">
        <f t="shared" si="33"/>
        <v>10.362858176458557</v>
      </c>
    </row>
    <row r="35" spans="1:28" ht="15">
      <c r="A35" s="34" t="s">
        <v>191</v>
      </c>
      <c r="B35" s="29" t="s">
        <v>192</v>
      </c>
      <c r="C35" s="122">
        <v>0</v>
      </c>
      <c r="D35" s="123">
        <f>C35/C27</f>
        <v>0</v>
      </c>
      <c r="E35" s="120" t="e">
        <f t="shared" si="0"/>
        <v>#DIV/0!</v>
      </c>
      <c r="F35" s="19">
        <f t="shared" si="1"/>
        <v>0</v>
      </c>
      <c r="G35" s="122">
        <v>0</v>
      </c>
      <c r="H35" s="123">
        <f>G35/G27</f>
        <v>0</v>
      </c>
      <c r="I35" s="120" t="e">
        <f t="shared" si="2"/>
        <v>#DIV/0!</v>
      </c>
      <c r="J35" s="19">
        <f t="shared" si="3"/>
        <v>0</v>
      </c>
      <c r="K35" s="63">
        <v>0</v>
      </c>
      <c r="L35" s="123">
        <f>K35/K27</f>
        <v>0</v>
      </c>
      <c r="M35" s="120" t="e">
        <f t="shared" si="4"/>
        <v>#DIV/0!</v>
      </c>
      <c r="N35" s="19">
        <f t="shared" si="5"/>
        <v>0</v>
      </c>
      <c r="O35" s="31">
        <v>0</v>
      </c>
      <c r="P35" s="123">
        <f>O35/O27</f>
        <v>0</v>
      </c>
      <c r="Q35" s="121" t="e">
        <f t="shared" si="7"/>
        <v>#DIV/0!</v>
      </c>
      <c r="R35" s="121">
        <v>0.0626</v>
      </c>
      <c r="S35" s="121"/>
      <c r="T35" s="137">
        <f t="shared" si="25"/>
        <v>0</v>
      </c>
      <c r="U35" s="137">
        <f t="shared" si="26"/>
        <v>0</v>
      </c>
      <c r="V35" s="137">
        <f t="shared" si="27"/>
        <v>0</v>
      </c>
      <c r="W35" s="137">
        <f t="shared" si="28"/>
        <v>0</v>
      </c>
      <c r="X35" s="137">
        <f t="shared" si="29"/>
        <v>0</v>
      </c>
      <c r="Y35" s="137">
        <f t="shared" si="30"/>
        <v>0</v>
      </c>
      <c r="Z35" s="137">
        <f t="shared" si="31"/>
        <v>0</v>
      </c>
      <c r="AA35" s="137">
        <f t="shared" si="32"/>
        <v>0</v>
      </c>
      <c r="AB35" s="61">
        <f t="shared" si="33"/>
        <v>0</v>
      </c>
    </row>
    <row r="36" spans="1:28" ht="15">
      <c r="A36" s="34" t="s">
        <v>193</v>
      </c>
      <c r="B36" s="29" t="s">
        <v>194</v>
      </c>
      <c r="C36" s="122">
        <v>556</v>
      </c>
      <c r="D36" s="123">
        <f>C36/C27</f>
        <v>0.006052622984726925</v>
      </c>
      <c r="E36" s="120">
        <f t="shared" si="0"/>
        <v>0.1888489208633093</v>
      </c>
      <c r="F36" s="19">
        <f t="shared" si="1"/>
        <v>105</v>
      </c>
      <c r="G36" s="122">
        <v>661</v>
      </c>
      <c r="H36" s="123">
        <f>G36/G27</f>
        <v>0.004580859784552947</v>
      </c>
      <c r="I36" s="120">
        <f t="shared" si="2"/>
        <v>-0.40786686838124053</v>
      </c>
      <c r="J36" s="19">
        <f t="shared" si="3"/>
        <v>-269.6</v>
      </c>
      <c r="K36" s="63">
        <v>391.4</v>
      </c>
      <c r="L36" s="123">
        <f>K36/K27</f>
        <v>0.001802488346675669</v>
      </c>
      <c r="M36" s="120">
        <f t="shared" si="4"/>
        <v>-0.17731221257026053</v>
      </c>
      <c r="N36" s="19">
        <f t="shared" si="5"/>
        <v>-69.39999999999998</v>
      </c>
      <c r="O36" s="37">
        <v>322</v>
      </c>
      <c r="P36" s="123">
        <f>O36/O27</f>
        <v>0.0013955766288589644</v>
      </c>
      <c r="Q36" s="121">
        <f t="shared" si="7"/>
        <v>-0.1321100533627306</v>
      </c>
      <c r="R36" s="121">
        <v>0.0626</v>
      </c>
      <c r="S36" s="121"/>
      <c r="T36" s="137">
        <f t="shared" si="25"/>
        <v>342.1572</v>
      </c>
      <c r="U36" s="137">
        <f t="shared" si="26"/>
        <v>363.57624072</v>
      </c>
      <c r="V36" s="137">
        <f t="shared" si="27"/>
        <v>386.336113389072</v>
      </c>
      <c r="W36" s="137">
        <f t="shared" si="28"/>
        <v>410.52075408722794</v>
      </c>
      <c r="X36" s="137">
        <f t="shared" si="29"/>
        <v>436.21935329308843</v>
      </c>
      <c r="Y36" s="137">
        <f t="shared" si="30"/>
        <v>463.52668480923575</v>
      </c>
      <c r="Z36" s="137">
        <f t="shared" si="31"/>
        <v>492.5434552782939</v>
      </c>
      <c r="AA36" s="137">
        <f t="shared" si="32"/>
        <v>523.3766755787151</v>
      </c>
      <c r="AB36" s="61">
        <f t="shared" si="33"/>
        <v>556.1400554699427</v>
      </c>
    </row>
    <row r="37" spans="1:28" ht="15">
      <c r="A37" s="34" t="s">
        <v>195</v>
      </c>
      <c r="B37" s="29" t="s">
        <v>196</v>
      </c>
      <c r="C37" s="122">
        <v>721</v>
      </c>
      <c r="D37" s="123">
        <f>C37/C27</f>
        <v>0.007848815057532576</v>
      </c>
      <c r="E37" s="120">
        <f t="shared" si="0"/>
        <v>-1</v>
      </c>
      <c r="F37" s="19">
        <f t="shared" si="1"/>
        <v>-721</v>
      </c>
      <c r="G37" s="122">
        <v>0</v>
      </c>
      <c r="H37" s="123">
        <f>G37/G27</f>
        <v>0</v>
      </c>
      <c r="I37" s="120" t="e">
        <f t="shared" si="2"/>
        <v>#DIV/0!</v>
      </c>
      <c r="J37" s="19">
        <f t="shared" si="3"/>
        <v>1250.747</v>
      </c>
      <c r="K37" s="63">
        <v>1250.747</v>
      </c>
      <c r="L37" s="123">
        <f>K37/K27</f>
        <v>0.005759981839906881</v>
      </c>
      <c r="M37" s="120">
        <f t="shared" si="4"/>
        <v>-0.47471391096680626</v>
      </c>
      <c r="N37" s="19">
        <f t="shared" si="5"/>
        <v>-593.7470000000001</v>
      </c>
      <c r="O37" s="37">
        <v>657</v>
      </c>
      <c r="P37" s="123">
        <f>O37/O27</f>
        <v>0.0028474964135414274</v>
      </c>
      <c r="Q37" s="121" t="e">
        <f t="shared" si="7"/>
        <v>#DIV/0!</v>
      </c>
      <c r="R37" s="121">
        <v>0.0626</v>
      </c>
      <c r="S37" s="121"/>
      <c r="T37" s="137">
        <f t="shared" si="25"/>
        <v>698.1282</v>
      </c>
      <c r="U37" s="137">
        <f t="shared" si="26"/>
        <v>741.83102532</v>
      </c>
      <c r="V37" s="137">
        <f t="shared" si="27"/>
        <v>788.269647505032</v>
      </c>
      <c r="W37" s="137">
        <f t="shared" si="28"/>
        <v>837.6153274388471</v>
      </c>
      <c r="X37" s="137">
        <f t="shared" si="29"/>
        <v>890.0500469365189</v>
      </c>
      <c r="Y37" s="137">
        <f t="shared" si="30"/>
        <v>945.767179874745</v>
      </c>
      <c r="Z37" s="137">
        <f t="shared" si="31"/>
        <v>1004.9722053349041</v>
      </c>
      <c r="AA37" s="137">
        <f t="shared" si="32"/>
        <v>1067.8834653888691</v>
      </c>
      <c r="AB37" s="61">
        <f t="shared" si="33"/>
        <v>1134.7329703222124</v>
      </c>
    </row>
    <row r="38" spans="1:28" ht="15">
      <c r="A38" s="34" t="s">
        <v>197</v>
      </c>
      <c r="B38" s="36" t="s">
        <v>198</v>
      </c>
      <c r="C38" s="122">
        <v>0</v>
      </c>
      <c r="D38" s="123">
        <f>C38/C27</f>
        <v>0</v>
      </c>
      <c r="E38" s="120" t="e">
        <f t="shared" si="0"/>
        <v>#DIV/0!</v>
      </c>
      <c r="F38" s="19">
        <f t="shared" si="1"/>
        <v>0</v>
      </c>
      <c r="G38" s="122">
        <v>0</v>
      </c>
      <c r="H38" s="123">
        <f>G38/G27</f>
        <v>0</v>
      </c>
      <c r="I38" s="120" t="e">
        <f t="shared" si="2"/>
        <v>#DIV/0!</v>
      </c>
      <c r="J38" s="19">
        <f t="shared" si="3"/>
        <v>0</v>
      </c>
      <c r="K38" s="63">
        <v>0</v>
      </c>
      <c r="L38" s="123">
        <f>K38/K27</f>
        <v>0</v>
      </c>
      <c r="M38" s="120" t="e">
        <f t="shared" si="4"/>
        <v>#DIV/0!</v>
      </c>
      <c r="N38" s="19">
        <f t="shared" si="5"/>
        <v>0</v>
      </c>
      <c r="O38" s="31">
        <v>0</v>
      </c>
      <c r="P38" s="123">
        <f>O38/O27</f>
        <v>0</v>
      </c>
      <c r="Q38" s="121" t="e">
        <f t="shared" si="7"/>
        <v>#DIV/0!</v>
      </c>
      <c r="R38" s="121">
        <v>0.0626</v>
      </c>
      <c r="S38" s="121"/>
      <c r="T38" s="137">
        <f t="shared" si="25"/>
        <v>0</v>
      </c>
      <c r="U38" s="137">
        <f t="shared" si="26"/>
        <v>0</v>
      </c>
      <c r="V38" s="137">
        <f t="shared" si="27"/>
        <v>0</v>
      </c>
      <c r="W38" s="137">
        <f t="shared" si="28"/>
        <v>0</v>
      </c>
      <c r="X38" s="137">
        <f t="shared" si="29"/>
        <v>0</v>
      </c>
      <c r="Y38" s="137">
        <f t="shared" si="30"/>
        <v>0</v>
      </c>
      <c r="Z38" s="137">
        <f t="shared" si="31"/>
        <v>0</v>
      </c>
      <c r="AA38" s="137">
        <f t="shared" si="32"/>
        <v>0</v>
      </c>
      <c r="AB38" s="61">
        <f t="shared" si="33"/>
        <v>0</v>
      </c>
    </row>
    <row r="39" spans="1:28" ht="15.75">
      <c r="A39" s="34" t="s">
        <v>199</v>
      </c>
      <c r="B39" s="23" t="s">
        <v>200</v>
      </c>
      <c r="C39" s="24">
        <f>SUM(C40:C41)</f>
        <v>1094460</v>
      </c>
      <c r="D39" s="20">
        <f>C39/C19</f>
        <v>0.49149098982583206</v>
      </c>
      <c r="E39" s="120">
        <f t="shared" si="0"/>
        <v>0.10448580487180892</v>
      </c>
      <c r="F39" s="19">
        <f t="shared" si="1"/>
        <v>114355.53399999999</v>
      </c>
      <c r="G39" s="24">
        <f>SUM(G40:G41)</f>
        <v>1208815.534</v>
      </c>
      <c r="H39" s="227">
        <f>G39/G19</f>
        <v>0.3908474065702112</v>
      </c>
      <c r="I39" s="120">
        <f t="shared" si="2"/>
        <v>0.3060048912309892</v>
      </c>
      <c r="J39" s="19">
        <f t="shared" si="3"/>
        <v>369903.466</v>
      </c>
      <c r="K39" s="25">
        <f>SUM(K40:K41)</f>
        <v>1578719</v>
      </c>
      <c r="L39" s="20">
        <f>K39/K19</f>
        <v>0.3651119927433159</v>
      </c>
      <c r="M39" s="120">
        <f t="shared" si="4"/>
        <v>0.06801020320905748</v>
      </c>
      <c r="N39" s="19">
        <f t="shared" si="5"/>
        <v>107369</v>
      </c>
      <c r="O39" s="25">
        <f>SUM(O40:O41)</f>
        <v>1686088</v>
      </c>
      <c r="P39" s="20">
        <f>O39/O19</f>
        <v>0.3781725529688697</v>
      </c>
      <c r="Q39" s="121">
        <f t="shared" si="7"/>
        <v>0.15950029977061853</v>
      </c>
      <c r="R39" s="121"/>
      <c r="S39" s="121"/>
      <c r="T39" s="25">
        <f aca="true" t="shared" si="34" ref="T39:AB39">SUM(T40:T41)</f>
        <v>1800741.984</v>
      </c>
      <c r="U39" s="25">
        <f t="shared" si="34"/>
        <v>1923192.438912</v>
      </c>
      <c r="V39" s="25">
        <f t="shared" si="34"/>
        <v>2053969.524758016</v>
      </c>
      <c r="W39" s="25">
        <f t="shared" si="34"/>
        <v>2193639.452441561</v>
      </c>
      <c r="X39" s="25">
        <f t="shared" si="34"/>
        <v>1686088</v>
      </c>
      <c r="Y39" s="25">
        <f t="shared" si="34"/>
        <v>1800741.984</v>
      </c>
      <c r="Z39" s="25">
        <f t="shared" si="34"/>
        <v>1923192.438912</v>
      </c>
      <c r="AA39" s="25">
        <f t="shared" si="34"/>
        <v>2053969.524758016</v>
      </c>
      <c r="AB39" s="25">
        <f t="shared" si="34"/>
        <v>2193639.452441561</v>
      </c>
    </row>
    <row r="40" spans="1:28" ht="15">
      <c r="A40" s="34" t="s">
        <v>201</v>
      </c>
      <c r="B40" s="29" t="s">
        <v>202</v>
      </c>
      <c r="C40" s="122">
        <v>967757</v>
      </c>
      <c r="D40" s="123">
        <f>C40/C39</f>
        <v>0.8842324068490397</v>
      </c>
      <c r="E40" s="120">
        <f t="shared" si="0"/>
        <v>0.05094619207094331</v>
      </c>
      <c r="F40" s="19">
        <f t="shared" si="1"/>
        <v>49303.533999999985</v>
      </c>
      <c r="G40" s="122">
        <v>1017060.534</v>
      </c>
      <c r="H40" s="123">
        <f>G40/G39</f>
        <v>0.8413695103954546</v>
      </c>
      <c r="I40" s="120">
        <f t="shared" si="2"/>
        <v>0.3944460064950275</v>
      </c>
      <c r="J40" s="19">
        <f t="shared" si="3"/>
        <v>401175.466</v>
      </c>
      <c r="K40" s="63">
        <v>1418236</v>
      </c>
      <c r="L40" s="123">
        <f>K40/K39</f>
        <v>0.8983460641190738</v>
      </c>
      <c r="M40" s="120">
        <f t="shared" si="4"/>
        <v>0.18886278447310612</v>
      </c>
      <c r="N40" s="19">
        <f t="shared" si="5"/>
        <v>267852</v>
      </c>
      <c r="O40" s="37">
        <v>1686088</v>
      </c>
      <c r="P40" s="123">
        <f>O40/O39</f>
        <v>1</v>
      </c>
      <c r="Q40" s="121">
        <f t="shared" si="7"/>
        <v>0.2114183276796923</v>
      </c>
      <c r="R40" s="121">
        <v>0.068</v>
      </c>
      <c r="S40" s="121"/>
      <c r="T40" s="137">
        <f>(O40*R40)+O40</f>
        <v>1800741.984</v>
      </c>
      <c r="U40" s="137">
        <f>(T40*R40)+T40</f>
        <v>1923192.438912</v>
      </c>
      <c r="V40" s="137">
        <f>(U40*R40)+U40</f>
        <v>2053969.524758016</v>
      </c>
      <c r="W40" s="137">
        <f>(V40*R40)+V40</f>
        <v>2193639.452441561</v>
      </c>
      <c r="X40" s="140">
        <v>1686088</v>
      </c>
      <c r="Y40" s="137">
        <f>(X40*R40)+X40</f>
        <v>1800741.984</v>
      </c>
      <c r="Z40" s="137">
        <f>(Y40*R40)+Y40</f>
        <v>1923192.438912</v>
      </c>
      <c r="AA40" s="137">
        <f>(Z40*R40)+Z40</f>
        <v>2053969.524758016</v>
      </c>
      <c r="AB40" s="61">
        <f>(AA40*R40)+AA40</f>
        <v>2193639.452441561</v>
      </c>
    </row>
    <row r="41" spans="1:28" ht="15">
      <c r="A41" s="34" t="s">
        <v>203</v>
      </c>
      <c r="B41" s="29" t="s">
        <v>204</v>
      </c>
      <c r="C41" s="122">
        <v>126703</v>
      </c>
      <c r="D41" s="123">
        <f>C41/C39</f>
        <v>0.11576759315096029</v>
      </c>
      <c r="E41" s="120">
        <f t="shared" si="0"/>
        <v>0.5134211502490076</v>
      </c>
      <c r="F41" s="19">
        <f t="shared" si="1"/>
        <v>65052</v>
      </c>
      <c r="G41" s="122">
        <v>191755</v>
      </c>
      <c r="H41" s="123">
        <f>G41/G39</f>
        <v>0.1586304896045454</v>
      </c>
      <c r="I41" s="120">
        <f t="shared" si="2"/>
        <v>-0.16308310083179056</v>
      </c>
      <c r="J41" s="19">
        <f t="shared" si="3"/>
        <v>-31272</v>
      </c>
      <c r="K41" s="63">
        <v>160483</v>
      </c>
      <c r="L41" s="123">
        <f>K41/K39</f>
        <v>0.10165393588092625</v>
      </c>
      <c r="M41" s="120">
        <f t="shared" si="4"/>
        <v>-1</v>
      </c>
      <c r="N41" s="19">
        <f t="shared" si="5"/>
        <v>-160483</v>
      </c>
      <c r="O41" s="31">
        <v>0</v>
      </c>
      <c r="P41" s="123">
        <f>O41/O39</f>
        <v>0</v>
      </c>
      <c r="Q41" s="121">
        <f t="shared" si="7"/>
        <v>-0.21655398352759433</v>
      </c>
      <c r="R41" s="121">
        <v>0.068</v>
      </c>
      <c r="S41" s="121"/>
      <c r="T41" s="137">
        <f>(O41*R41)+O41</f>
        <v>0</v>
      </c>
      <c r="U41" s="137">
        <f>(T41*R41)+T41</f>
        <v>0</v>
      </c>
      <c r="V41" s="61">
        <f>(U41*R41)+U41</f>
        <v>0</v>
      </c>
      <c r="W41" s="137">
        <f>(V41*R41)+V41</f>
        <v>0</v>
      </c>
      <c r="X41" s="141">
        <v>0</v>
      </c>
      <c r="Y41" s="137">
        <f>(X41*R41)+X41</f>
        <v>0</v>
      </c>
      <c r="Z41" s="137">
        <f>(Y41*R41)+Y41</f>
        <v>0</v>
      </c>
      <c r="AA41" s="137">
        <f>(Z41*R41)+Z41</f>
        <v>0</v>
      </c>
      <c r="AB41" s="61">
        <f>(AA41*R41)+AA41</f>
        <v>0</v>
      </c>
    </row>
    <row r="42" spans="1:28" ht="15.75">
      <c r="A42" s="34" t="s">
        <v>205</v>
      </c>
      <c r="B42" s="23" t="s">
        <v>206</v>
      </c>
      <c r="C42" s="24">
        <f>SUM(C43:C44)</f>
        <v>387861</v>
      </c>
      <c r="D42" s="20">
        <f>C42/C19</f>
        <v>0.17417739049836178</v>
      </c>
      <c r="E42" s="120">
        <f t="shared" si="0"/>
        <v>-0.3685595045647796</v>
      </c>
      <c r="F42" s="19">
        <f t="shared" si="1"/>
        <v>-142949.85799999998</v>
      </c>
      <c r="G42" s="24">
        <f>SUM(G43:G44)</f>
        <v>244911.14200000002</v>
      </c>
      <c r="H42" s="20">
        <f>G42/G19</f>
        <v>0.07918733834772902</v>
      </c>
      <c r="I42" s="120">
        <f t="shared" si="2"/>
        <v>2.1088526588961805</v>
      </c>
      <c r="J42" s="19">
        <f t="shared" si="3"/>
        <v>516481.51300000004</v>
      </c>
      <c r="K42" s="25">
        <f>SUM(K43:K44)</f>
        <v>761392.655</v>
      </c>
      <c r="L42" s="20">
        <f>K42/K19</f>
        <v>0.17608807490577744</v>
      </c>
      <c r="M42" s="120">
        <f t="shared" si="4"/>
        <v>-0.29742033038130633</v>
      </c>
      <c r="N42" s="19">
        <f t="shared" si="5"/>
        <v>-226453.65500000003</v>
      </c>
      <c r="O42" s="25">
        <f>SUM(O43:O44)</f>
        <v>534939</v>
      </c>
      <c r="P42" s="20">
        <f>O42/O19</f>
        <v>0.11998142879411643</v>
      </c>
      <c r="Q42" s="121">
        <f t="shared" si="7"/>
        <v>0.48095760798336484</v>
      </c>
      <c r="R42" s="121"/>
      <c r="S42" s="121"/>
      <c r="T42" s="25">
        <f aca="true" t="shared" si="35" ref="T42:AB42">SUM(T43:T44)</f>
        <v>615179.85</v>
      </c>
      <c r="U42" s="25">
        <f t="shared" si="35"/>
        <v>707456.8275</v>
      </c>
      <c r="V42" s="25">
        <f t="shared" si="35"/>
        <v>813575.351625</v>
      </c>
      <c r="W42" s="25">
        <f t="shared" si="35"/>
        <v>935611.65436875</v>
      </c>
      <c r="X42" s="25">
        <f t="shared" si="35"/>
        <v>1075953.4025240624</v>
      </c>
      <c r="Y42" s="25">
        <f t="shared" si="35"/>
        <v>1237346.4129026718</v>
      </c>
      <c r="Z42" s="25">
        <f t="shared" si="35"/>
        <v>1422948.3748380726</v>
      </c>
      <c r="AA42" s="25">
        <f t="shared" si="35"/>
        <v>1636390.6310637835</v>
      </c>
      <c r="AB42" s="25">
        <f t="shared" si="35"/>
        <v>1881849.2257233511</v>
      </c>
    </row>
    <row r="43" spans="1:28" ht="15">
      <c r="A43" s="34" t="s">
        <v>207</v>
      </c>
      <c r="B43" s="29" t="s">
        <v>208</v>
      </c>
      <c r="C43" s="37">
        <v>387575</v>
      </c>
      <c r="D43" s="38">
        <f>C43/C39</f>
        <v>0.3541244083840433</v>
      </c>
      <c r="E43" s="120">
        <f t="shared" si="0"/>
        <v>-0.3680999135651163</v>
      </c>
      <c r="F43" s="19">
        <f t="shared" si="1"/>
        <v>-142666.32399999996</v>
      </c>
      <c r="G43" s="37">
        <v>244908.67600000004</v>
      </c>
      <c r="H43" s="38">
        <f>G43/G39</f>
        <v>0.2026021912455007</v>
      </c>
      <c r="I43" s="120">
        <f t="shared" si="2"/>
        <v>2.108883962118189</v>
      </c>
      <c r="J43" s="19">
        <f t="shared" si="3"/>
        <v>516483.979</v>
      </c>
      <c r="K43" s="63">
        <v>761392.655</v>
      </c>
      <c r="L43" s="38">
        <f>K43/K39</f>
        <v>0.4822851026686827</v>
      </c>
      <c r="M43" s="120">
        <f t="shared" si="4"/>
        <v>-0.29742033038130633</v>
      </c>
      <c r="N43" s="19">
        <f t="shared" si="5"/>
        <v>-226453.65500000003</v>
      </c>
      <c r="O43" s="61">
        <v>534939</v>
      </c>
      <c r="P43" s="38">
        <f>O43/O39</f>
        <v>0.31726635857677654</v>
      </c>
      <c r="Q43" s="121">
        <f t="shared" si="7"/>
        <v>0.4811212393905888</v>
      </c>
      <c r="R43" s="121">
        <v>0.15</v>
      </c>
      <c r="S43" s="121"/>
      <c r="T43" s="137">
        <f>(O43*R43)+O43</f>
        <v>615179.85</v>
      </c>
      <c r="U43" s="137">
        <f>(T43*R43)+T43</f>
        <v>707456.8275</v>
      </c>
      <c r="V43" s="137">
        <f>(U43*R43)+U43</f>
        <v>813575.351625</v>
      </c>
      <c r="W43" s="137">
        <f>(V43*R43)+V43</f>
        <v>935611.65436875</v>
      </c>
      <c r="X43" s="137">
        <f>(W43*R43)+W43</f>
        <v>1075953.4025240624</v>
      </c>
      <c r="Y43" s="137">
        <f>(X43*R43)+X43</f>
        <v>1237346.4129026718</v>
      </c>
      <c r="Z43" s="137">
        <f>(Y43*R43)+Y43</f>
        <v>1422948.3748380726</v>
      </c>
      <c r="AA43" s="137">
        <f>(Z43*R43)+Z43</f>
        <v>1636390.6310637835</v>
      </c>
      <c r="AB43" s="61">
        <f>(AA43*R43)+AA43</f>
        <v>1881849.2257233511</v>
      </c>
    </row>
    <row r="44" spans="1:28" ht="15.75" thickBot="1">
      <c r="A44" s="39" t="s">
        <v>209</v>
      </c>
      <c r="B44" s="40" t="s">
        <v>210</v>
      </c>
      <c r="C44" s="122">
        <v>286</v>
      </c>
      <c r="D44" s="123">
        <f>C44/C39</f>
        <v>0.00026131608281709703</v>
      </c>
      <c r="E44" s="120">
        <f t="shared" si="0"/>
        <v>-0.9913776223776224</v>
      </c>
      <c r="F44" s="19">
        <f t="shared" si="1"/>
        <v>-283.534</v>
      </c>
      <c r="G44" s="122">
        <v>2.466</v>
      </c>
      <c r="H44" s="123">
        <f>G44/G39</f>
        <v>2.0400134930761077E-06</v>
      </c>
      <c r="I44" s="120">
        <f t="shared" si="2"/>
        <v>-1</v>
      </c>
      <c r="J44" s="19">
        <f t="shared" si="3"/>
        <v>-2.466</v>
      </c>
      <c r="K44" s="63">
        <v>0</v>
      </c>
      <c r="L44" s="123">
        <f>K44/K39</f>
        <v>0</v>
      </c>
      <c r="M44" s="120" t="e">
        <f t="shared" si="4"/>
        <v>#DIV/0!</v>
      </c>
      <c r="N44" s="19">
        <f t="shared" si="5"/>
        <v>0</v>
      </c>
      <c r="O44" s="31">
        <v>0</v>
      </c>
      <c r="P44" s="123">
        <f>O44/O39</f>
        <v>0</v>
      </c>
      <c r="Q44" s="121" t="e">
        <f t="shared" si="7"/>
        <v>#DIV/0!</v>
      </c>
      <c r="R44" s="121">
        <v>0.15</v>
      </c>
      <c r="S44" s="121"/>
      <c r="T44" s="137">
        <f>(O44*R44)+O44</f>
        <v>0</v>
      </c>
      <c r="U44" s="137">
        <f>(T44*R44)+T44</f>
        <v>0</v>
      </c>
      <c r="V44" s="61">
        <f>(U44*R44)+U44</f>
        <v>0</v>
      </c>
      <c r="W44" s="137">
        <f>(V44*R44)+V44</f>
        <v>0</v>
      </c>
      <c r="X44" s="137">
        <f>(W44*R44)+W44</f>
        <v>0</v>
      </c>
      <c r="Y44" s="137">
        <f>(X44*R44)+X44</f>
        <v>0</v>
      </c>
      <c r="Z44" s="137">
        <f>(Y44*R44)+Y44</f>
        <v>0</v>
      </c>
      <c r="AA44" s="137">
        <f>(Z44*R44)+Z44</f>
        <v>0</v>
      </c>
      <c r="AB44" s="61">
        <f>(AA44*R44)+AA44</f>
        <v>0</v>
      </c>
    </row>
    <row r="45" spans="1:28" ht="15.75">
      <c r="A45" s="33" t="s">
        <v>211</v>
      </c>
      <c r="B45" s="41" t="s">
        <v>212</v>
      </c>
      <c r="C45" s="126">
        <v>4300</v>
      </c>
      <c r="D45" s="127">
        <f>C45/C19</f>
        <v>0.0019310082198080128</v>
      </c>
      <c r="E45" s="120">
        <f t="shared" si="0"/>
        <v>-0.9869837209302326</v>
      </c>
      <c r="F45" s="19">
        <f t="shared" si="1"/>
        <v>-4244.03</v>
      </c>
      <c r="G45" s="126">
        <v>55.97</v>
      </c>
      <c r="H45" s="228">
        <f>G45/G19</f>
        <v>1.809683010388475E-05</v>
      </c>
      <c r="I45" s="120">
        <f t="shared" si="2"/>
        <v>-1</v>
      </c>
      <c r="J45" s="19">
        <f t="shared" si="3"/>
        <v>-55.97</v>
      </c>
      <c r="K45" s="25">
        <v>0</v>
      </c>
      <c r="L45" s="127">
        <f>K45/K19</f>
        <v>0</v>
      </c>
      <c r="M45" s="120" t="e">
        <f t="shared" si="4"/>
        <v>#DIV/0!</v>
      </c>
      <c r="N45" s="19">
        <f t="shared" si="5"/>
        <v>0</v>
      </c>
      <c r="O45" s="25">
        <v>0</v>
      </c>
      <c r="P45" s="127">
        <f>O45/O19</f>
        <v>0</v>
      </c>
      <c r="Q45" s="121" t="e">
        <f t="shared" si="7"/>
        <v>#DIV/0!</v>
      </c>
      <c r="R45" s="121">
        <v>0.02</v>
      </c>
      <c r="S45" s="121"/>
      <c r="T45" s="137">
        <f>(O45*R45)+O45</f>
        <v>0</v>
      </c>
      <c r="U45" s="137">
        <f>(T45*R45)+T45</f>
        <v>0</v>
      </c>
      <c r="V45" s="61">
        <f>(U45*R45)+U45</f>
        <v>0</v>
      </c>
      <c r="W45" s="61">
        <f>(V45*R45)+V45</f>
        <v>0</v>
      </c>
      <c r="X45" s="137">
        <f>(W45*R45)+W45</f>
        <v>0</v>
      </c>
      <c r="Y45" s="137">
        <f>(X45*R45)+X45</f>
        <v>0</v>
      </c>
      <c r="Z45" s="137">
        <f>(Y45*R45)+Y45</f>
        <v>0</v>
      </c>
      <c r="AA45" s="137">
        <f>(Z45*R45)+Z45</f>
        <v>0</v>
      </c>
      <c r="AB45" s="61">
        <f>(AA45*R45)+AA45</f>
        <v>0</v>
      </c>
    </row>
    <row r="46" spans="1:28" ht="15.75">
      <c r="A46" s="33" t="s">
        <v>213</v>
      </c>
      <c r="B46" s="26" t="s">
        <v>214</v>
      </c>
      <c r="C46" s="25">
        <f>C47+C105+C112+C116</f>
        <v>4755103.03108</v>
      </c>
      <c r="D46" s="20">
        <f>C46/C5</f>
        <v>0.48455604225440935</v>
      </c>
      <c r="E46" s="120">
        <f t="shared" si="0"/>
        <v>0.5234481322762583</v>
      </c>
      <c r="F46" s="19">
        <f t="shared" si="1"/>
        <v>2489049.800400001</v>
      </c>
      <c r="G46" s="25">
        <f>G47+G105+G112+G116</f>
        <v>7244152.831480001</v>
      </c>
      <c r="H46" s="230">
        <f>G46/G5</f>
        <v>0.5434771997583302</v>
      </c>
      <c r="I46" s="120">
        <f t="shared" si="2"/>
        <v>0.6171853535779925</v>
      </c>
      <c r="J46" s="19">
        <f t="shared" si="3"/>
        <v>4470985.0266700005</v>
      </c>
      <c r="K46" s="25">
        <f>K47+K105+K112+K116</f>
        <v>11715137.858150002</v>
      </c>
      <c r="L46" s="20">
        <f>K46/K5</f>
        <v>0.6069348442180407</v>
      </c>
      <c r="M46" s="120">
        <f t="shared" si="4"/>
        <v>-0.09187189012899621</v>
      </c>
      <c r="N46" s="19">
        <f t="shared" si="5"/>
        <v>-1076291.8581500016</v>
      </c>
      <c r="O46" s="25">
        <f>O47+O105+O112+O116</f>
        <v>10638846</v>
      </c>
      <c r="P46" s="20">
        <f>O46/O5</f>
        <v>0.5742237436723961</v>
      </c>
      <c r="Q46" s="121">
        <f t="shared" si="7"/>
        <v>0.3495871985750849</v>
      </c>
      <c r="R46" s="121"/>
      <c r="S46" s="121"/>
      <c r="T46" s="25">
        <f aca="true" t="shared" si="36" ref="T46:AB46">T47+T105+T112+T116</f>
        <v>11458004.334999999</v>
      </c>
      <c r="U46" s="25">
        <f t="shared" si="36"/>
        <v>12341249.882967</v>
      </c>
      <c r="V46" s="25">
        <f t="shared" si="36"/>
        <v>13352270.816703284</v>
      </c>
      <c r="W46" s="25">
        <f t="shared" si="36"/>
        <v>14447162.396991197</v>
      </c>
      <c r="X46" s="25">
        <f t="shared" si="36"/>
        <v>15633013.625211937</v>
      </c>
      <c r="Y46" s="25">
        <f t="shared" si="36"/>
        <v>16917529.13235501</v>
      </c>
      <c r="Z46" s="25">
        <f t="shared" si="36"/>
        <v>18309084.6819779</v>
      </c>
      <c r="AA46" s="25">
        <f t="shared" si="36"/>
        <v>19816787.926110454</v>
      </c>
      <c r="AB46" s="25">
        <f t="shared" si="36"/>
        <v>21450544.940911826</v>
      </c>
    </row>
    <row r="47" spans="1:28" ht="15.75">
      <c r="A47" s="33" t="s">
        <v>215</v>
      </c>
      <c r="B47" s="23" t="s">
        <v>216</v>
      </c>
      <c r="C47" s="24">
        <f>SUM(C48:C58)+C59+C66+C104</f>
        <v>304520.23</v>
      </c>
      <c r="D47" s="20">
        <f>C47/C46</f>
        <v>0.06404072172771323</v>
      </c>
      <c r="E47" s="120">
        <f t="shared" si="0"/>
        <v>-0.012489692392521845</v>
      </c>
      <c r="F47" s="19">
        <f t="shared" si="1"/>
        <v>-3803.3640000000014</v>
      </c>
      <c r="G47" s="24">
        <f>SUM(G48:G58)+G59+G66+G104</f>
        <v>300716.866</v>
      </c>
      <c r="H47" s="225">
        <f>G47/G46</f>
        <v>0.04151166782307693</v>
      </c>
      <c r="I47" s="120">
        <f t="shared" si="2"/>
        <v>0.48516940183860546</v>
      </c>
      <c r="J47" s="19">
        <f t="shared" si="3"/>
        <v>145898.62200000003</v>
      </c>
      <c r="K47" s="25">
        <f>SUM(K48:K58)+K59+K66+K104</f>
        <v>446615.488</v>
      </c>
      <c r="L47" s="20">
        <f>K47/K46</f>
        <v>0.038122939175598176</v>
      </c>
      <c r="M47" s="120">
        <f t="shared" si="4"/>
        <v>-0.10060888887041919</v>
      </c>
      <c r="N47" s="19">
        <f t="shared" si="5"/>
        <v>-44933.48800000001</v>
      </c>
      <c r="O47" s="25">
        <f>SUM(O48:O58)+O59+O66+O104</f>
        <v>401682</v>
      </c>
      <c r="P47" s="20">
        <f>O47/O46</f>
        <v>0.03775616265147554</v>
      </c>
      <c r="Q47" s="121">
        <f t="shared" si="7"/>
        <v>0.1240236068585548</v>
      </c>
      <c r="R47" s="121"/>
      <c r="S47" s="121"/>
      <c r="T47" s="25">
        <f aca="true" t="shared" si="37" ref="T47:AB47">SUM(T48:T58)+T59+T66+T104</f>
        <v>450109.165</v>
      </c>
      <c r="U47" s="25">
        <f t="shared" si="37"/>
        <v>504401.587617</v>
      </c>
      <c r="V47" s="25">
        <f t="shared" si="37"/>
        <v>565272.303325285</v>
      </c>
      <c r="W47" s="25">
        <f t="shared" si="37"/>
        <v>633521.2949829575</v>
      </c>
      <c r="X47" s="25">
        <f t="shared" si="37"/>
        <v>710046.1213490379</v>
      </c>
      <c r="Y47" s="25">
        <f t="shared" si="37"/>
        <v>795853.847434977</v>
      </c>
      <c r="Z47" s="25">
        <f t="shared" si="37"/>
        <v>892074.4364039509</v>
      </c>
      <c r="AA47" s="25">
        <f t="shared" si="37"/>
        <v>999975.7823512256</v>
      </c>
      <c r="AB47" s="25">
        <f t="shared" si="37"/>
        <v>1120980.5853315955</v>
      </c>
    </row>
    <row r="48" spans="1:28" ht="15">
      <c r="A48" s="34" t="s">
        <v>217</v>
      </c>
      <c r="B48" s="29" t="s">
        <v>218</v>
      </c>
      <c r="C48" s="122">
        <v>24016</v>
      </c>
      <c r="D48" s="123">
        <f>C48/C47</f>
        <v>0.07886503960672826</v>
      </c>
      <c r="E48" s="120">
        <f t="shared" si="0"/>
        <v>-0.5002498334443704</v>
      </c>
      <c r="F48" s="19">
        <f t="shared" si="1"/>
        <v>-12014</v>
      </c>
      <c r="G48" s="122">
        <v>12002</v>
      </c>
      <c r="H48" s="123">
        <f>G48/G47</f>
        <v>0.03991129649508918</v>
      </c>
      <c r="I48" s="120">
        <f t="shared" si="2"/>
        <v>0.9021895517413765</v>
      </c>
      <c r="J48" s="19">
        <f t="shared" si="3"/>
        <v>10828.079000000002</v>
      </c>
      <c r="K48" s="63">
        <v>22830.079</v>
      </c>
      <c r="L48" s="123">
        <f>K48/K47</f>
        <v>0.05111797421588747</v>
      </c>
      <c r="M48" s="120">
        <f t="shared" si="4"/>
        <v>-1</v>
      </c>
      <c r="N48" s="19">
        <f t="shared" si="5"/>
        <v>-22830.079</v>
      </c>
      <c r="O48" s="31">
        <v>0</v>
      </c>
      <c r="P48" s="123">
        <f>O48/O47</f>
        <v>0</v>
      </c>
      <c r="Q48" s="121">
        <f t="shared" si="7"/>
        <v>-0.19935342723433128</v>
      </c>
      <c r="R48" s="121">
        <v>0.124</v>
      </c>
      <c r="S48" s="121"/>
      <c r="T48" s="137">
        <f aca="true" t="shared" si="38" ref="T48:T58">(O48*R48)+O48</f>
        <v>0</v>
      </c>
      <c r="U48" s="137">
        <f aca="true" t="shared" si="39" ref="U48:U58">(T48*R48)+T48</f>
        <v>0</v>
      </c>
      <c r="V48" s="137">
        <f aca="true" t="shared" si="40" ref="V48:V113">(U48*R48)+U48</f>
        <v>0</v>
      </c>
      <c r="W48" s="137">
        <f aca="true" t="shared" si="41" ref="W48:W58">(V48*R48)+V48</f>
        <v>0</v>
      </c>
      <c r="X48" s="137">
        <f aca="true" t="shared" si="42" ref="X48:X58">(W48*R48)+W48</f>
        <v>0</v>
      </c>
      <c r="Y48" s="137">
        <f aca="true" t="shared" si="43" ref="Y48:Y58">(X48*R48)+X48</f>
        <v>0</v>
      </c>
      <c r="Z48" s="137">
        <f aca="true" t="shared" si="44" ref="Z48:Z58">(Y48*R48)+Y48</f>
        <v>0</v>
      </c>
      <c r="AA48" s="137">
        <f aca="true" t="shared" si="45" ref="AA48:AA58">(Z48*R48)+Z48</f>
        <v>0</v>
      </c>
      <c r="AB48" s="61">
        <f aca="true" t="shared" si="46" ref="AB48:AB58">(AA48*R48)+AA48</f>
        <v>0</v>
      </c>
    </row>
    <row r="49" spans="1:28" ht="15">
      <c r="A49" s="34" t="s">
        <v>219</v>
      </c>
      <c r="B49" s="29" t="s">
        <v>220</v>
      </c>
      <c r="C49" s="122">
        <v>25059</v>
      </c>
      <c r="D49" s="123">
        <f>C49/C47</f>
        <v>0.08229009941309975</v>
      </c>
      <c r="E49" s="120">
        <f t="shared" si="0"/>
        <v>-0.5997446027375395</v>
      </c>
      <c r="F49" s="19">
        <f t="shared" si="1"/>
        <v>-15029</v>
      </c>
      <c r="G49" s="122">
        <v>10030</v>
      </c>
      <c r="H49" s="123">
        <f>G49/G47</f>
        <v>0.033353633048303986</v>
      </c>
      <c r="I49" s="120">
        <f t="shared" si="2"/>
        <v>1.72957666999003</v>
      </c>
      <c r="J49" s="19">
        <f t="shared" si="3"/>
        <v>17347.654</v>
      </c>
      <c r="K49" s="63">
        <v>27377.654</v>
      </c>
      <c r="L49" s="123">
        <f>K49/K47</f>
        <v>0.061300278954947475</v>
      </c>
      <c r="M49" s="120">
        <f t="shared" si="4"/>
        <v>-0.07775151223695054</v>
      </c>
      <c r="N49" s="19">
        <f t="shared" si="5"/>
        <v>-2128.6539999999986</v>
      </c>
      <c r="O49" s="37">
        <v>25249</v>
      </c>
      <c r="P49" s="123">
        <f>O49/O47</f>
        <v>0.06285818134743404</v>
      </c>
      <c r="Q49" s="121">
        <f t="shared" si="7"/>
        <v>0.3506935183385133</v>
      </c>
      <c r="R49" s="121">
        <v>0.124</v>
      </c>
      <c r="S49" s="121"/>
      <c r="T49" s="137">
        <f t="shared" si="38"/>
        <v>28379.876</v>
      </c>
      <c r="U49" s="137">
        <f t="shared" si="39"/>
        <v>31898.980624</v>
      </c>
      <c r="V49" s="137">
        <f t="shared" si="40"/>
        <v>35854.454221376</v>
      </c>
      <c r="W49" s="137">
        <f t="shared" si="41"/>
        <v>40300.40654482663</v>
      </c>
      <c r="X49" s="137">
        <f t="shared" si="42"/>
        <v>45297.65695638513</v>
      </c>
      <c r="Y49" s="137">
        <f t="shared" si="43"/>
        <v>50914.56641897689</v>
      </c>
      <c r="Z49" s="137">
        <f t="shared" si="44"/>
        <v>57227.97265493002</v>
      </c>
      <c r="AA49" s="137">
        <f t="shared" si="45"/>
        <v>64324.24126414134</v>
      </c>
      <c r="AB49" s="61">
        <f t="shared" si="46"/>
        <v>72300.44718089487</v>
      </c>
    </row>
    <row r="50" spans="1:28" ht="15">
      <c r="A50" s="34" t="s">
        <v>221</v>
      </c>
      <c r="B50" s="29" t="s">
        <v>222</v>
      </c>
      <c r="C50" s="122">
        <v>10945</v>
      </c>
      <c r="D50" s="123">
        <f>C50/C47</f>
        <v>0.03594178291537479</v>
      </c>
      <c r="E50" s="120">
        <f t="shared" si="0"/>
        <v>0.03837368661489271</v>
      </c>
      <c r="F50" s="19">
        <f t="shared" si="1"/>
        <v>420</v>
      </c>
      <c r="G50" s="122">
        <v>11365</v>
      </c>
      <c r="H50" s="123">
        <f>G50/G47</f>
        <v>0.037793024884743245</v>
      </c>
      <c r="I50" s="120">
        <f t="shared" si="2"/>
        <v>0.0986801583809942</v>
      </c>
      <c r="J50" s="19">
        <f t="shared" si="3"/>
        <v>1121.5</v>
      </c>
      <c r="K50" s="63">
        <v>12486.5</v>
      </c>
      <c r="L50" s="123">
        <f>K50/K47</f>
        <v>0.02795805415507668</v>
      </c>
      <c r="M50" s="120">
        <f t="shared" si="4"/>
        <v>-0.1496416129419773</v>
      </c>
      <c r="N50" s="19">
        <f t="shared" si="5"/>
        <v>-1868.5</v>
      </c>
      <c r="O50" s="37">
        <v>10618</v>
      </c>
      <c r="P50" s="123">
        <f>O50/O47</f>
        <v>0.02643384567892014</v>
      </c>
      <c r="Q50" s="121">
        <f t="shared" si="7"/>
        <v>-0.0041959226486968</v>
      </c>
      <c r="R50" s="121">
        <v>0.124</v>
      </c>
      <c r="S50" s="121"/>
      <c r="T50" s="137">
        <f t="shared" si="38"/>
        <v>11934.632</v>
      </c>
      <c r="U50" s="137">
        <f t="shared" si="39"/>
        <v>13414.526367999999</v>
      </c>
      <c r="V50" s="137">
        <f t="shared" si="40"/>
        <v>15077.927637632</v>
      </c>
      <c r="W50" s="137">
        <f t="shared" si="41"/>
        <v>16947.590664698368</v>
      </c>
      <c r="X50" s="137">
        <f t="shared" si="42"/>
        <v>19049.091907120965</v>
      </c>
      <c r="Y50" s="137">
        <f t="shared" si="43"/>
        <v>21411.179303603963</v>
      </c>
      <c r="Z50" s="137">
        <f t="shared" si="44"/>
        <v>24066.165537250854</v>
      </c>
      <c r="AA50" s="137">
        <f t="shared" si="45"/>
        <v>27050.37006386996</v>
      </c>
      <c r="AB50" s="61">
        <f t="shared" si="46"/>
        <v>30404.615951789834</v>
      </c>
    </row>
    <row r="51" spans="1:28" ht="15">
      <c r="A51" s="34" t="s">
        <v>223</v>
      </c>
      <c r="B51" s="29" t="s">
        <v>224</v>
      </c>
      <c r="C51" s="122">
        <v>0</v>
      </c>
      <c r="D51" s="123">
        <f>C51/C47</f>
        <v>0</v>
      </c>
      <c r="E51" s="120" t="e">
        <f t="shared" si="0"/>
        <v>#DIV/0!</v>
      </c>
      <c r="F51" s="19">
        <f t="shared" si="1"/>
        <v>107214</v>
      </c>
      <c r="G51" s="122">
        <v>107214</v>
      </c>
      <c r="H51" s="123">
        <f>G51/G47</f>
        <v>0.3565280571925088</v>
      </c>
      <c r="I51" s="120">
        <f t="shared" si="2"/>
        <v>0.5639810938869922</v>
      </c>
      <c r="J51" s="19">
        <f t="shared" si="3"/>
        <v>60466.668999999994</v>
      </c>
      <c r="K51" s="63">
        <v>167680.669</v>
      </c>
      <c r="L51" s="123">
        <f>K51/K47</f>
        <v>0.3754475012742952</v>
      </c>
      <c r="M51" s="120">
        <f t="shared" si="4"/>
        <v>-0.034450417179573645</v>
      </c>
      <c r="N51" s="19">
        <f t="shared" si="5"/>
        <v>-5776.668999999994</v>
      </c>
      <c r="O51" s="37">
        <v>161904</v>
      </c>
      <c r="P51" s="123">
        <f>O51/O47</f>
        <v>0.403065111207373</v>
      </c>
      <c r="Q51" s="121" t="e">
        <f t="shared" si="7"/>
        <v>#DIV/0!</v>
      </c>
      <c r="R51" s="121">
        <v>0.124</v>
      </c>
      <c r="S51" s="121"/>
      <c r="T51" s="137">
        <f t="shared" si="38"/>
        <v>181980.096</v>
      </c>
      <c r="U51" s="137">
        <f t="shared" si="39"/>
        <v>204545.627904</v>
      </c>
      <c r="V51" s="137">
        <f t="shared" si="40"/>
        <v>229909.28576409598</v>
      </c>
      <c r="W51" s="137">
        <f t="shared" si="41"/>
        <v>258418.0371988439</v>
      </c>
      <c r="X51" s="137">
        <f t="shared" si="42"/>
        <v>290461.87381150055</v>
      </c>
      <c r="Y51" s="137">
        <f t="shared" si="43"/>
        <v>326479.14616412664</v>
      </c>
      <c r="Z51" s="137">
        <f t="shared" si="44"/>
        <v>366962.56028847833</v>
      </c>
      <c r="AA51" s="137">
        <f t="shared" si="45"/>
        <v>412465.91776424967</v>
      </c>
      <c r="AB51" s="61">
        <f t="shared" si="46"/>
        <v>463611.69156701665</v>
      </c>
    </row>
    <row r="52" spans="1:28" ht="15">
      <c r="A52" s="34" t="s">
        <v>225</v>
      </c>
      <c r="B52" s="29" t="s">
        <v>226</v>
      </c>
      <c r="C52" s="122">
        <v>0</v>
      </c>
      <c r="D52" s="123">
        <f>C52/C47</f>
        <v>0</v>
      </c>
      <c r="E52" s="120" t="e">
        <f t="shared" si="0"/>
        <v>#DIV/0!</v>
      </c>
      <c r="F52" s="19">
        <f t="shared" si="1"/>
        <v>0</v>
      </c>
      <c r="G52" s="122">
        <v>0</v>
      </c>
      <c r="H52" s="123">
        <f>G52/G47</f>
        <v>0</v>
      </c>
      <c r="I52" s="120" t="e">
        <f t="shared" si="2"/>
        <v>#DIV/0!</v>
      </c>
      <c r="J52" s="19">
        <f t="shared" si="3"/>
        <v>0</v>
      </c>
      <c r="K52" s="63">
        <v>0</v>
      </c>
      <c r="L52" s="123">
        <f>K52/K47</f>
        <v>0</v>
      </c>
      <c r="M52" s="120" t="e">
        <f t="shared" si="4"/>
        <v>#DIV/0!</v>
      </c>
      <c r="N52" s="19">
        <f t="shared" si="5"/>
        <v>0</v>
      </c>
      <c r="O52" s="31">
        <v>0</v>
      </c>
      <c r="P52" s="123">
        <f>O52/O47</f>
        <v>0</v>
      </c>
      <c r="Q52" s="121" t="e">
        <f t="shared" si="7"/>
        <v>#DIV/0!</v>
      </c>
      <c r="R52" s="121">
        <v>0.124</v>
      </c>
      <c r="S52" s="121"/>
      <c r="T52" s="137">
        <f t="shared" si="38"/>
        <v>0</v>
      </c>
      <c r="U52" s="137">
        <f t="shared" si="39"/>
        <v>0</v>
      </c>
      <c r="V52" s="137">
        <f t="shared" si="40"/>
        <v>0</v>
      </c>
      <c r="W52" s="137">
        <f t="shared" si="41"/>
        <v>0</v>
      </c>
      <c r="X52" s="137">
        <f t="shared" si="42"/>
        <v>0</v>
      </c>
      <c r="Y52" s="137">
        <f t="shared" si="43"/>
        <v>0</v>
      </c>
      <c r="Z52" s="137">
        <f t="shared" si="44"/>
        <v>0</v>
      </c>
      <c r="AA52" s="137">
        <f t="shared" si="45"/>
        <v>0</v>
      </c>
      <c r="AB52" s="61">
        <f t="shared" si="46"/>
        <v>0</v>
      </c>
    </row>
    <row r="53" spans="1:28" ht="15">
      <c r="A53" s="34" t="s">
        <v>227</v>
      </c>
      <c r="B53" s="29" t="s">
        <v>228</v>
      </c>
      <c r="C53" s="122">
        <v>0</v>
      </c>
      <c r="D53" s="123">
        <f>C53/C47</f>
        <v>0</v>
      </c>
      <c r="E53" s="120" t="e">
        <f t="shared" si="0"/>
        <v>#DIV/0!</v>
      </c>
      <c r="F53" s="19">
        <f t="shared" si="1"/>
        <v>2060</v>
      </c>
      <c r="G53" s="122">
        <v>2060</v>
      </c>
      <c r="H53" s="123">
        <f>G53/G47</f>
        <v>0.0068502975154044075</v>
      </c>
      <c r="I53" s="120">
        <f t="shared" si="2"/>
        <v>1.3796388349514563</v>
      </c>
      <c r="J53" s="19">
        <f t="shared" si="3"/>
        <v>2842.0560000000005</v>
      </c>
      <c r="K53" s="63">
        <v>4902.0560000000005</v>
      </c>
      <c r="L53" s="123">
        <f>K53/K47</f>
        <v>0.010976009860186488</v>
      </c>
      <c r="M53" s="120">
        <f t="shared" si="4"/>
        <v>-0.07752991805887177</v>
      </c>
      <c r="N53" s="19">
        <f t="shared" si="5"/>
        <v>-380.0560000000005</v>
      </c>
      <c r="O53" s="37">
        <v>4522</v>
      </c>
      <c r="P53" s="123">
        <f>O53/O47</f>
        <v>0.011257661533252673</v>
      </c>
      <c r="Q53" s="121" t="e">
        <f t="shared" si="7"/>
        <v>#DIV/0!</v>
      </c>
      <c r="R53" s="121">
        <v>0.124</v>
      </c>
      <c r="S53" s="121"/>
      <c r="T53" s="137">
        <f t="shared" si="38"/>
        <v>5082.728</v>
      </c>
      <c r="U53" s="137">
        <f t="shared" si="39"/>
        <v>5712.986272</v>
      </c>
      <c r="V53" s="137">
        <f t="shared" si="40"/>
        <v>6421.396569728</v>
      </c>
      <c r="W53" s="137">
        <f t="shared" si="41"/>
        <v>7217.649744374272</v>
      </c>
      <c r="X53" s="137">
        <f t="shared" si="42"/>
        <v>8112.638312676681</v>
      </c>
      <c r="Y53" s="137">
        <f t="shared" si="43"/>
        <v>9118.60546344859</v>
      </c>
      <c r="Z53" s="137">
        <f t="shared" si="44"/>
        <v>10249.312540916215</v>
      </c>
      <c r="AA53" s="137">
        <f t="shared" si="45"/>
        <v>11520.227295989826</v>
      </c>
      <c r="AB53" s="61">
        <f t="shared" si="46"/>
        <v>12948.735480692563</v>
      </c>
    </row>
    <row r="54" spans="1:28" ht="15">
      <c r="A54" s="34" t="s">
        <v>229</v>
      </c>
      <c r="B54" s="29" t="s">
        <v>230</v>
      </c>
      <c r="C54" s="122">
        <v>0</v>
      </c>
      <c r="D54" s="123">
        <f>C54/C47</f>
        <v>0</v>
      </c>
      <c r="E54" s="120" t="e">
        <f t="shared" si="0"/>
        <v>#DIV/0!</v>
      </c>
      <c r="F54" s="19">
        <f t="shared" si="1"/>
        <v>7214</v>
      </c>
      <c r="G54" s="122">
        <v>7214</v>
      </c>
      <c r="H54" s="123">
        <f>G54/G47</f>
        <v>0.023989342852489028</v>
      </c>
      <c r="I54" s="120">
        <f t="shared" si="2"/>
        <v>-1</v>
      </c>
      <c r="J54" s="19">
        <f t="shared" si="3"/>
        <v>-7214</v>
      </c>
      <c r="K54" s="63">
        <v>0</v>
      </c>
      <c r="L54" s="123">
        <f>K54/K47</f>
        <v>0</v>
      </c>
      <c r="M54" s="120" t="e">
        <f t="shared" si="4"/>
        <v>#DIV/0!</v>
      </c>
      <c r="N54" s="19">
        <f t="shared" si="5"/>
        <v>0</v>
      </c>
      <c r="O54" s="31">
        <v>0</v>
      </c>
      <c r="P54" s="123">
        <f>O54/O47</f>
        <v>0</v>
      </c>
      <c r="Q54" s="121" t="e">
        <f t="shared" si="7"/>
        <v>#DIV/0!</v>
      </c>
      <c r="R54" s="121">
        <v>0.124</v>
      </c>
      <c r="S54" s="121"/>
      <c r="T54" s="137">
        <f t="shared" si="38"/>
        <v>0</v>
      </c>
      <c r="U54" s="137">
        <f t="shared" si="39"/>
        <v>0</v>
      </c>
      <c r="V54" s="137">
        <f t="shared" si="40"/>
        <v>0</v>
      </c>
      <c r="W54" s="137">
        <f t="shared" si="41"/>
        <v>0</v>
      </c>
      <c r="X54" s="137">
        <f t="shared" si="42"/>
        <v>0</v>
      </c>
      <c r="Y54" s="137">
        <f t="shared" si="43"/>
        <v>0</v>
      </c>
      <c r="Z54" s="137">
        <f t="shared" si="44"/>
        <v>0</v>
      </c>
      <c r="AA54" s="137">
        <f t="shared" si="45"/>
        <v>0</v>
      </c>
      <c r="AB54" s="61">
        <f t="shared" si="46"/>
        <v>0</v>
      </c>
    </row>
    <row r="55" spans="1:28" ht="15">
      <c r="A55" s="34" t="s">
        <v>231</v>
      </c>
      <c r="B55" s="29" t="s">
        <v>232</v>
      </c>
      <c r="C55" s="122">
        <v>0</v>
      </c>
      <c r="D55" s="123">
        <f>C55/C47</f>
        <v>0</v>
      </c>
      <c r="E55" s="120" t="e">
        <f t="shared" si="0"/>
        <v>#DIV/0!</v>
      </c>
      <c r="F55" s="19">
        <f t="shared" si="1"/>
        <v>14611</v>
      </c>
      <c r="G55" s="122">
        <v>14611</v>
      </c>
      <c r="H55" s="123">
        <f>G55/G47</f>
        <v>0.04858723155222029</v>
      </c>
      <c r="I55" s="120">
        <f t="shared" si="2"/>
        <v>-0.6030023954554786</v>
      </c>
      <c r="J55" s="19">
        <f t="shared" si="3"/>
        <v>-8810.467999999999</v>
      </c>
      <c r="K55" s="63">
        <v>5800.532000000001</v>
      </c>
      <c r="L55" s="123">
        <f>K55/K47</f>
        <v>0.012987753796841011</v>
      </c>
      <c r="M55" s="120">
        <f t="shared" si="4"/>
        <v>-0.09887575829251538</v>
      </c>
      <c r="N55" s="19">
        <f t="shared" si="5"/>
        <v>-573.5320000000011</v>
      </c>
      <c r="O55" s="37">
        <v>5227</v>
      </c>
      <c r="P55" s="123">
        <f>O55/O47</f>
        <v>0.013012781254823467</v>
      </c>
      <c r="Q55" s="121" t="e">
        <f t="shared" si="7"/>
        <v>#DIV/0!</v>
      </c>
      <c r="R55" s="121">
        <v>0.124</v>
      </c>
      <c r="S55" s="121"/>
      <c r="T55" s="137">
        <f t="shared" si="38"/>
        <v>5875.148</v>
      </c>
      <c r="U55" s="137">
        <f t="shared" si="39"/>
        <v>6603.666352</v>
      </c>
      <c r="V55" s="137">
        <f t="shared" si="40"/>
        <v>7422.520979648</v>
      </c>
      <c r="W55" s="137">
        <f t="shared" si="41"/>
        <v>8342.913581124352</v>
      </c>
      <c r="X55" s="137">
        <f t="shared" si="42"/>
        <v>9377.434865183772</v>
      </c>
      <c r="Y55" s="137">
        <f t="shared" si="43"/>
        <v>10540.23678846656</v>
      </c>
      <c r="Z55" s="137">
        <f t="shared" si="44"/>
        <v>11847.226150236413</v>
      </c>
      <c r="AA55" s="137">
        <f t="shared" si="45"/>
        <v>13316.282192865729</v>
      </c>
      <c r="AB55" s="61">
        <f t="shared" si="46"/>
        <v>14967.501184781078</v>
      </c>
    </row>
    <row r="56" spans="1:28" ht="15">
      <c r="A56" s="34" t="s">
        <v>233</v>
      </c>
      <c r="B56" s="29" t="s">
        <v>234</v>
      </c>
      <c r="C56" s="122">
        <v>0</v>
      </c>
      <c r="D56" s="123">
        <f>C56/C47</f>
        <v>0</v>
      </c>
      <c r="E56" s="120" t="e">
        <f t="shared" si="0"/>
        <v>#DIV/0!</v>
      </c>
      <c r="F56" s="19">
        <f t="shared" si="1"/>
        <v>5615</v>
      </c>
      <c r="G56" s="122">
        <v>5615</v>
      </c>
      <c r="H56" s="123">
        <f>G56/G47</f>
        <v>0.01867204881019211</v>
      </c>
      <c r="I56" s="120">
        <f t="shared" si="2"/>
        <v>1.6880005342831699</v>
      </c>
      <c r="J56" s="19">
        <f t="shared" si="3"/>
        <v>9478.122999999998</v>
      </c>
      <c r="K56" s="63">
        <v>15093.122999999998</v>
      </c>
      <c r="L56" s="123">
        <f>K56/K47</f>
        <v>0.033794446017958064</v>
      </c>
      <c r="M56" s="120">
        <f t="shared" si="4"/>
        <v>-0.08011085578511468</v>
      </c>
      <c r="N56" s="19">
        <f t="shared" si="5"/>
        <v>-1209.1229999999978</v>
      </c>
      <c r="O56" s="37">
        <v>13884</v>
      </c>
      <c r="P56" s="123">
        <f>O56/O47</f>
        <v>0.034564655623104845</v>
      </c>
      <c r="Q56" s="121" t="e">
        <f t="shared" si="7"/>
        <v>#DIV/0!</v>
      </c>
      <c r="R56" s="121">
        <v>0.124</v>
      </c>
      <c r="S56" s="121"/>
      <c r="T56" s="137">
        <f t="shared" si="38"/>
        <v>15605.616</v>
      </c>
      <c r="U56" s="137">
        <f t="shared" si="39"/>
        <v>17540.712384</v>
      </c>
      <c r="V56" s="137">
        <f t="shared" si="40"/>
        <v>19715.760719616</v>
      </c>
      <c r="W56" s="137">
        <f t="shared" si="41"/>
        <v>22160.51504884838</v>
      </c>
      <c r="X56" s="137">
        <f t="shared" si="42"/>
        <v>24908.418914905582</v>
      </c>
      <c r="Y56" s="137">
        <f t="shared" si="43"/>
        <v>27997.062860353875</v>
      </c>
      <c r="Z56" s="137">
        <f t="shared" si="44"/>
        <v>31468.698655037755</v>
      </c>
      <c r="AA56" s="137">
        <f t="shared" si="45"/>
        <v>35370.817288262435</v>
      </c>
      <c r="AB56" s="61">
        <f t="shared" si="46"/>
        <v>39756.798632006976</v>
      </c>
    </row>
    <row r="57" spans="1:28" ht="15">
      <c r="A57" s="34" t="s">
        <v>235</v>
      </c>
      <c r="B57" s="36" t="s">
        <v>236</v>
      </c>
      <c r="C57" s="122">
        <v>0</v>
      </c>
      <c r="D57" s="123">
        <f>C57/C47</f>
        <v>0</v>
      </c>
      <c r="E57" s="120" t="e">
        <f t="shared" si="0"/>
        <v>#DIV/0!</v>
      </c>
      <c r="F57" s="19">
        <f t="shared" si="1"/>
        <v>0</v>
      </c>
      <c r="G57" s="122">
        <v>0</v>
      </c>
      <c r="H57" s="123">
        <f>G57/G47</f>
        <v>0</v>
      </c>
      <c r="I57" s="120" t="e">
        <f t="shared" si="2"/>
        <v>#DIV/0!</v>
      </c>
      <c r="J57" s="19">
        <f t="shared" si="3"/>
        <v>2183</v>
      </c>
      <c r="K57" s="63">
        <v>2183</v>
      </c>
      <c r="L57" s="123">
        <f>K57/K47</f>
        <v>0.004887873481002074</v>
      </c>
      <c r="M57" s="120">
        <f t="shared" si="4"/>
        <v>0.06367384333486026</v>
      </c>
      <c r="N57" s="19">
        <f t="shared" si="5"/>
        <v>139</v>
      </c>
      <c r="O57" s="37">
        <v>2322</v>
      </c>
      <c r="P57" s="123">
        <f>O57/O47</f>
        <v>0.005780692189343809</v>
      </c>
      <c r="Q57" s="121" t="e">
        <f t="shared" si="7"/>
        <v>#DIV/0!</v>
      </c>
      <c r="R57" s="121">
        <v>0.124</v>
      </c>
      <c r="S57" s="121"/>
      <c r="T57" s="137">
        <f t="shared" si="38"/>
        <v>2609.928</v>
      </c>
      <c r="U57" s="137">
        <f t="shared" si="39"/>
        <v>2933.559072</v>
      </c>
      <c r="V57" s="137">
        <f t="shared" si="40"/>
        <v>3297.3203969280003</v>
      </c>
      <c r="W57" s="137">
        <f t="shared" si="41"/>
        <v>3706.188126147072</v>
      </c>
      <c r="X57" s="137">
        <f t="shared" si="42"/>
        <v>4165.755453789309</v>
      </c>
      <c r="Y57" s="137">
        <f t="shared" si="43"/>
        <v>4682.309130059184</v>
      </c>
      <c r="Z57" s="137">
        <f t="shared" si="44"/>
        <v>5262.915462186523</v>
      </c>
      <c r="AA57" s="137">
        <f t="shared" si="45"/>
        <v>5915.516979497652</v>
      </c>
      <c r="AB57" s="61">
        <f t="shared" si="46"/>
        <v>6649.041084955361</v>
      </c>
    </row>
    <row r="58" spans="1:28" ht="15">
      <c r="A58" s="34" t="s">
        <v>237</v>
      </c>
      <c r="B58" s="36" t="s">
        <v>238</v>
      </c>
      <c r="C58" s="122">
        <v>0</v>
      </c>
      <c r="D58" s="123">
        <f>C58/C47</f>
        <v>0</v>
      </c>
      <c r="E58" s="120" t="e">
        <f t="shared" si="0"/>
        <v>#DIV/0!</v>
      </c>
      <c r="F58" s="19">
        <f t="shared" si="1"/>
        <v>0</v>
      </c>
      <c r="G58" s="122">
        <v>0</v>
      </c>
      <c r="H58" s="123">
        <f>G58/G47</f>
        <v>0</v>
      </c>
      <c r="I58" s="120" t="e">
        <f t="shared" si="2"/>
        <v>#DIV/0!</v>
      </c>
      <c r="J58" s="19">
        <f t="shared" si="3"/>
        <v>0</v>
      </c>
      <c r="K58" s="63">
        <v>0</v>
      </c>
      <c r="L58" s="123">
        <f>K58/K47</f>
        <v>0</v>
      </c>
      <c r="M58" s="120" t="e">
        <f t="shared" si="4"/>
        <v>#DIV/0!</v>
      </c>
      <c r="N58" s="19">
        <f t="shared" si="5"/>
        <v>0</v>
      </c>
      <c r="O58" s="31">
        <v>0</v>
      </c>
      <c r="P58" s="123">
        <f>O58/O47</f>
        <v>0</v>
      </c>
      <c r="Q58" s="121" t="e">
        <f t="shared" si="7"/>
        <v>#DIV/0!</v>
      </c>
      <c r="R58" s="121">
        <v>0.124</v>
      </c>
      <c r="S58" s="121"/>
      <c r="T58" s="137">
        <f t="shared" si="38"/>
        <v>0</v>
      </c>
      <c r="U58" s="137">
        <f t="shared" si="39"/>
        <v>0</v>
      </c>
      <c r="V58" s="137">
        <f t="shared" si="40"/>
        <v>0</v>
      </c>
      <c r="W58" s="137">
        <f t="shared" si="41"/>
        <v>0</v>
      </c>
      <c r="X58" s="137">
        <f t="shared" si="42"/>
        <v>0</v>
      </c>
      <c r="Y58" s="137">
        <f t="shared" si="43"/>
        <v>0</v>
      </c>
      <c r="Z58" s="137">
        <f t="shared" si="44"/>
        <v>0</v>
      </c>
      <c r="AA58" s="137">
        <f t="shared" si="45"/>
        <v>0</v>
      </c>
      <c r="AB58" s="61">
        <f t="shared" si="46"/>
        <v>0</v>
      </c>
    </row>
    <row r="59" spans="1:28" ht="15.75">
      <c r="A59" s="33" t="s">
        <v>239</v>
      </c>
      <c r="B59" s="23" t="s">
        <v>240</v>
      </c>
      <c r="C59" s="24">
        <f>SUM(C60:C65)</f>
        <v>13868.83</v>
      </c>
      <c r="D59" s="20">
        <f>C59/C47</f>
        <v>0.04554321399271241</v>
      </c>
      <c r="E59" s="120">
        <f t="shared" si="0"/>
        <v>1.2985356371085377</v>
      </c>
      <c r="F59" s="19">
        <f t="shared" si="1"/>
        <v>18009.17</v>
      </c>
      <c r="G59" s="24">
        <f>SUM(G60:G65)</f>
        <v>31878</v>
      </c>
      <c r="H59" s="20">
        <f>G59/G47</f>
        <v>0.1060066913573115</v>
      </c>
      <c r="I59" s="120">
        <f t="shared" si="2"/>
        <v>0.9904055147750799</v>
      </c>
      <c r="J59" s="19">
        <f t="shared" si="3"/>
        <v>31572.146999999997</v>
      </c>
      <c r="K59" s="25">
        <f>SUM(K60:K65)</f>
        <v>63450.147</v>
      </c>
      <c r="L59" s="20">
        <f>K59/K47</f>
        <v>0.14206884603160022</v>
      </c>
      <c r="M59" s="120">
        <f t="shared" si="4"/>
        <v>-0.20553375550099195</v>
      </c>
      <c r="N59" s="19">
        <f t="shared" si="5"/>
        <v>-13041.146999999997</v>
      </c>
      <c r="O59" s="129">
        <f>SUM(O60:O65)</f>
        <v>50409</v>
      </c>
      <c r="P59" s="20">
        <f>O59/O47</f>
        <v>0.12549479438959177</v>
      </c>
      <c r="Q59" s="121">
        <f t="shared" si="7"/>
        <v>0.6944691321275419</v>
      </c>
      <c r="R59" s="121"/>
      <c r="S59" s="121"/>
      <c r="T59" s="129">
        <f aca="true" t="shared" si="47" ref="T59:AB59">SUM(T60:T65)</f>
        <v>56710.125</v>
      </c>
      <c r="U59" s="129">
        <f t="shared" si="47"/>
        <v>63798.890625</v>
      </c>
      <c r="V59" s="129">
        <f t="shared" si="47"/>
        <v>71773.751953125</v>
      </c>
      <c r="W59" s="129">
        <f t="shared" si="47"/>
        <v>80745.47094726562</v>
      </c>
      <c r="X59" s="129">
        <f t="shared" si="47"/>
        <v>90838.65481567383</v>
      </c>
      <c r="Y59" s="129">
        <f t="shared" si="47"/>
        <v>102193.48666763306</v>
      </c>
      <c r="Z59" s="25">
        <f t="shared" si="47"/>
        <v>114967.67250108719</v>
      </c>
      <c r="AA59" s="129">
        <f t="shared" si="47"/>
        <v>129338.63156372309</v>
      </c>
      <c r="AB59" s="129">
        <f t="shared" si="47"/>
        <v>145505.96050918847</v>
      </c>
    </row>
    <row r="60" spans="1:28" ht="14.25">
      <c r="A60" s="34" t="s">
        <v>241</v>
      </c>
      <c r="B60" s="43" t="s">
        <v>242</v>
      </c>
      <c r="C60" s="122">
        <v>6433.13</v>
      </c>
      <c r="D60" s="123">
        <v>0</v>
      </c>
      <c r="E60" s="120">
        <f t="shared" si="0"/>
        <v>2.788202632311177</v>
      </c>
      <c r="F60" s="19">
        <f t="shared" si="1"/>
        <v>17936.87</v>
      </c>
      <c r="G60" s="122">
        <v>24370</v>
      </c>
      <c r="H60" s="123">
        <v>0</v>
      </c>
      <c r="I60" s="120">
        <f t="shared" si="2"/>
        <v>0.8084997537956502</v>
      </c>
      <c r="J60" s="19">
        <f t="shared" si="3"/>
        <v>19703.138999999996</v>
      </c>
      <c r="K60" s="63">
        <v>44073.138999999996</v>
      </c>
      <c r="L60" s="123">
        <v>0</v>
      </c>
      <c r="M60" s="120">
        <f t="shared" si="4"/>
        <v>-0.25734810946867204</v>
      </c>
      <c r="N60" s="19">
        <f t="shared" si="5"/>
        <v>-11342.138999999996</v>
      </c>
      <c r="O60" s="37">
        <v>32731</v>
      </c>
      <c r="P60" s="123">
        <v>0</v>
      </c>
      <c r="Q60" s="121">
        <f t="shared" si="7"/>
        <v>1.1131180922127184</v>
      </c>
      <c r="R60" s="121">
        <v>0.125</v>
      </c>
      <c r="S60" s="121"/>
      <c r="T60" s="137">
        <f aca="true" t="shared" si="48" ref="T60:T65">(O60*R60)+O60</f>
        <v>36822.375</v>
      </c>
      <c r="U60" s="137">
        <f aca="true" t="shared" si="49" ref="U60:U65">(T60*R60)+T60</f>
        <v>41425.171875</v>
      </c>
      <c r="V60" s="137">
        <f t="shared" si="40"/>
        <v>46603.318359375</v>
      </c>
      <c r="W60" s="137">
        <f aca="true" t="shared" si="50" ref="W60:W65">(V60*R60)+V60</f>
        <v>52428.733154296875</v>
      </c>
      <c r="X60" s="137">
        <f aca="true" t="shared" si="51" ref="X60:X65">(W60*R60)+W60</f>
        <v>58982.324798583984</v>
      </c>
      <c r="Y60" s="137">
        <f aca="true" t="shared" si="52" ref="Y60:Y65">(X60*R60)+X60</f>
        <v>66355.11539840698</v>
      </c>
      <c r="Z60" s="137">
        <f aca="true" t="shared" si="53" ref="Z60:Z65">(Y60*R60)+Y60</f>
        <v>74649.50482320786</v>
      </c>
      <c r="AA60" s="137">
        <f aca="true" t="shared" si="54" ref="AA60:AA65">(Z60*R60)+Z60</f>
        <v>83980.69292610884</v>
      </c>
      <c r="AB60" s="61">
        <f aca="true" t="shared" si="55" ref="AB60:AB65">(AA60*R60)+AA60</f>
        <v>94478.27954187244</v>
      </c>
    </row>
    <row r="61" spans="1:28" ht="15">
      <c r="A61" s="34" t="s">
        <v>243</v>
      </c>
      <c r="B61" s="36" t="s">
        <v>244</v>
      </c>
      <c r="C61" s="122">
        <v>108.5</v>
      </c>
      <c r="D61" s="123">
        <v>0</v>
      </c>
      <c r="E61" s="120">
        <f t="shared" si="0"/>
        <v>14.253456221198157</v>
      </c>
      <c r="F61" s="19">
        <f t="shared" si="1"/>
        <v>1546.5</v>
      </c>
      <c r="G61" s="122">
        <v>1655</v>
      </c>
      <c r="H61" s="123">
        <v>0</v>
      </c>
      <c r="I61" s="120">
        <f t="shared" si="2"/>
        <v>-0.8906948640483383</v>
      </c>
      <c r="J61" s="19">
        <f t="shared" si="3"/>
        <v>-1474.1</v>
      </c>
      <c r="K61" s="63">
        <v>180.9</v>
      </c>
      <c r="L61" s="123">
        <v>0</v>
      </c>
      <c r="M61" s="120">
        <f t="shared" si="4"/>
        <v>0.13322277501381974</v>
      </c>
      <c r="N61" s="19">
        <f t="shared" si="5"/>
        <v>24.099999999999994</v>
      </c>
      <c r="O61" s="37">
        <v>205</v>
      </c>
      <c r="P61" s="123">
        <v>0</v>
      </c>
      <c r="Q61" s="121">
        <f t="shared" si="7"/>
        <v>4.498661377387879</v>
      </c>
      <c r="R61" s="121">
        <v>0.125</v>
      </c>
      <c r="S61" s="121"/>
      <c r="T61" s="137">
        <f t="shared" si="48"/>
        <v>230.625</v>
      </c>
      <c r="U61" s="137">
        <f t="shared" si="49"/>
        <v>259.453125</v>
      </c>
      <c r="V61" s="137">
        <f t="shared" si="40"/>
        <v>291.884765625</v>
      </c>
      <c r="W61" s="137">
        <f t="shared" si="50"/>
        <v>328.370361328125</v>
      </c>
      <c r="X61" s="137">
        <f t="shared" si="51"/>
        <v>369.4166564941406</v>
      </c>
      <c r="Y61" s="137">
        <f t="shared" si="52"/>
        <v>415.5937385559082</v>
      </c>
      <c r="Z61" s="137">
        <f t="shared" si="53"/>
        <v>467.54295587539673</v>
      </c>
      <c r="AA61" s="137">
        <f t="shared" si="54"/>
        <v>525.9858253598213</v>
      </c>
      <c r="AB61" s="61">
        <f t="shared" si="55"/>
        <v>591.734053529799</v>
      </c>
    </row>
    <row r="62" spans="1:28" ht="15">
      <c r="A62" s="34" t="s">
        <v>245</v>
      </c>
      <c r="B62" s="36" t="s">
        <v>246</v>
      </c>
      <c r="C62" s="122">
        <v>1050.6</v>
      </c>
      <c r="D62" s="123">
        <v>0</v>
      </c>
      <c r="E62" s="120">
        <f t="shared" si="0"/>
        <v>-0.13192461450599646</v>
      </c>
      <c r="F62" s="19">
        <f t="shared" si="1"/>
        <v>-138.5999999999999</v>
      </c>
      <c r="G62" s="122">
        <v>912</v>
      </c>
      <c r="H62" s="123">
        <v>0</v>
      </c>
      <c r="I62" s="120">
        <f t="shared" si="2"/>
        <v>-0.2894736842105263</v>
      </c>
      <c r="J62" s="19">
        <f t="shared" si="3"/>
        <v>-264</v>
      </c>
      <c r="K62" s="63">
        <v>648</v>
      </c>
      <c r="L62" s="123">
        <v>0</v>
      </c>
      <c r="M62" s="120">
        <f t="shared" si="4"/>
        <v>-0.0864197530864198</v>
      </c>
      <c r="N62" s="19">
        <f t="shared" si="5"/>
        <v>-56</v>
      </c>
      <c r="O62" s="37">
        <v>592</v>
      </c>
      <c r="P62" s="123">
        <v>0</v>
      </c>
      <c r="Q62" s="121">
        <f t="shared" si="7"/>
        <v>-0.1692726839343142</v>
      </c>
      <c r="R62" s="121">
        <v>0.125</v>
      </c>
      <c r="S62" s="121"/>
      <c r="T62" s="137">
        <f t="shared" si="48"/>
        <v>666</v>
      </c>
      <c r="U62" s="137">
        <f t="shared" si="49"/>
        <v>749.25</v>
      </c>
      <c r="V62" s="137">
        <f t="shared" si="40"/>
        <v>842.90625</v>
      </c>
      <c r="W62" s="137">
        <f t="shared" si="50"/>
        <v>948.26953125</v>
      </c>
      <c r="X62" s="137">
        <f t="shared" si="51"/>
        <v>1066.80322265625</v>
      </c>
      <c r="Y62" s="137">
        <f t="shared" si="52"/>
        <v>1200.1536254882812</v>
      </c>
      <c r="Z62" s="137">
        <f t="shared" si="53"/>
        <v>1350.1728286743164</v>
      </c>
      <c r="AA62" s="137">
        <f t="shared" si="54"/>
        <v>1518.944432258606</v>
      </c>
      <c r="AB62" s="61">
        <f t="shared" si="55"/>
        <v>1708.8124862909317</v>
      </c>
    </row>
    <row r="63" spans="1:28" ht="15">
      <c r="A63" s="34" t="s">
        <v>247</v>
      </c>
      <c r="B63" s="36" t="s">
        <v>248</v>
      </c>
      <c r="C63" s="122">
        <v>4700</v>
      </c>
      <c r="D63" s="123">
        <v>0</v>
      </c>
      <c r="E63" s="120">
        <f t="shared" si="0"/>
        <v>-0.9931914893617021</v>
      </c>
      <c r="F63" s="19">
        <f t="shared" si="1"/>
        <v>-4668</v>
      </c>
      <c r="G63" s="122">
        <v>32</v>
      </c>
      <c r="H63" s="123">
        <v>0</v>
      </c>
      <c r="I63" s="120">
        <f t="shared" si="2"/>
        <v>-1</v>
      </c>
      <c r="J63" s="19">
        <f t="shared" si="3"/>
        <v>-32</v>
      </c>
      <c r="K63" s="63">
        <v>0</v>
      </c>
      <c r="L63" s="123">
        <v>0</v>
      </c>
      <c r="M63" s="120" t="e">
        <f t="shared" si="4"/>
        <v>#DIV/0!</v>
      </c>
      <c r="N63" s="19">
        <f t="shared" si="5"/>
        <v>0</v>
      </c>
      <c r="O63" s="37">
        <v>0</v>
      </c>
      <c r="P63" s="123">
        <v>0</v>
      </c>
      <c r="Q63" s="121" t="e">
        <f t="shared" si="7"/>
        <v>#DIV/0!</v>
      </c>
      <c r="R63" s="121">
        <v>0.125</v>
      </c>
      <c r="S63" s="121"/>
      <c r="T63" s="137">
        <f t="shared" si="48"/>
        <v>0</v>
      </c>
      <c r="U63" s="137">
        <f t="shared" si="49"/>
        <v>0</v>
      </c>
      <c r="V63" s="137">
        <f t="shared" si="40"/>
        <v>0</v>
      </c>
      <c r="W63" s="137">
        <f t="shared" si="50"/>
        <v>0</v>
      </c>
      <c r="X63" s="137">
        <f t="shared" si="51"/>
        <v>0</v>
      </c>
      <c r="Y63" s="137">
        <f t="shared" si="52"/>
        <v>0</v>
      </c>
      <c r="Z63" s="137">
        <f t="shared" si="53"/>
        <v>0</v>
      </c>
      <c r="AA63" s="137">
        <f t="shared" si="54"/>
        <v>0</v>
      </c>
      <c r="AB63" s="61">
        <f t="shared" si="55"/>
        <v>0</v>
      </c>
    </row>
    <row r="64" spans="1:28" ht="15">
      <c r="A64" s="34" t="s">
        <v>249</v>
      </c>
      <c r="B64" s="36" t="s">
        <v>250</v>
      </c>
      <c r="C64" s="122">
        <v>30.9</v>
      </c>
      <c r="D64" s="123">
        <v>0</v>
      </c>
      <c r="E64" s="120">
        <f t="shared" si="0"/>
        <v>-1</v>
      </c>
      <c r="F64" s="19">
        <f t="shared" si="1"/>
        <v>-30.9</v>
      </c>
      <c r="G64" s="122">
        <v>0</v>
      </c>
      <c r="H64" s="123">
        <v>0</v>
      </c>
      <c r="I64" s="120" t="e">
        <f t="shared" si="2"/>
        <v>#DIV/0!</v>
      </c>
      <c r="J64" s="19">
        <f t="shared" si="3"/>
        <v>0</v>
      </c>
      <c r="K64" s="63">
        <v>0</v>
      </c>
      <c r="L64" s="123">
        <v>0</v>
      </c>
      <c r="M64" s="120" t="e">
        <f t="shared" si="4"/>
        <v>#DIV/0!</v>
      </c>
      <c r="N64" s="19">
        <f t="shared" si="5"/>
        <v>0</v>
      </c>
      <c r="O64" s="37">
        <v>0</v>
      </c>
      <c r="P64" s="123">
        <v>0</v>
      </c>
      <c r="Q64" s="121" t="e">
        <f t="shared" si="7"/>
        <v>#DIV/0!</v>
      </c>
      <c r="R64" s="121">
        <v>0.125</v>
      </c>
      <c r="S64" s="121"/>
      <c r="T64" s="137">
        <f t="shared" si="48"/>
        <v>0</v>
      </c>
      <c r="U64" s="137">
        <f t="shared" si="49"/>
        <v>0</v>
      </c>
      <c r="V64" s="137">
        <f t="shared" si="40"/>
        <v>0</v>
      </c>
      <c r="W64" s="137">
        <f t="shared" si="50"/>
        <v>0</v>
      </c>
      <c r="X64" s="137">
        <f t="shared" si="51"/>
        <v>0</v>
      </c>
      <c r="Y64" s="137">
        <f t="shared" si="52"/>
        <v>0</v>
      </c>
      <c r="Z64" s="137">
        <f t="shared" si="53"/>
        <v>0</v>
      </c>
      <c r="AA64" s="137">
        <f t="shared" si="54"/>
        <v>0</v>
      </c>
      <c r="AB64" s="61">
        <f t="shared" si="55"/>
        <v>0</v>
      </c>
    </row>
    <row r="65" spans="1:28" ht="15">
      <c r="A65" s="34" t="s">
        <v>251</v>
      </c>
      <c r="B65" s="36" t="s">
        <v>252</v>
      </c>
      <c r="C65" s="122">
        <v>1545.7</v>
      </c>
      <c r="D65" s="123">
        <v>0</v>
      </c>
      <c r="E65" s="120">
        <f t="shared" si="0"/>
        <v>2.175907355890535</v>
      </c>
      <c r="F65" s="19">
        <f t="shared" si="1"/>
        <v>3363.3</v>
      </c>
      <c r="G65" s="122">
        <v>4909</v>
      </c>
      <c r="H65" s="123">
        <v>0</v>
      </c>
      <c r="I65" s="120">
        <f t="shared" si="2"/>
        <v>2.7783882664493786</v>
      </c>
      <c r="J65" s="19">
        <f t="shared" si="3"/>
        <v>13639.108</v>
      </c>
      <c r="K65" s="63">
        <v>18548.108</v>
      </c>
      <c r="L65" s="123">
        <v>0</v>
      </c>
      <c r="M65" s="120">
        <f t="shared" si="4"/>
        <v>-0.08988021851069661</v>
      </c>
      <c r="N65" s="19">
        <f t="shared" si="5"/>
        <v>-1667.1080000000002</v>
      </c>
      <c r="O65" s="37">
        <v>16881</v>
      </c>
      <c r="P65" s="123">
        <v>0</v>
      </c>
      <c r="Q65" s="121">
        <f t="shared" si="7"/>
        <v>1.6214718012764056</v>
      </c>
      <c r="R65" s="121">
        <v>0.125</v>
      </c>
      <c r="S65" s="121"/>
      <c r="T65" s="137">
        <f t="shared" si="48"/>
        <v>18991.125</v>
      </c>
      <c r="U65" s="137">
        <f t="shared" si="49"/>
        <v>21365.015625</v>
      </c>
      <c r="V65" s="137">
        <f t="shared" si="40"/>
        <v>24035.642578125</v>
      </c>
      <c r="W65" s="137">
        <f t="shared" si="50"/>
        <v>27040.097900390625</v>
      </c>
      <c r="X65" s="137">
        <f t="shared" si="51"/>
        <v>30420.110137939453</v>
      </c>
      <c r="Y65" s="137">
        <f t="shared" si="52"/>
        <v>34222.623905181885</v>
      </c>
      <c r="Z65" s="137">
        <f t="shared" si="53"/>
        <v>38500.45189332962</v>
      </c>
      <c r="AA65" s="137">
        <f t="shared" si="54"/>
        <v>43313.00837999582</v>
      </c>
      <c r="AB65" s="61">
        <f t="shared" si="55"/>
        <v>48727.1344274953</v>
      </c>
    </row>
    <row r="66" spans="1:28" ht="15.75">
      <c r="A66" s="33" t="s">
        <v>253</v>
      </c>
      <c r="B66" s="23" t="s">
        <v>254</v>
      </c>
      <c r="C66" s="24">
        <f>SUM(C67:C103)</f>
        <v>54292.4</v>
      </c>
      <c r="D66" s="20">
        <f>C66/C47</f>
        <v>0.1782883193014796</v>
      </c>
      <c r="E66" s="120">
        <f t="shared" si="0"/>
        <v>0.767632799434175</v>
      </c>
      <c r="F66" s="19">
        <f t="shared" si="1"/>
        <v>41676.627</v>
      </c>
      <c r="G66" s="24">
        <f>SUM(G67:G103)</f>
        <v>95969.027</v>
      </c>
      <c r="H66" s="20">
        <f>G66/G47</f>
        <v>0.3191341685504265</v>
      </c>
      <c r="I66" s="120">
        <f t="shared" si="2"/>
        <v>0.1661923278642805</v>
      </c>
      <c r="J66" s="19">
        <f t="shared" si="3"/>
        <v>15949.315999999992</v>
      </c>
      <c r="K66" s="25">
        <f>SUM(K67:K103)</f>
        <v>111918.343</v>
      </c>
      <c r="L66" s="20">
        <f>K66/K47</f>
        <v>0.25059216710370774</v>
      </c>
      <c r="M66" s="120">
        <f t="shared" si="4"/>
        <v>-0.20347283912164416</v>
      </c>
      <c r="N66" s="19">
        <f t="shared" si="5"/>
        <v>-22772.342999999993</v>
      </c>
      <c r="O66" s="25">
        <f>SUM(O67:O103)</f>
        <v>89146</v>
      </c>
      <c r="P66" s="20">
        <f>O66/O47</f>
        <v>0.22193177687822704</v>
      </c>
      <c r="Q66" s="121">
        <f t="shared" si="7"/>
        <v>0.24345076272560376</v>
      </c>
      <c r="R66" s="121"/>
      <c r="S66" s="121"/>
      <c r="T66" s="25">
        <f aca="true" t="shared" si="56" ref="T66:AB66">SUM(T67:T103)</f>
        <v>99843.52000000002</v>
      </c>
      <c r="U66" s="25">
        <f t="shared" si="56"/>
        <v>111824.74239999999</v>
      </c>
      <c r="V66" s="25">
        <f t="shared" si="56"/>
        <v>125243.71148800002</v>
      </c>
      <c r="W66" s="25">
        <f t="shared" si="56"/>
        <v>140272.95686655998</v>
      </c>
      <c r="X66" s="25">
        <f t="shared" si="56"/>
        <v>157105.71169054718</v>
      </c>
      <c r="Y66" s="25">
        <f t="shared" si="56"/>
        <v>175958.39709341284</v>
      </c>
      <c r="Z66" s="25">
        <f t="shared" si="56"/>
        <v>197073.4047446224</v>
      </c>
      <c r="AA66" s="25">
        <f t="shared" si="56"/>
        <v>220722.21331397706</v>
      </c>
      <c r="AB66" s="25">
        <f t="shared" si="56"/>
        <v>247208.87891165432</v>
      </c>
    </row>
    <row r="67" spans="1:28" ht="15">
      <c r="A67" s="34" t="s">
        <v>255</v>
      </c>
      <c r="B67" s="29" t="s">
        <v>256</v>
      </c>
      <c r="C67" s="122">
        <v>368</v>
      </c>
      <c r="D67" s="123">
        <f>C67/C66</f>
        <v>0.006778112590344137</v>
      </c>
      <c r="E67" s="120">
        <f t="shared" si="0"/>
        <v>9.638586956521738</v>
      </c>
      <c r="F67" s="19">
        <f t="shared" si="1"/>
        <v>3547</v>
      </c>
      <c r="G67" s="122">
        <v>3915</v>
      </c>
      <c r="H67" s="123">
        <f>G67/G66</f>
        <v>0.0407944117220236</v>
      </c>
      <c r="I67" s="120">
        <f t="shared" si="2"/>
        <v>-0.050063856960408715</v>
      </c>
      <c r="J67" s="19">
        <f t="shared" si="3"/>
        <v>-196</v>
      </c>
      <c r="K67" s="63">
        <v>3719</v>
      </c>
      <c r="L67" s="123">
        <f>K67/K66</f>
        <v>0.03322958417995878</v>
      </c>
      <c r="M67" s="120">
        <f t="shared" si="4"/>
        <v>-0.1785426189835977</v>
      </c>
      <c r="N67" s="19">
        <f t="shared" si="5"/>
        <v>-664</v>
      </c>
      <c r="O67" s="61">
        <v>3055</v>
      </c>
      <c r="P67" s="123">
        <f>O67/O66</f>
        <v>0.03426962510937114</v>
      </c>
      <c r="Q67" s="121">
        <f t="shared" si="7"/>
        <v>3.136660160192578</v>
      </c>
      <c r="R67" s="121">
        <v>0.12</v>
      </c>
      <c r="S67" s="121"/>
      <c r="T67" s="137">
        <f aca="true" t="shared" si="57" ref="T67:T104">(O67*R67)+O67</f>
        <v>3421.6</v>
      </c>
      <c r="U67" s="137">
        <f aca="true" t="shared" si="58" ref="U67:U103">(T67*R67)+T67</f>
        <v>3832.192</v>
      </c>
      <c r="V67" s="137">
        <f t="shared" si="40"/>
        <v>4292.05504</v>
      </c>
      <c r="W67" s="137">
        <f aca="true" t="shared" si="59" ref="W67:W104">(V67*R67)+V67</f>
        <v>4807.1016448</v>
      </c>
      <c r="X67" s="137">
        <f aca="true" t="shared" si="60" ref="X67:X104">(W67*R67)+W67</f>
        <v>5383.953842176</v>
      </c>
      <c r="Y67" s="137">
        <f aca="true" t="shared" si="61" ref="Y67:Y104">(X67*R67)+X67</f>
        <v>6030.02830323712</v>
      </c>
      <c r="Z67" s="137">
        <f aca="true" t="shared" si="62" ref="Z67:Z104">(Y67*R67)+Y67</f>
        <v>6753.631699625575</v>
      </c>
      <c r="AA67" s="137">
        <f aca="true" t="shared" si="63" ref="AA67:AA104">(Z67*R67)+Z67</f>
        <v>7564.0675035806435</v>
      </c>
      <c r="AB67" s="61">
        <f aca="true" t="shared" si="64" ref="AB67:AB104">(AA67*R67)+AA67</f>
        <v>8471.75560401032</v>
      </c>
    </row>
    <row r="68" spans="1:28" ht="15">
      <c r="A68" s="34" t="s">
        <v>257</v>
      </c>
      <c r="B68" s="29" t="s">
        <v>258</v>
      </c>
      <c r="C68" s="122">
        <v>0</v>
      </c>
      <c r="D68" s="123">
        <f>C68/C66</f>
        <v>0</v>
      </c>
      <c r="E68" s="120" t="e">
        <f aca="true" t="shared" si="65" ref="E68:E131">G68/C68-1</f>
        <v>#DIV/0!</v>
      </c>
      <c r="F68" s="19">
        <f aca="true" t="shared" si="66" ref="F68:F131">G68-C68</f>
        <v>2726</v>
      </c>
      <c r="G68" s="122">
        <v>2726</v>
      </c>
      <c r="H68" s="123">
        <f>G68/G66</f>
        <v>0.02840499779163125</v>
      </c>
      <c r="I68" s="120">
        <f aca="true" t="shared" si="67" ref="I68:I131">K68/G68-1</f>
        <v>10.357416360968452</v>
      </c>
      <c r="J68" s="19">
        <f aca="true" t="shared" si="68" ref="J68:J131">K68-G68</f>
        <v>28234.317</v>
      </c>
      <c r="K68" s="63">
        <v>30960.317</v>
      </c>
      <c r="L68" s="123">
        <f>K68/K66</f>
        <v>0.27663308953743176</v>
      </c>
      <c r="M68" s="120">
        <f aca="true" t="shared" si="69" ref="M68:M131">O68/K68-1</f>
        <v>-0.4801409817606196</v>
      </c>
      <c r="N68" s="19">
        <f aca="true" t="shared" si="70" ref="N68:N131">O68-K68</f>
        <v>-14865.317</v>
      </c>
      <c r="O68" s="61">
        <v>16095</v>
      </c>
      <c r="P68" s="123">
        <f>O68/O66</f>
        <v>0.18054651919323358</v>
      </c>
      <c r="Q68" s="121" t="e">
        <f t="shared" si="7"/>
        <v>#DIV/0!</v>
      </c>
      <c r="R68" s="121">
        <v>0.12</v>
      </c>
      <c r="S68" s="121"/>
      <c r="T68" s="137">
        <f t="shared" si="57"/>
        <v>18026.4</v>
      </c>
      <c r="U68" s="137">
        <f t="shared" si="58"/>
        <v>20189.568000000003</v>
      </c>
      <c r="V68" s="137">
        <f t="shared" si="40"/>
        <v>22612.316160000002</v>
      </c>
      <c r="W68" s="137">
        <f t="shared" si="59"/>
        <v>25325.7940992</v>
      </c>
      <c r="X68" s="137">
        <f t="shared" si="60"/>
        <v>28364.889391104</v>
      </c>
      <c r="Y68" s="137">
        <f t="shared" si="61"/>
        <v>31768.676118036477</v>
      </c>
      <c r="Z68" s="137">
        <f t="shared" si="62"/>
        <v>35580.91725220085</v>
      </c>
      <c r="AA68" s="137">
        <f t="shared" si="63"/>
        <v>39850.627322464956</v>
      </c>
      <c r="AB68" s="61">
        <f t="shared" si="64"/>
        <v>44632.70260116075</v>
      </c>
    </row>
    <row r="69" spans="1:28" ht="15">
      <c r="A69" s="34" t="s">
        <v>259</v>
      </c>
      <c r="B69" s="29" t="s">
        <v>260</v>
      </c>
      <c r="C69" s="122">
        <v>1330</v>
      </c>
      <c r="D69" s="123">
        <f>C69/C66</f>
        <v>0.024496983003145928</v>
      </c>
      <c r="E69" s="120">
        <f t="shared" si="65"/>
        <v>10.346015037593986</v>
      </c>
      <c r="F69" s="19">
        <f t="shared" si="66"/>
        <v>13760.2</v>
      </c>
      <c r="G69" s="122">
        <v>15090.2</v>
      </c>
      <c r="H69" s="123">
        <f>G69/G66</f>
        <v>0.15724031462776006</v>
      </c>
      <c r="I69" s="120">
        <f t="shared" si="67"/>
        <v>-0.14421280036049888</v>
      </c>
      <c r="J69" s="19">
        <f t="shared" si="68"/>
        <v>-2176.2000000000007</v>
      </c>
      <c r="K69" s="63">
        <v>12914</v>
      </c>
      <c r="L69" s="123">
        <f>K69/K66</f>
        <v>0.11538769833288187</v>
      </c>
      <c r="M69" s="120">
        <f t="shared" si="69"/>
        <v>-0.17608796654793246</v>
      </c>
      <c r="N69" s="19">
        <f t="shared" si="70"/>
        <v>-2274</v>
      </c>
      <c r="O69" s="61">
        <v>10640</v>
      </c>
      <c r="P69" s="123">
        <f>O69/O66</f>
        <v>0.11935476633836628</v>
      </c>
      <c r="Q69" s="121">
        <f aca="true" t="shared" si="71" ref="Q69:Q132">SUM(E69+I69+M69)/3</f>
        <v>3.3419047568951847</v>
      </c>
      <c r="R69" s="121">
        <v>0.12</v>
      </c>
      <c r="S69" s="121"/>
      <c r="T69" s="137">
        <f t="shared" si="57"/>
        <v>11916.8</v>
      </c>
      <c r="U69" s="137">
        <f t="shared" si="58"/>
        <v>13346.815999999999</v>
      </c>
      <c r="V69" s="137">
        <f t="shared" si="40"/>
        <v>14948.43392</v>
      </c>
      <c r="W69" s="137">
        <f t="shared" si="59"/>
        <v>16742.2459904</v>
      </c>
      <c r="X69" s="137">
        <f t="shared" si="60"/>
        <v>18751.315509247997</v>
      </c>
      <c r="Y69" s="137">
        <f t="shared" si="61"/>
        <v>21001.47337035776</v>
      </c>
      <c r="Z69" s="137">
        <f t="shared" si="62"/>
        <v>23521.65017480069</v>
      </c>
      <c r="AA69" s="137">
        <f t="shared" si="63"/>
        <v>26344.24819577677</v>
      </c>
      <c r="AB69" s="61">
        <f t="shared" si="64"/>
        <v>29505.557979269983</v>
      </c>
    </row>
    <row r="70" spans="1:28" ht="15">
      <c r="A70" s="34" t="s">
        <v>261</v>
      </c>
      <c r="B70" s="29" t="s">
        <v>262</v>
      </c>
      <c r="C70" s="122">
        <v>120</v>
      </c>
      <c r="D70" s="123">
        <f>C70/C66</f>
        <v>0.002210254105547001</v>
      </c>
      <c r="E70" s="120">
        <f t="shared" si="65"/>
        <v>9</v>
      </c>
      <c r="F70" s="19">
        <f t="shared" si="66"/>
        <v>1080</v>
      </c>
      <c r="G70" s="122">
        <v>1200</v>
      </c>
      <c r="H70" s="123">
        <f>G70/G66</f>
        <v>0.012504034244298422</v>
      </c>
      <c r="I70" s="120">
        <f t="shared" si="67"/>
        <v>-1</v>
      </c>
      <c r="J70" s="19">
        <f t="shared" si="68"/>
        <v>-1200</v>
      </c>
      <c r="K70" s="63">
        <v>0</v>
      </c>
      <c r="L70" s="123">
        <f>K70/K66</f>
        <v>0</v>
      </c>
      <c r="M70" s="120" t="e">
        <f t="shared" si="69"/>
        <v>#DIV/0!</v>
      </c>
      <c r="N70" s="19">
        <f t="shared" si="70"/>
        <v>0</v>
      </c>
      <c r="O70" s="61">
        <v>0</v>
      </c>
      <c r="P70" s="123">
        <f>O70/O66</f>
        <v>0</v>
      </c>
      <c r="Q70" s="121" t="e">
        <f t="shared" si="71"/>
        <v>#DIV/0!</v>
      </c>
      <c r="R70" s="121">
        <v>0.12</v>
      </c>
      <c r="S70" s="121"/>
      <c r="T70" s="137">
        <f t="shared" si="57"/>
        <v>0</v>
      </c>
      <c r="U70" s="137">
        <f t="shared" si="58"/>
        <v>0</v>
      </c>
      <c r="V70" s="137">
        <f t="shared" si="40"/>
        <v>0</v>
      </c>
      <c r="W70" s="137">
        <f t="shared" si="59"/>
        <v>0</v>
      </c>
      <c r="X70" s="137">
        <f t="shared" si="60"/>
        <v>0</v>
      </c>
      <c r="Y70" s="137">
        <f t="shared" si="61"/>
        <v>0</v>
      </c>
      <c r="Z70" s="137">
        <f t="shared" si="62"/>
        <v>0</v>
      </c>
      <c r="AA70" s="137">
        <f t="shared" si="63"/>
        <v>0</v>
      </c>
      <c r="AB70" s="61">
        <f t="shared" si="64"/>
        <v>0</v>
      </c>
    </row>
    <row r="71" spans="1:28" ht="15">
      <c r="A71" s="34" t="s">
        <v>263</v>
      </c>
      <c r="B71" s="29" t="s">
        <v>264</v>
      </c>
      <c r="C71" s="122">
        <v>295</v>
      </c>
      <c r="D71" s="123">
        <f>C71/C66</f>
        <v>0.005433541342803044</v>
      </c>
      <c r="E71" s="120">
        <f t="shared" si="65"/>
        <v>6.7016949152542376</v>
      </c>
      <c r="F71" s="19">
        <f t="shared" si="66"/>
        <v>1977</v>
      </c>
      <c r="G71" s="122">
        <v>2272</v>
      </c>
      <c r="H71" s="123">
        <f>G71/G66</f>
        <v>0.02367430483587168</v>
      </c>
      <c r="I71" s="120">
        <f t="shared" si="67"/>
        <v>-0.8754401408450704</v>
      </c>
      <c r="J71" s="19">
        <f t="shared" si="68"/>
        <v>-1989</v>
      </c>
      <c r="K71" s="63">
        <v>283</v>
      </c>
      <c r="L71" s="123">
        <f>K71/K66</f>
        <v>0.0025286292882302592</v>
      </c>
      <c r="M71" s="120">
        <f t="shared" si="69"/>
        <v>0.13427561837455837</v>
      </c>
      <c r="N71" s="19">
        <f t="shared" si="70"/>
        <v>38</v>
      </c>
      <c r="O71" s="61">
        <v>321</v>
      </c>
      <c r="P71" s="123">
        <f>O71/O66</f>
        <v>0.0036008345859601105</v>
      </c>
      <c r="Q71" s="121">
        <f t="shared" si="71"/>
        <v>1.986843464261242</v>
      </c>
      <c r="R71" s="121">
        <v>0.12</v>
      </c>
      <c r="S71" s="121"/>
      <c r="T71" s="137">
        <f t="shared" si="57"/>
        <v>359.52</v>
      </c>
      <c r="U71" s="137">
        <f t="shared" si="58"/>
        <v>402.6624</v>
      </c>
      <c r="V71" s="137">
        <f t="shared" si="40"/>
        <v>450.98188799999997</v>
      </c>
      <c r="W71" s="137">
        <f t="shared" si="59"/>
        <v>505.09971455999994</v>
      </c>
      <c r="X71" s="137">
        <f t="shared" si="60"/>
        <v>565.7116803071999</v>
      </c>
      <c r="Y71" s="137">
        <f t="shared" si="61"/>
        <v>633.5970819440639</v>
      </c>
      <c r="Z71" s="137">
        <f t="shared" si="62"/>
        <v>709.6287317773516</v>
      </c>
      <c r="AA71" s="137">
        <f t="shared" si="63"/>
        <v>794.7841795906338</v>
      </c>
      <c r="AB71" s="61">
        <f t="shared" si="64"/>
        <v>890.1582811415099</v>
      </c>
    </row>
    <row r="72" spans="1:28" ht="15">
      <c r="A72" s="34" t="s">
        <v>265</v>
      </c>
      <c r="B72" s="29" t="s">
        <v>266</v>
      </c>
      <c r="C72" s="122">
        <v>0</v>
      </c>
      <c r="D72" s="123">
        <f>C72/C66</f>
        <v>0</v>
      </c>
      <c r="E72" s="120" t="e">
        <f t="shared" si="65"/>
        <v>#DIV/0!</v>
      </c>
      <c r="F72" s="19">
        <f t="shared" si="66"/>
        <v>4454</v>
      </c>
      <c r="G72" s="122">
        <v>4454</v>
      </c>
      <c r="H72" s="123">
        <f>G72/G66</f>
        <v>0.04641080710342098</v>
      </c>
      <c r="I72" s="120">
        <f t="shared" si="67"/>
        <v>-0.24539739559946117</v>
      </c>
      <c r="J72" s="19">
        <f t="shared" si="68"/>
        <v>-1093</v>
      </c>
      <c r="K72" s="63">
        <v>3361</v>
      </c>
      <c r="L72" s="123">
        <f>K72/K66</f>
        <v>0.03003082345491838</v>
      </c>
      <c r="M72" s="120">
        <f t="shared" si="69"/>
        <v>-0.17762570663493005</v>
      </c>
      <c r="N72" s="19">
        <f t="shared" si="70"/>
        <v>-597</v>
      </c>
      <c r="O72" s="61">
        <v>2764</v>
      </c>
      <c r="P72" s="123">
        <f>O72/O66</f>
        <v>0.031005317120229737</v>
      </c>
      <c r="Q72" s="121" t="e">
        <f t="shared" si="71"/>
        <v>#DIV/0!</v>
      </c>
      <c r="R72" s="121">
        <v>0.12</v>
      </c>
      <c r="S72" s="121"/>
      <c r="T72" s="137">
        <f t="shared" si="57"/>
        <v>3095.68</v>
      </c>
      <c r="U72" s="137">
        <f t="shared" si="58"/>
        <v>3467.1616</v>
      </c>
      <c r="V72" s="137">
        <f t="shared" si="40"/>
        <v>3883.220992</v>
      </c>
      <c r="W72" s="137">
        <f t="shared" si="59"/>
        <v>4349.20751104</v>
      </c>
      <c r="X72" s="137">
        <f t="shared" si="60"/>
        <v>4871.112412364801</v>
      </c>
      <c r="Y72" s="137">
        <f t="shared" si="61"/>
        <v>5455.645901848577</v>
      </c>
      <c r="Z72" s="137">
        <f t="shared" si="62"/>
        <v>6110.323410070406</v>
      </c>
      <c r="AA72" s="137">
        <f t="shared" si="63"/>
        <v>6843.562219278854</v>
      </c>
      <c r="AB72" s="61">
        <f t="shared" si="64"/>
        <v>7664.789685592316</v>
      </c>
    </row>
    <row r="73" spans="1:28" ht="15">
      <c r="A73" s="34" t="s">
        <v>267</v>
      </c>
      <c r="B73" s="29" t="s">
        <v>268</v>
      </c>
      <c r="C73" s="122">
        <v>0</v>
      </c>
      <c r="D73" s="123">
        <f>C73/C66</f>
        <v>0</v>
      </c>
      <c r="E73" s="120" t="e">
        <f t="shared" si="65"/>
        <v>#DIV/0!</v>
      </c>
      <c r="F73" s="19">
        <f t="shared" si="66"/>
        <v>3156.98</v>
      </c>
      <c r="G73" s="122">
        <v>3156.98</v>
      </c>
      <c r="H73" s="123">
        <f>G73/G66</f>
        <v>0.03289582169047103</v>
      </c>
      <c r="I73" s="120">
        <f t="shared" si="67"/>
        <v>0.39848842881488</v>
      </c>
      <c r="J73" s="19">
        <f t="shared" si="68"/>
        <v>1258.02</v>
      </c>
      <c r="K73" s="63">
        <v>4415</v>
      </c>
      <c r="L73" s="123">
        <f>K73/K66</f>
        <v>0.03944840391355687</v>
      </c>
      <c r="M73" s="120">
        <f t="shared" si="69"/>
        <v>-0.01245753114382786</v>
      </c>
      <c r="N73" s="19">
        <f t="shared" si="70"/>
        <v>-55</v>
      </c>
      <c r="O73" s="61">
        <v>4360</v>
      </c>
      <c r="P73" s="123">
        <f>O73/O66</f>
        <v>0.048908532070984674</v>
      </c>
      <c r="Q73" s="121" t="e">
        <f t="shared" si="71"/>
        <v>#DIV/0!</v>
      </c>
      <c r="R73" s="121">
        <v>0.12</v>
      </c>
      <c r="S73" s="121"/>
      <c r="T73" s="137">
        <f t="shared" si="57"/>
        <v>4883.2</v>
      </c>
      <c r="U73" s="137">
        <f t="shared" si="58"/>
        <v>5469.183999999999</v>
      </c>
      <c r="V73" s="137">
        <f t="shared" si="40"/>
        <v>6125.486079999999</v>
      </c>
      <c r="W73" s="137">
        <f t="shared" si="59"/>
        <v>6860.544409599998</v>
      </c>
      <c r="X73" s="137">
        <f t="shared" si="60"/>
        <v>7683.809738751998</v>
      </c>
      <c r="Y73" s="137">
        <f t="shared" si="61"/>
        <v>8605.866907402238</v>
      </c>
      <c r="Z73" s="137">
        <f t="shared" si="62"/>
        <v>9638.570936290507</v>
      </c>
      <c r="AA73" s="137">
        <f t="shared" si="63"/>
        <v>10795.199448645368</v>
      </c>
      <c r="AB73" s="61">
        <f t="shared" si="64"/>
        <v>12090.623382482812</v>
      </c>
    </row>
    <row r="74" spans="1:28" ht="15">
      <c r="A74" s="34" t="s">
        <v>269</v>
      </c>
      <c r="B74" s="29" t="s">
        <v>270</v>
      </c>
      <c r="C74" s="122">
        <v>15</v>
      </c>
      <c r="D74" s="123">
        <f>C74/C66</f>
        <v>0.0002762817631933751</v>
      </c>
      <c r="E74" s="120">
        <f t="shared" si="65"/>
        <v>4.666666666666667</v>
      </c>
      <c r="F74" s="19">
        <f t="shared" si="66"/>
        <v>70</v>
      </c>
      <c r="G74" s="122">
        <v>85</v>
      </c>
      <c r="H74" s="123">
        <f>G74/G66</f>
        <v>0.000885702425637805</v>
      </c>
      <c r="I74" s="120">
        <f t="shared" si="67"/>
        <v>-1</v>
      </c>
      <c r="J74" s="19">
        <f t="shared" si="68"/>
        <v>-85</v>
      </c>
      <c r="K74" s="63">
        <v>0</v>
      </c>
      <c r="L74" s="123">
        <f>K74/K66</f>
        <v>0</v>
      </c>
      <c r="M74" s="120" t="e">
        <f t="shared" si="69"/>
        <v>#DIV/0!</v>
      </c>
      <c r="N74" s="19">
        <f t="shared" si="70"/>
        <v>0</v>
      </c>
      <c r="O74" s="61">
        <v>0</v>
      </c>
      <c r="P74" s="123">
        <f>O74/O66</f>
        <v>0</v>
      </c>
      <c r="Q74" s="121" t="e">
        <f t="shared" si="71"/>
        <v>#DIV/0!</v>
      </c>
      <c r="R74" s="121">
        <v>0.12</v>
      </c>
      <c r="S74" s="121"/>
      <c r="T74" s="137">
        <f t="shared" si="57"/>
        <v>0</v>
      </c>
      <c r="U74" s="137">
        <f t="shared" si="58"/>
        <v>0</v>
      </c>
      <c r="V74" s="137">
        <f t="shared" si="40"/>
        <v>0</v>
      </c>
      <c r="W74" s="137">
        <f t="shared" si="59"/>
        <v>0</v>
      </c>
      <c r="X74" s="137">
        <f t="shared" si="60"/>
        <v>0</v>
      </c>
      <c r="Y74" s="137">
        <f t="shared" si="61"/>
        <v>0</v>
      </c>
      <c r="Z74" s="137">
        <f t="shared" si="62"/>
        <v>0</v>
      </c>
      <c r="AA74" s="137">
        <f t="shared" si="63"/>
        <v>0</v>
      </c>
      <c r="AB74" s="61">
        <f t="shared" si="64"/>
        <v>0</v>
      </c>
    </row>
    <row r="75" spans="1:28" ht="15">
      <c r="A75" s="34" t="s">
        <v>271</v>
      </c>
      <c r="B75" s="29" t="s">
        <v>272</v>
      </c>
      <c r="C75" s="122">
        <v>0</v>
      </c>
      <c r="D75" s="123">
        <f>C75/C66</f>
        <v>0</v>
      </c>
      <c r="E75" s="120" t="e">
        <f t="shared" si="65"/>
        <v>#DIV/0!</v>
      </c>
      <c r="F75" s="19">
        <f t="shared" si="66"/>
        <v>84</v>
      </c>
      <c r="G75" s="122">
        <v>84</v>
      </c>
      <c r="H75" s="123">
        <f>G75/G66</f>
        <v>0.0008752823971008896</v>
      </c>
      <c r="I75" s="120">
        <f t="shared" si="67"/>
        <v>-0.7976190476190477</v>
      </c>
      <c r="J75" s="19">
        <f t="shared" si="68"/>
        <v>-67</v>
      </c>
      <c r="K75" s="63">
        <v>17</v>
      </c>
      <c r="L75" s="123">
        <f>K75/K66</f>
        <v>0.00015189645901029825</v>
      </c>
      <c r="M75" s="120">
        <f t="shared" si="69"/>
        <v>0.11764705882352944</v>
      </c>
      <c r="N75" s="19">
        <f t="shared" si="70"/>
        <v>2</v>
      </c>
      <c r="O75" s="61">
        <v>19</v>
      </c>
      <c r="P75" s="123">
        <f>O75/O66</f>
        <v>0.0002131335113185112</v>
      </c>
      <c r="Q75" s="121" t="e">
        <f t="shared" si="71"/>
        <v>#DIV/0!</v>
      </c>
      <c r="R75" s="121">
        <v>0.12</v>
      </c>
      <c r="S75" s="121"/>
      <c r="T75" s="137">
        <f t="shared" si="57"/>
        <v>21.28</v>
      </c>
      <c r="U75" s="137">
        <f t="shared" si="58"/>
        <v>23.8336</v>
      </c>
      <c r="V75" s="137">
        <f t="shared" si="40"/>
        <v>26.693632</v>
      </c>
      <c r="W75" s="137">
        <f t="shared" si="59"/>
        <v>29.896867840000002</v>
      </c>
      <c r="X75" s="137">
        <f t="shared" si="60"/>
        <v>33.4844919808</v>
      </c>
      <c r="Y75" s="137">
        <f t="shared" si="61"/>
        <v>37.502631018496004</v>
      </c>
      <c r="Z75" s="137">
        <f t="shared" si="62"/>
        <v>42.00294674071552</v>
      </c>
      <c r="AA75" s="137">
        <f t="shared" si="63"/>
        <v>47.04330034960138</v>
      </c>
      <c r="AB75" s="61">
        <f t="shared" si="64"/>
        <v>52.68849639155355</v>
      </c>
    </row>
    <row r="76" spans="1:28" ht="15">
      <c r="A76" s="34" t="s">
        <v>273</v>
      </c>
      <c r="B76" s="29" t="s">
        <v>274</v>
      </c>
      <c r="C76" s="122">
        <v>30</v>
      </c>
      <c r="D76" s="123">
        <f>C76/C66</f>
        <v>0.0005525635263867502</v>
      </c>
      <c r="E76" s="120">
        <f t="shared" si="65"/>
        <v>7.800000000000001</v>
      </c>
      <c r="F76" s="19">
        <f t="shared" si="66"/>
        <v>234</v>
      </c>
      <c r="G76" s="122">
        <v>264</v>
      </c>
      <c r="H76" s="123">
        <f>G76/G66</f>
        <v>0.002750887533745653</v>
      </c>
      <c r="I76" s="120">
        <f t="shared" si="67"/>
        <v>-0.8068181818181819</v>
      </c>
      <c r="J76" s="19">
        <f t="shared" si="68"/>
        <v>-213</v>
      </c>
      <c r="K76" s="63">
        <v>51</v>
      </c>
      <c r="L76" s="123">
        <f>K76/K66</f>
        <v>0.0004556893770308948</v>
      </c>
      <c r="M76" s="120">
        <f t="shared" si="69"/>
        <v>0.13725490196078427</v>
      </c>
      <c r="N76" s="19">
        <f t="shared" si="70"/>
        <v>7</v>
      </c>
      <c r="O76" s="61">
        <v>58</v>
      </c>
      <c r="P76" s="123">
        <f>O76/O66</f>
        <v>0.0006506180871828237</v>
      </c>
      <c r="Q76" s="121">
        <f t="shared" si="71"/>
        <v>2.3768122400475344</v>
      </c>
      <c r="R76" s="121">
        <v>0.12</v>
      </c>
      <c r="S76" s="121"/>
      <c r="T76" s="137">
        <f t="shared" si="57"/>
        <v>64.96</v>
      </c>
      <c r="U76" s="137">
        <f t="shared" si="58"/>
        <v>72.75519999999999</v>
      </c>
      <c r="V76" s="137">
        <f t="shared" si="40"/>
        <v>81.48582399999998</v>
      </c>
      <c r="W76" s="137">
        <f t="shared" si="59"/>
        <v>91.26412287999997</v>
      </c>
      <c r="X76" s="137">
        <f t="shared" si="60"/>
        <v>102.21581762559997</v>
      </c>
      <c r="Y76" s="137">
        <f t="shared" si="61"/>
        <v>114.48171574067196</v>
      </c>
      <c r="Z76" s="137">
        <f t="shared" si="62"/>
        <v>128.2195216295526</v>
      </c>
      <c r="AA76" s="137">
        <f t="shared" si="63"/>
        <v>143.6058642250989</v>
      </c>
      <c r="AB76" s="61">
        <f t="shared" si="64"/>
        <v>160.83856793211078</v>
      </c>
    </row>
    <row r="77" spans="1:28" ht="15">
      <c r="A77" s="34" t="s">
        <v>275</v>
      </c>
      <c r="B77" s="29" t="s">
        <v>276</v>
      </c>
      <c r="C77" s="122">
        <v>167</v>
      </c>
      <c r="D77" s="123">
        <f>C77/C66</f>
        <v>0.00307593696355291</v>
      </c>
      <c r="E77" s="120">
        <f t="shared" si="65"/>
        <v>11.826347305389222</v>
      </c>
      <c r="F77" s="19">
        <f t="shared" si="66"/>
        <v>1975</v>
      </c>
      <c r="G77" s="122">
        <v>2142</v>
      </c>
      <c r="H77" s="123">
        <f>G77/G66</f>
        <v>0.022319701126072684</v>
      </c>
      <c r="I77" s="120">
        <f t="shared" si="67"/>
        <v>0.5700280112044818</v>
      </c>
      <c r="J77" s="19">
        <f t="shared" si="68"/>
        <v>1221</v>
      </c>
      <c r="K77" s="63">
        <v>3363</v>
      </c>
      <c r="L77" s="123">
        <f>K77/K66</f>
        <v>0.03004869362656665</v>
      </c>
      <c r="M77" s="120">
        <f t="shared" si="69"/>
        <v>-0.20309247695509958</v>
      </c>
      <c r="N77" s="19">
        <f t="shared" si="70"/>
        <v>-683</v>
      </c>
      <c r="O77" s="61">
        <v>2680</v>
      </c>
      <c r="P77" s="123">
        <f>O77/O66</f>
        <v>0.03006304264913737</v>
      </c>
      <c r="Q77" s="121">
        <f t="shared" si="71"/>
        <v>4.064427613212868</v>
      </c>
      <c r="R77" s="121">
        <v>0.12</v>
      </c>
      <c r="S77" s="121"/>
      <c r="T77" s="137">
        <f t="shared" si="57"/>
        <v>3001.6</v>
      </c>
      <c r="U77" s="137">
        <f t="shared" si="58"/>
        <v>3361.792</v>
      </c>
      <c r="V77" s="137">
        <f t="shared" si="40"/>
        <v>3765.20704</v>
      </c>
      <c r="W77" s="137">
        <f t="shared" si="59"/>
        <v>4217.0318848</v>
      </c>
      <c r="X77" s="137">
        <f t="shared" si="60"/>
        <v>4723.075710976</v>
      </c>
      <c r="Y77" s="137">
        <f t="shared" si="61"/>
        <v>5289.8447962931195</v>
      </c>
      <c r="Z77" s="137">
        <f t="shared" si="62"/>
        <v>5924.626171848294</v>
      </c>
      <c r="AA77" s="137">
        <f t="shared" si="63"/>
        <v>6635.581312470089</v>
      </c>
      <c r="AB77" s="61">
        <f t="shared" si="64"/>
        <v>7431.851069966499</v>
      </c>
    </row>
    <row r="78" spans="1:28" ht="15">
      <c r="A78" s="34" t="s">
        <v>277</v>
      </c>
      <c r="B78" s="29" t="s">
        <v>278</v>
      </c>
      <c r="C78" s="122">
        <v>222</v>
      </c>
      <c r="D78" s="123">
        <f>C78/C66</f>
        <v>0.004088970095261952</v>
      </c>
      <c r="E78" s="120">
        <f t="shared" si="65"/>
        <v>5.824324324324325</v>
      </c>
      <c r="F78" s="19">
        <f t="shared" si="66"/>
        <v>1293</v>
      </c>
      <c r="G78" s="122">
        <v>1515</v>
      </c>
      <c r="H78" s="123">
        <f>G78/G66</f>
        <v>0.01578634323342676</v>
      </c>
      <c r="I78" s="120">
        <f t="shared" si="67"/>
        <v>0.8382171617161716</v>
      </c>
      <c r="J78" s="19">
        <f t="shared" si="68"/>
        <v>1269.899</v>
      </c>
      <c r="K78" s="63">
        <v>2784.899</v>
      </c>
      <c r="L78" s="123">
        <f>K78/K66</f>
        <v>0.02488331157654827</v>
      </c>
      <c r="M78" s="120">
        <f t="shared" si="69"/>
        <v>-0.2269019450974703</v>
      </c>
      <c r="N78" s="19">
        <f t="shared" si="70"/>
        <v>-631.8989999999999</v>
      </c>
      <c r="O78" s="61">
        <v>2153</v>
      </c>
      <c r="P78" s="123">
        <f>O78/O66</f>
        <v>0.024151392098355505</v>
      </c>
      <c r="Q78" s="121">
        <f t="shared" si="71"/>
        <v>2.1452131803143417</v>
      </c>
      <c r="R78" s="121">
        <v>0.12</v>
      </c>
      <c r="S78" s="121"/>
      <c r="T78" s="137">
        <f t="shared" si="57"/>
        <v>2411.36</v>
      </c>
      <c r="U78" s="137">
        <f t="shared" si="58"/>
        <v>2700.7232000000004</v>
      </c>
      <c r="V78" s="137">
        <f t="shared" si="40"/>
        <v>3024.8099840000004</v>
      </c>
      <c r="W78" s="137">
        <f t="shared" si="59"/>
        <v>3387.7871820800005</v>
      </c>
      <c r="X78" s="137">
        <f t="shared" si="60"/>
        <v>3794.3216439296007</v>
      </c>
      <c r="Y78" s="137">
        <f t="shared" si="61"/>
        <v>4249.640241201153</v>
      </c>
      <c r="Z78" s="137">
        <f t="shared" si="62"/>
        <v>4759.597070145292</v>
      </c>
      <c r="AA78" s="137">
        <f t="shared" si="63"/>
        <v>5330.748718562727</v>
      </c>
      <c r="AB78" s="61">
        <f t="shared" si="64"/>
        <v>5970.4385647902545</v>
      </c>
    </row>
    <row r="79" spans="1:28" ht="15">
      <c r="A79" s="34" t="s">
        <v>279</v>
      </c>
      <c r="B79" s="29" t="s">
        <v>280</v>
      </c>
      <c r="C79" s="122">
        <v>459</v>
      </c>
      <c r="D79" s="123">
        <f>C79/C66</f>
        <v>0.008454221953717278</v>
      </c>
      <c r="E79" s="120">
        <f t="shared" si="65"/>
        <v>11.838779956427015</v>
      </c>
      <c r="F79" s="19">
        <f t="shared" si="66"/>
        <v>5434</v>
      </c>
      <c r="G79" s="122">
        <v>5893</v>
      </c>
      <c r="H79" s="123">
        <f>G79/G66</f>
        <v>0.06140522816804218</v>
      </c>
      <c r="I79" s="120">
        <f t="shared" si="67"/>
        <v>-0.13161377905990168</v>
      </c>
      <c r="J79" s="19">
        <f t="shared" si="68"/>
        <v>-775.6000000000004</v>
      </c>
      <c r="K79" s="63">
        <v>5117.4</v>
      </c>
      <c r="L79" s="123">
        <f>K79/K66</f>
        <v>0.04572440819642943</v>
      </c>
      <c r="M79" s="120">
        <f t="shared" si="69"/>
        <v>-0.16481025520772263</v>
      </c>
      <c r="N79" s="19">
        <f t="shared" si="70"/>
        <v>-843.3999999999996</v>
      </c>
      <c r="O79" s="61">
        <v>4274</v>
      </c>
      <c r="P79" s="123">
        <f>O79/O66</f>
        <v>0.04794382249343773</v>
      </c>
      <c r="Q79" s="121">
        <f t="shared" si="71"/>
        <v>3.8474519740531306</v>
      </c>
      <c r="R79" s="121">
        <v>0.12</v>
      </c>
      <c r="S79" s="121"/>
      <c r="T79" s="137">
        <f t="shared" si="57"/>
        <v>4786.88</v>
      </c>
      <c r="U79" s="137">
        <f t="shared" si="58"/>
        <v>5361.3056</v>
      </c>
      <c r="V79" s="137">
        <f t="shared" si="40"/>
        <v>6004.662272</v>
      </c>
      <c r="W79" s="137">
        <f t="shared" si="59"/>
        <v>6725.221744639999</v>
      </c>
      <c r="X79" s="137">
        <f t="shared" si="60"/>
        <v>7532.248353996799</v>
      </c>
      <c r="Y79" s="137">
        <f t="shared" si="61"/>
        <v>8436.118156476416</v>
      </c>
      <c r="Z79" s="137">
        <f t="shared" si="62"/>
        <v>9448.452335253585</v>
      </c>
      <c r="AA79" s="137">
        <f t="shared" si="63"/>
        <v>10582.266615484015</v>
      </c>
      <c r="AB79" s="61">
        <f t="shared" si="64"/>
        <v>11852.138609342097</v>
      </c>
    </row>
    <row r="80" spans="1:28" ht="15">
      <c r="A80" s="34" t="s">
        <v>281</v>
      </c>
      <c r="B80" s="29" t="s">
        <v>282</v>
      </c>
      <c r="C80" s="122">
        <v>114</v>
      </c>
      <c r="D80" s="123">
        <f>C80/C66</f>
        <v>0.0020997414002696508</v>
      </c>
      <c r="E80" s="120">
        <f t="shared" si="65"/>
        <v>15.228070175438596</v>
      </c>
      <c r="F80" s="19">
        <f t="shared" si="66"/>
        <v>1736</v>
      </c>
      <c r="G80" s="122">
        <v>1850</v>
      </c>
      <c r="H80" s="123">
        <f>G80/G66</f>
        <v>0.019277052793293403</v>
      </c>
      <c r="I80" s="120">
        <f t="shared" si="67"/>
        <v>-0.3691891891891892</v>
      </c>
      <c r="J80" s="19">
        <f t="shared" si="68"/>
        <v>-683</v>
      </c>
      <c r="K80" s="63">
        <v>1167</v>
      </c>
      <c r="L80" s="123">
        <f>K80/K66</f>
        <v>0.010427245156765769</v>
      </c>
      <c r="M80" s="120">
        <f t="shared" si="69"/>
        <v>-0.20994001713796062</v>
      </c>
      <c r="N80" s="19">
        <f t="shared" si="70"/>
        <v>-245</v>
      </c>
      <c r="O80" s="61">
        <v>922</v>
      </c>
      <c r="P80" s="123">
        <f>O80/O66</f>
        <v>0.01034258407556144</v>
      </c>
      <c r="Q80" s="121">
        <f t="shared" si="71"/>
        <v>4.882980323037149</v>
      </c>
      <c r="R80" s="121">
        <v>0.12</v>
      </c>
      <c r="S80" s="121"/>
      <c r="T80" s="137">
        <f t="shared" si="57"/>
        <v>1032.64</v>
      </c>
      <c r="U80" s="137">
        <f t="shared" si="58"/>
        <v>1156.5568</v>
      </c>
      <c r="V80" s="137">
        <f t="shared" si="40"/>
        <v>1295.343616</v>
      </c>
      <c r="W80" s="137">
        <f t="shared" si="59"/>
        <v>1450.7848499200002</v>
      </c>
      <c r="X80" s="137">
        <f t="shared" si="60"/>
        <v>1624.8790319104003</v>
      </c>
      <c r="Y80" s="137">
        <f t="shared" si="61"/>
        <v>1819.8645157396484</v>
      </c>
      <c r="Z80" s="137">
        <f t="shared" si="62"/>
        <v>2038.2482576284062</v>
      </c>
      <c r="AA80" s="137">
        <f t="shared" si="63"/>
        <v>2282.838048543815</v>
      </c>
      <c r="AB80" s="61">
        <f t="shared" si="64"/>
        <v>2556.778614369073</v>
      </c>
    </row>
    <row r="81" spans="1:28" ht="15">
      <c r="A81" s="34" t="s">
        <v>283</v>
      </c>
      <c r="B81" s="29" t="s">
        <v>284</v>
      </c>
      <c r="C81" s="122">
        <v>0</v>
      </c>
      <c r="D81" s="123">
        <f>C81/C66</f>
        <v>0</v>
      </c>
      <c r="E81" s="120" t="e">
        <f t="shared" si="65"/>
        <v>#DIV/0!</v>
      </c>
      <c r="F81" s="19">
        <f t="shared" si="66"/>
        <v>128</v>
      </c>
      <c r="G81" s="122">
        <v>128</v>
      </c>
      <c r="H81" s="123">
        <f>G81/G66</f>
        <v>0.0013337636527251651</v>
      </c>
      <c r="I81" s="120">
        <f t="shared" si="67"/>
        <v>0.609375</v>
      </c>
      <c r="J81" s="19">
        <f t="shared" si="68"/>
        <v>78</v>
      </c>
      <c r="K81" s="63">
        <v>206</v>
      </c>
      <c r="L81" s="123">
        <f>K81/K66</f>
        <v>0.0018406276797718495</v>
      </c>
      <c r="M81" s="120">
        <f t="shared" si="69"/>
        <v>-0.37378640776699024</v>
      </c>
      <c r="N81" s="19">
        <f t="shared" si="70"/>
        <v>-77</v>
      </c>
      <c r="O81" s="61">
        <v>129</v>
      </c>
      <c r="P81" s="123">
        <f>O81/O66</f>
        <v>0.001447064366320418</v>
      </c>
      <c r="Q81" s="121" t="e">
        <f t="shared" si="71"/>
        <v>#DIV/0!</v>
      </c>
      <c r="R81" s="121">
        <v>0.12</v>
      </c>
      <c r="S81" s="121"/>
      <c r="T81" s="137">
        <f t="shared" si="57"/>
        <v>144.48</v>
      </c>
      <c r="U81" s="137">
        <f t="shared" si="58"/>
        <v>161.8176</v>
      </c>
      <c r="V81" s="137">
        <f t="shared" si="40"/>
        <v>181.235712</v>
      </c>
      <c r="W81" s="137">
        <f t="shared" si="59"/>
        <v>202.98399744</v>
      </c>
      <c r="X81" s="137">
        <f t="shared" si="60"/>
        <v>227.3420771328</v>
      </c>
      <c r="Y81" s="137">
        <f t="shared" si="61"/>
        <v>254.623126388736</v>
      </c>
      <c r="Z81" s="137">
        <f t="shared" si="62"/>
        <v>285.1779015553843</v>
      </c>
      <c r="AA81" s="137">
        <f t="shared" si="63"/>
        <v>319.39924974203046</v>
      </c>
      <c r="AB81" s="61">
        <f t="shared" si="64"/>
        <v>357.72715971107414</v>
      </c>
    </row>
    <row r="82" spans="1:28" ht="15">
      <c r="A82" s="34" t="s">
        <v>285</v>
      </c>
      <c r="B82" s="29" t="s">
        <v>286</v>
      </c>
      <c r="C82" s="122">
        <v>0</v>
      </c>
      <c r="D82" s="123">
        <f>C82/C66</f>
        <v>0</v>
      </c>
      <c r="E82" s="120" t="e">
        <f t="shared" si="65"/>
        <v>#DIV/0!</v>
      </c>
      <c r="F82" s="19">
        <f t="shared" si="66"/>
        <v>32</v>
      </c>
      <c r="G82" s="122">
        <v>32</v>
      </c>
      <c r="H82" s="123">
        <f>G82/G66</f>
        <v>0.0003334409131812913</v>
      </c>
      <c r="I82" s="120">
        <f t="shared" si="67"/>
        <v>-1</v>
      </c>
      <c r="J82" s="19">
        <f t="shared" si="68"/>
        <v>-32</v>
      </c>
      <c r="K82" s="63">
        <v>0</v>
      </c>
      <c r="L82" s="123">
        <f>K82/K66</f>
        <v>0</v>
      </c>
      <c r="M82" s="120" t="e">
        <f t="shared" si="69"/>
        <v>#DIV/0!</v>
      </c>
      <c r="N82" s="19">
        <f t="shared" si="70"/>
        <v>0</v>
      </c>
      <c r="O82" s="61">
        <v>0</v>
      </c>
      <c r="P82" s="123">
        <f>O82/O66</f>
        <v>0</v>
      </c>
      <c r="Q82" s="121" t="e">
        <f t="shared" si="71"/>
        <v>#DIV/0!</v>
      </c>
      <c r="R82" s="121">
        <v>0.12</v>
      </c>
      <c r="S82" s="121"/>
      <c r="T82" s="137">
        <f t="shared" si="57"/>
        <v>0</v>
      </c>
      <c r="U82" s="137">
        <f t="shared" si="58"/>
        <v>0</v>
      </c>
      <c r="V82" s="137">
        <f t="shared" si="40"/>
        <v>0</v>
      </c>
      <c r="W82" s="137">
        <f t="shared" si="59"/>
        <v>0</v>
      </c>
      <c r="X82" s="137">
        <f t="shared" si="60"/>
        <v>0</v>
      </c>
      <c r="Y82" s="137">
        <f t="shared" si="61"/>
        <v>0</v>
      </c>
      <c r="Z82" s="137">
        <f t="shared" si="62"/>
        <v>0</v>
      </c>
      <c r="AA82" s="137">
        <f t="shared" si="63"/>
        <v>0</v>
      </c>
      <c r="AB82" s="61">
        <f t="shared" si="64"/>
        <v>0</v>
      </c>
    </row>
    <row r="83" spans="1:28" ht="15">
      <c r="A83" s="34" t="s">
        <v>287</v>
      </c>
      <c r="B83" s="29" t="s">
        <v>288</v>
      </c>
      <c r="C83" s="122">
        <v>45</v>
      </c>
      <c r="D83" s="123">
        <f>C83/C66</f>
        <v>0.0008288452895801253</v>
      </c>
      <c r="E83" s="120">
        <f t="shared" si="65"/>
        <v>14.28888888888889</v>
      </c>
      <c r="F83" s="19">
        <f t="shared" si="66"/>
        <v>643</v>
      </c>
      <c r="G83" s="122">
        <v>688</v>
      </c>
      <c r="H83" s="123">
        <f>G83/G66</f>
        <v>0.007168979633397763</v>
      </c>
      <c r="I83" s="120">
        <f t="shared" si="67"/>
        <v>-0.16715116279069764</v>
      </c>
      <c r="J83" s="19">
        <f t="shared" si="68"/>
        <v>-115</v>
      </c>
      <c r="K83" s="63">
        <v>573</v>
      </c>
      <c r="L83" s="123">
        <f>K83/K66</f>
        <v>0.005119804177229465</v>
      </c>
      <c r="M83" s="120">
        <f t="shared" si="69"/>
        <v>-0.10122164048865623</v>
      </c>
      <c r="N83" s="19">
        <f t="shared" si="70"/>
        <v>-58</v>
      </c>
      <c r="O83" s="61">
        <v>515</v>
      </c>
      <c r="P83" s="123">
        <f>O83/O66</f>
        <v>0.005777039912054383</v>
      </c>
      <c r="Q83" s="121">
        <f t="shared" si="71"/>
        <v>4.673505361869846</v>
      </c>
      <c r="R83" s="121">
        <v>0.12</v>
      </c>
      <c r="S83" s="121"/>
      <c r="T83" s="137">
        <f t="shared" si="57"/>
        <v>576.8</v>
      </c>
      <c r="U83" s="137">
        <f t="shared" si="58"/>
        <v>646.016</v>
      </c>
      <c r="V83" s="137">
        <f t="shared" si="40"/>
        <v>723.53792</v>
      </c>
      <c r="W83" s="137">
        <f t="shared" si="59"/>
        <v>810.3624704</v>
      </c>
      <c r="X83" s="137">
        <f t="shared" si="60"/>
        <v>907.605966848</v>
      </c>
      <c r="Y83" s="137">
        <f t="shared" si="61"/>
        <v>1016.5186828697599</v>
      </c>
      <c r="Z83" s="137">
        <f t="shared" si="62"/>
        <v>1138.5009248141312</v>
      </c>
      <c r="AA83" s="137">
        <f t="shared" si="63"/>
        <v>1275.121035791827</v>
      </c>
      <c r="AB83" s="61">
        <f t="shared" si="64"/>
        <v>1428.135560086846</v>
      </c>
    </row>
    <row r="84" spans="1:28" ht="15">
      <c r="A84" s="34" t="s">
        <v>289</v>
      </c>
      <c r="B84" s="29" t="s">
        <v>290</v>
      </c>
      <c r="C84" s="122">
        <v>66</v>
      </c>
      <c r="D84" s="123">
        <f>C84/C66</f>
        <v>0.0012156397580508505</v>
      </c>
      <c r="E84" s="120">
        <f t="shared" si="65"/>
        <v>5.803030303030303</v>
      </c>
      <c r="F84" s="19">
        <f t="shared" si="66"/>
        <v>383</v>
      </c>
      <c r="G84" s="122">
        <v>449</v>
      </c>
      <c r="H84" s="123">
        <f>G84/G66</f>
        <v>0.004678592813074993</v>
      </c>
      <c r="I84" s="120">
        <f t="shared" si="67"/>
        <v>0.020044543429844186</v>
      </c>
      <c r="J84" s="19">
        <f t="shared" si="68"/>
        <v>9</v>
      </c>
      <c r="K84" s="63">
        <v>458</v>
      </c>
      <c r="L84" s="123">
        <f>K84/K66</f>
        <v>0.004092269307453918</v>
      </c>
      <c r="M84" s="120">
        <f t="shared" si="69"/>
        <v>-0.11790393013100442</v>
      </c>
      <c r="N84" s="19">
        <f t="shared" si="70"/>
        <v>-54</v>
      </c>
      <c r="O84" s="61">
        <v>404</v>
      </c>
      <c r="P84" s="123">
        <f>O84/O66</f>
        <v>0.004531891503825185</v>
      </c>
      <c r="Q84" s="121">
        <f t="shared" si="71"/>
        <v>1.9017236387763807</v>
      </c>
      <c r="R84" s="121">
        <v>0.12</v>
      </c>
      <c r="S84" s="121"/>
      <c r="T84" s="137">
        <f t="shared" si="57"/>
        <v>452.48</v>
      </c>
      <c r="U84" s="137">
        <f t="shared" si="58"/>
        <v>506.7776</v>
      </c>
      <c r="V84" s="137">
        <f t="shared" si="40"/>
        <v>567.590912</v>
      </c>
      <c r="W84" s="137">
        <f t="shared" si="59"/>
        <v>635.70182144</v>
      </c>
      <c r="X84" s="137">
        <f t="shared" si="60"/>
        <v>711.9860400128</v>
      </c>
      <c r="Y84" s="137">
        <f t="shared" si="61"/>
        <v>797.4243648143361</v>
      </c>
      <c r="Z84" s="137">
        <f t="shared" si="62"/>
        <v>893.1152885920563</v>
      </c>
      <c r="AA84" s="137">
        <f t="shared" si="63"/>
        <v>1000.2891232231032</v>
      </c>
      <c r="AB84" s="61">
        <f t="shared" si="64"/>
        <v>1120.3238180098756</v>
      </c>
    </row>
    <row r="85" spans="1:28" ht="15.75" thickBot="1">
      <c r="A85" s="39" t="s">
        <v>291</v>
      </c>
      <c r="B85" s="44" t="s">
        <v>292</v>
      </c>
      <c r="C85" s="122">
        <v>84</v>
      </c>
      <c r="D85" s="123">
        <f>C85/C66</f>
        <v>0.0015471778738829008</v>
      </c>
      <c r="E85" s="120">
        <f t="shared" si="65"/>
        <v>3.5476190476190474</v>
      </c>
      <c r="F85" s="19">
        <f t="shared" si="66"/>
        <v>298</v>
      </c>
      <c r="G85" s="122">
        <v>382</v>
      </c>
      <c r="H85" s="123">
        <f>G85/G66</f>
        <v>0.003980450901101665</v>
      </c>
      <c r="I85" s="120">
        <f t="shared" si="67"/>
        <v>-0.481675392670157</v>
      </c>
      <c r="J85" s="19">
        <f t="shared" si="68"/>
        <v>-184</v>
      </c>
      <c r="K85" s="63">
        <v>198</v>
      </c>
      <c r="L85" s="123">
        <f>K85/K66</f>
        <v>0.001769146993178768</v>
      </c>
      <c r="M85" s="120">
        <f t="shared" si="69"/>
        <v>-0.030303030303030276</v>
      </c>
      <c r="N85" s="19">
        <f t="shared" si="70"/>
        <v>-6</v>
      </c>
      <c r="O85" s="61">
        <v>192</v>
      </c>
      <c r="P85" s="123">
        <f>O85/O66</f>
        <v>0.002153770219639692</v>
      </c>
      <c r="Q85" s="121">
        <f t="shared" si="71"/>
        <v>1.0118802082152867</v>
      </c>
      <c r="R85" s="121">
        <v>0.12</v>
      </c>
      <c r="S85" s="121"/>
      <c r="T85" s="137">
        <f t="shared" si="57"/>
        <v>215.04</v>
      </c>
      <c r="U85" s="137">
        <f t="shared" si="58"/>
        <v>240.8448</v>
      </c>
      <c r="V85" s="137">
        <f t="shared" si="40"/>
        <v>269.746176</v>
      </c>
      <c r="W85" s="137">
        <f t="shared" si="59"/>
        <v>302.11571712</v>
      </c>
      <c r="X85" s="137">
        <f t="shared" si="60"/>
        <v>338.3696031744</v>
      </c>
      <c r="Y85" s="137">
        <f t="shared" si="61"/>
        <v>378.973955555328</v>
      </c>
      <c r="Z85" s="137">
        <f t="shared" si="62"/>
        <v>424.4508302219674</v>
      </c>
      <c r="AA85" s="137">
        <f t="shared" si="63"/>
        <v>475.3849298486035</v>
      </c>
      <c r="AB85" s="61">
        <f t="shared" si="64"/>
        <v>532.431121430436</v>
      </c>
    </row>
    <row r="86" spans="1:28" ht="15">
      <c r="A86" s="34" t="s">
        <v>293</v>
      </c>
      <c r="B86" s="29" t="s">
        <v>294</v>
      </c>
      <c r="C86" s="122">
        <v>50</v>
      </c>
      <c r="D86" s="123">
        <f>C86/C66</f>
        <v>0.0009209392106445838</v>
      </c>
      <c r="E86" s="120">
        <f t="shared" si="65"/>
        <v>48.34</v>
      </c>
      <c r="F86" s="19">
        <f t="shared" si="66"/>
        <v>2417</v>
      </c>
      <c r="G86" s="122">
        <v>2467</v>
      </c>
      <c r="H86" s="123">
        <f>G86/G66</f>
        <v>0.025706210400570174</v>
      </c>
      <c r="I86" s="120">
        <f t="shared" si="67"/>
        <v>0.41264693960275634</v>
      </c>
      <c r="J86" s="19">
        <f t="shared" si="68"/>
        <v>1018</v>
      </c>
      <c r="K86" s="63">
        <v>3485</v>
      </c>
      <c r="L86" s="123">
        <f>K86/K66</f>
        <v>0.031138774097111143</v>
      </c>
      <c r="M86" s="120">
        <f t="shared" si="69"/>
        <v>-0.2057388809182209</v>
      </c>
      <c r="N86" s="19">
        <f t="shared" si="70"/>
        <v>-717</v>
      </c>
      <c r="O86" s="61">
        <v>2768</v>
      </c>
      <c r="P86" s="123">
        <f>O86/O66</f>
        <v>0.031050187333138895</v>
      </c>
      <c r="Q86" s="121">
        <f t="shared" si="71"/>
        <v>16.18230268622818</v>
      </c>
      <c r="R86" s="121">
        <v>0.12</v>
      </c>
      <c r="S86" s="121"/>
      <c r="T86" s="137">
        <f t="shared" si="57"/>
        <v>3100.16</v>
      </c>
      <c r="U86" s="137">
        <f t="shared" si="58"/>
        <v>3472.1791999999996</v>
      </c>
      <c r="V86" s="137">
        <f t="shared" si="40"/>
        <v>3888.8407039999993</v>
      </c>
      <c r="W86" s="137">
        <f t="shared" si="59"/>
        <v>4355.50158848</v>
      </c>
      <c r="X86" s="137">
        <f t="shared" si="60"/>
        <v>4878.1617790976</v>
      </c>
      <c r="Y86" s="137">
        <f t="shared" si="61"/>
        <v>5463.541192589311</v>
      </c>
      <c r="Z86" s="137">
        <f t="shared" si="62"/>
        <v>6119.1661357000285</v>
      </c>
      <c r="AA86" s="137">
        <f t="shared" si="63"/>
        <v>6853.466071984032</v>
      </c>
      <c r="AB86" s="61">
        <f t="shared" si="64"/>
        <v>7675.882000622116</v>
      </c>
    </row>
    <row r="87" spans="1:28" ht="15">
      <c r="A87" s="34" t="s">
        <v>295</v>
      </c>
      <c r="B87" s="29" t="s">
        <v>296</v>
      </c>
      <c r="C87" s="122">
        <v>115</v>
      </c>
      <c r="D87" s="123">
        <f>C87/C66</f>
        <v>0.0021181601844825425</v>
      </c>
      <c r="E87" s="120">
        <f t="shared" si="65"/>
        <v>10.582608695652175</v>
      </c>
      <c r="F87" s="19">
        <f t="shared" si="66"/>
        <v>1217</v>
      </c>
      <c r="G87" s="122">
        <v>1332</v>
      </c>
      <c r="H87" s="123">
        <f>G87/G66</f>
        <v>0.01387947801117125</v>
      </c>
      <c r="I87" s="120">
        <f t="shared" si="67"/>
        <v>-0.5675675675675675</v>
      </c>
      <c r="J87" s="19">
        <f t="shared" si="68"/>
        <v>-756</v>
      </c>
      <c r="K87" s="63">
        <v>576</v>
      </c>
      <c r="L87" s="123">
        <f>K87/K66</f>
        <v>0.005146609434701871</v>
      </c>
      <c r="M87" s="120">
        <f t="shared" si="69"/>
        <v>-0.05729166666666663</v>
      </c>
      <c r="N87" s="19">
        <f t="shared" si="70"/>
        <v>-33</v>
      </c>
      <c r="O87" s="61">
        <v>543</v>
      </c>
      <c r="P87" s="123">
        <f>O87/O66</f>
        <v>0.006091131402418504</v>
      </c>
      <c r="Q87" s="121">
        <f t="shared" si="71"/>
        <v>3.3192498204726473</v>
      </c>
      <c r="R87" s="121">
        <v>0.12</v>
      </c>
      <c r="S87" s="121"/>
      <c r="T87" s="137">
        <f t="shared" si="57"/>
        <v>608.16</v>
      </c>
      <c r="U87" s="137">
        <f t="shared" si="58"/>
        <v>681.1392</v>
      </c>
      <c r="V87" s="137">
        <f t="shared" si="40"/>
        <v>762.875904</v>
      </c>
      <c r="W87" s="137">
        <f t="shared" si="59"/>
        <v>854.42101248</v>
      </c>
      <c r="X87" s="137">
        <f t="shared" si="60"/>
        <v>956.9515339776</v>
      </c>
      <c r="Y87" s="137">
        <f t="shared" si="61"/>
        <v>1071.785718054912</v>
      </c>
      <c r="Z87" s="137">
        <f t="shared" si="62"/>
        <v>1200.4000042215014</v>
      </c>
      <c r="AA87" s="137">
        <f t="shared" si="63"/>
        <v>1344.4480047280815</v>
      </c>
      <c r="AB87" s="61">
        <f t="shared" si="64"/>
        <v>1505.7817652954514</v>
      </c>
    </row>
    <row r="88" spans="1:28" ht="15">
      <c r="A88" s="34" t="s">
        <v>297</v>
      </c>
      <c r="B88" s="29" t="s">
        <v>298</v>
      </c>
      <c r="C88" s="122">
        <v>5</v>
      </c>
      <c r="D88" s="123">
        <f>C88/C66</f>
        <v>9.209392106445837E-05</v>
      </c>
      <c r="E88" s="120">
        <f t="shared" si="65"/>
        <v>96.8</v>
      </c>
      <c r="F88" s="19">
        <f t="shared" si="66"/>
        <v>484</v>
      </c>
      <c r="G88" s="122">
        <v>489</v>
      </c>
      <c r="H88" s="123">
        <f>G88/G66</f>
        <v>0.005095393954551607</v>
      </c>
      <c r="I88" s="120">
        <f t="shared" si="67"/>
        <v>1.130879345603272</v>
      </c>
      <c r="J88" s="19">
        <f t="shared" si="68"/>
        <v>553</v>
      </c>
      <c r="K88" s="63">
        <v>1042</v>
      </c>
      <c r="L88" s="123">
        <f>K88/K66</f>
        <v>0.00931035942874887</v>
      </c>
      <c r="M88" s="120">
        <f t="shared" si="69"/>
        <v>-0.6170825335892514</v>
      </c>
      <c r="N88" s="19">
        <f t="shared" si="70"/>
        <v>-643</v>
      </c>
      <c r="O88" s="61">
        <v>399</v>
      </c>
      <c r="P88" s="123">
        <f>O88/O66</f>
        <v>0.004475803737688735</v>
      </c>
      <c r="Q88" s="121">
        <f t="shared" si="71"/>
        <v>32.43793227067134</v>
      </c>
      <c r="R88" s="121">
        <v>0.12</v>
      </c>
      <c r="S88" s="121"/>
      <c r="T88" s="137">
        <f t="shared" si="57"/>
        <v>446.88</v>
      </c>
      <c r="U88" s="137">
        <f t="shared" si="58"/>
        <v>500.5056</v>
      </c>
      <c r="V88" s="137">
        <f t="shared" si="40"/>
        <v>560.566272</v>
      </c>
      <c r="W88" s="137">
        <f t="shared" si="59"/>
        <v>627.83422464</v>
      </c>
      <c r="X88" s="137">
        <f t="shared" si="60"/>
        <v>703.1743315968</v>
      </c>
      <c r="Y88" s="137">
        <f t="shared" si="61"/>
        <v>787.555251388416</v>
      </c>
      <c r="Z88" s="137">
        <f t="shared" si="62"/>
        <v>882.0618815550258</v>
      </c>
      <c r="AA88" s="137">
        <f t="shared" si="63"/>
        <v>987.909307341629</v>
      </c>
      <c r="AB88" s="61">
        <f t="shared" si="64"/>
        <v>1106.4584242226244</v>
      </c>
    </row>
    <row r="89" spans="1:28" ht="15">
      <c r="A89" s="34" t="s">
        <v>299</v>
      </c>
      <c r="B89" s="29" t="s">
        <v>300</v>
      </c>
      <c r="C89" s="122">
        <v>0</v>
      </c>
      <c r="D89" s="123">
        <f>C89/C66</f>
        <v>0</v>
      </c>
      <c r="E89" s="120" t="e">
        <f t="shared" si="65"/>
        <v>#DIV/0!</v>
      </c>
      <c r="F89" s="19">
        <f t="shared" si="66"/>
        <v>31</v>
      </c>
      <c r="G89" s="122">
        <v>31</v>
      </c>
      <c r="H89" s="123">
        <f>G89/G66</f>
        <v>0.0003230208846443759</v>
      </c>
      <c r="I89" s="120">
        <f t="shared" si="67"/>
        <v>-0.8387096774193549</v>
      </c>
      <c r="J89" s="19">
        <f t="shared" si="68"/>
        <v>-26</v>
      </c>
      <c r="K89" s="63">
        <v>5</v>
      </c>
      <c r="L89" s="123">
        <f>K89/K66</f>
        <v>4.467542912067596E-05</v>
      </c>
      <c r="M89" s="120">
        <f t="shared" si="69"/>
        <v>0.19999999999999996</v>
      </c>
      <c r="N89" s="19">
        <f t="shared" si="70"/>
        <v>1</v>
      </c>
      <c r="O89" s="61">
        <v>6</v>
      </c>
      <c r="P89" s="123">
        <f>O89/O66</f>
        <v>6.730531936374038E-05</v>
      </c>
      <c r="Q89" s="121" t="e">
        <f t="shared" si="71"/>
        <v>#DIV/0!</v>
      </c>
      <c r="R89" s="121">
        <v>0.12</v>
      </c>
      <c r="S89" s="121"/>
      <c r="T89" s="137">
        <f t="shared" si="57"/>
        <v>6.72</v>
      </c>
      <c r="U89" s="137">
        <f t="shared" si="58"/>
        <v>7.5264</v>
      </c>
      <c r="V89" s="137">
        <f t="shared" si="40"/>
        <v>8.429568</v>
      </c>
      <c r="W89" s="137">
        <f t="shared" si="59"/>
        <v>9.44111616</v>
      </c>
      <c r="X89" s="137">
        <f t="shared" si="60"/>
        <v>10.5740500992</v>
      </c>
      <c r="Y89" s="137">
        <f t="shared" si="61"/>
        <v>11.842936111104</v>
      </c>
      <c r="Z89" s="137">
        <f t="shared" si="62"/>
        <v>13.264088444436481</v>
      </c>
      <c r="AA89" s="137">
        <f t="shared" si="63"/>
        <v>14.85577905776886</v>
      </c>
      <c r="AB89" s="61">
        <f t="shared" si="64"/>
        <v>16.638472544701123</v>
      </c>
    </row>
    <row r="90" spans="1:28" ht="15">
      <c r="A90" s="34" t="s">
        <v>301</v>
      </c>
      <c r="B90" s="35" t="s">
        <v>302</v>
      </c>
      <c r="C90" s="122">
        <v>0</v>
      </c>
      <c r="D90" s="123">
        <f>C90/C66</f>
        <v>0</v>
      </c>
      <c r="E90" s="120" t="e">
        <f t="shared" si="65"/>
        <v>#DIV/0!</v>
      </c>
      <c r="F90" s="19">
        <f t="shared" si="66"/>
        <v>130</v>
      </c>
      <c r="G90" s="122">
        <v>130</v>
      </c>
      <c r="H90" s="123">
        <f>G90/G66</f>
        <v>0.0013546037097989959</v>
      </c>
      <c r="I90" s="120">
        <f t="shared" si="67"/>
        <v>-0.22307692307692306</v>
      </c>
      <c r="J90" s="19">
        <f t="shared" si="68"/>
        <v>-29</v>
      </c>
      <c r="K90" s="63">
        <v>101</v>
      </c>
      <c r="L90" s="123">
        <f>K90/K66</f>
        <v>0.0009024436682376544</v>
      </c>
      <c r="M90" s="120">
        <f t="shared" si="69"/>
        <v>0.13861386138613851</v>
      </c>
      <c r="N90" s="19">
        <f t="shared" si="70"/>
        <v>14</v>
      </c>
      <c r="O90" s="61">
        <v>115</v>
      </c>
      <c r="P90" s="123">
        <f>O90/O66</f>
        <v>0.0012900186211383573</v>
      </c>
      <c r="Q90" s="121" t="e">
        <f t="shared" si="71"/>
        <v>#DIV/0!</v>
      </c>
      <c r="R90" s="121">
        <v>0.12</v>
      </c>
      <c r="S90" s="121"/>
      <c r="T90" s="137">
        <f t="shared" si="57"/>
        <v>128.8</v>
      </c>
      <c r="U90" s="137">
        <f t="shared" si="58"/>
        <v>144.256</v>
      </c>
      <c r="V90" s="137">
        <f t="shared" si="40"/>
        <v>161.56672</v>
      </c>
      <c r="W90" s="137">
        <f t="shared" si="59"/>
        <v>180.9547264</v>
      </c>
      <c r="X90" s="137">
        <f t="shared" si="60"/>
        <v>202.669293568</v>
      </c>
      <c r="Y90" s="137">
        <f t="shared" si="61"/>
        <v>226.98960879615998</v>
      </c>
      <c r="Z90" s="137">
        <f t="shared" si="62"/>
        <v>254.2283618516992</v>
      </c>
      <c r="AA90" s="137">
        <f t="shared" si="63"/>
        <v>284.7357652739031</v>
      </c>
      <c r="AB90" s="61">
        <f t="shared" si="64"/>
        <v>318.90405710677146</v>
      </c>
    </row>
    <row r="91" spans="1:28" ht="15">
      <c r="A91" s="34" t="s">
        <v>303</v>
      </c>
      <c r="B91" s="35" t="s">
        <v>304</v>
      </c>
      <c r="C91" s="122">
        <v>222</v>
      </c>
      <c r="D91" s="123">
        <f>C91/C66</f>
        <v>0.004088970095261952</v>
      </c>
      <c r="E91" s="120">
        <f t="shared" si="65"/>
        <v>6.95045045045045</v>
      </c>
      <c r="F91" s="19">
        <f t="shared" si="66"/>
        <v>1543</v>
      </c>
      <c r="G91" s="122">
        <v>1765</v>
      </c>
      <c r="H91" s="123">
        <f>G91/G66</f>
        <v>0.018391350367655598</v>
      </c>
      <c r="I91" s="120">
        <f t="shared" si="67"/>
        <v>-0.1201133144475921</v>
      </c>
      <c r="J91" s="19">
        <f t="shared" si="68"/>
        <v>-212</v>
      </c>
      <c r="K91" s="63">
        <v>1553</v>
      </c>
      <c r="L91" s="123">
        <f>K91/K66</f>
        <v>0.013876188284881952</v>
      </c>
      <c r="M91" s="120">
        <f t="shared" si="69"/>
        <v>-0.17900837089504185</v>
      </c>
      <c r="N91" s="19">
        <f t="shared" si="70"/>
        <v>-278</v>
      </c>
      <c r="O91" s="61">
        <v>1275</v>
      </c>
      <c r="P91" s="123">
        <f>O91/O66</f>
        <v>0.014302380364794831</v>
      </c>
      <c r="Q91" s="121">
        <f t="shared" si="71"/>
        <v>2.217109588369272</v>
      </c>
      <c r="R91" s="121">
        <v>0.12</v>
      </c>
      <c r="S91" s="121"/>
      <c r="T91" s="137">
        <f t="shared" si="57"/>
        <v>1428</v>
      </c>
      <c r="U91" s="137">
        <f t="shared" si="58"/>
        <v>1599.36</v>
      </c>
      <c r="V91" s="137">
        <f t="shared" si="40"/>
        <v>1791.2831999999999</v>
      </c>
      <c r="W91" s="137">
        <f t="shared" si="59"/>
        <v>2006.2371839999998</v>
      </c>
      <c r="X91" s="137">
        <f t="shared" si="60"/>
        <v>2246.9856460799997</v>
      </c>
      <c r="Y91" s="137">
        <f t="shared" si="61"/>
        <v>2516.6239236096</v>
      </c>
      <c r="Z91" s="137">
        <f t="shared" si="62"/>
        <v>2818.618794442752</v>
      </c>
      <c r="AA91" s="137">
        <f t="shared" si="63"/>
        <v>3156.853049775882</v>
      </c>
      <c r="AB91" s="61">
        <f t="shared" si="64"/>
        <v>3535.6754157489877</v>
      </c>
    </row>
    <row r="92" spans="1:28" ht="15">
      <c r="A92" s="34" t="s">
        <v>305</v>
      </c>
      <c r="B92" s="35" t="s">
        <v>306</v>
      </c>
      <c r="C92" s="122">
        <v>10</v>
      </c>
      <c r="D92" s="123">
        <f>C92/C66</f>
        <v>0.00018418784212891675</v>
      </c>
      <c r="E92" s="120">
        <f t="shared" si="65"/>
        <v>0.040000000000000036</v>
      </c>
      <c r="F92" s="19">
        <f t="shared" si="66"/>
        <v>0.40000000000000036</v>
      </c>
      <c r="G92" s="122">
        <v>10.4</v>
      </c>
      <c r="H92" s="123">
        <f>G92/G66</f>
        <v>0.00010836829678391967</v>
      </c>
      <c r="I92" s="120">
        <f t="shared" si="67"/>
        <v>-1</v>
      </c>
      <c r="J92" s="19">
        <f t="shared" si="68"/>
        <v>-10.4</v>
      </c>
      <c r="K92" s="63">
        <v>0</v>
      </c>
      <c r="L92" s="123">
        <f>K92/K66</f>
        <v>0</v>
      </c>
      <c r="M92" s="120" t="e">
        <f t="shared" si="69"/>
        <v>#DIV/0!</v>
      </c>
      <c r="N92" s="19">
        <f t="shared" si="70"/>
        <v>0</v>
      </c>
      <c r="O92" s="61">
        <v>0</v>
      </c>
      <c r="P92" s="123">
        <f>O92/O66</f>
        <v>0</v>
      </c>
      <c r="Q92" s="121" t="e">
        <f t="shared" si="71"/>
        <v>#DIV/0!</v>
      </c>
      <c r="R92" s="121">
        <v>0.12</v>
      </c>
      <c r="S92" s="121"/>
      <c r="T92" s="137">
        <f t="shared" si="57"/>
        <v>0</v>
      </c>
      <c r="U92" s="137">
        <f t="shared" si="58"/>
        <v>0</v>
      </c>
      <c r="V92" s="137">
        <f t="shared" si="40"/>
        <v>0</v>
      </c>
      <c r="W92" s="137">
        <f t="shared" si="59"/>
        <v>0</v>
      </c>
      <c r="X92" s="137">
        <f t="shared" si="60"/>
        <v>0</v>
      </c>
      <c r="Y92" s="137">
        <f t="shared" si="61"/>
        <v>0</v>
      </c>
      <c r="Z92" s="137">
        <f t="shared" si="62"/>
        <v>0</v>
      </c>
      <c r="AA92" s="137">
        <f t="shared" si="63"/>
        <v>0</v>
      </c>
      <c r="AB92" s="61">
        <f t="shared" si="64"/>
        <v>0</v>
      </c>
    </row>
    <row r="93" spans="1:28" ht="15">
      <c r="A93" s="34" t="s">
        <v>307</v>
      </c>
      <c r="B93" s="35" t="s">
        <v>308</v>
      </c>
      <c r="C93" s="122">
        <v>10.4</v>
      </c>
      <c r="D93" s="123">
        <f>C93/C66</f>
        <v>0.00019155535581407343</v>
      </c>
      <c r="E93" s="120">
        <f t="shared" si="65"/>
        <v>2.115384615384615</v>
      </c>
      <c r="F93" s="19">
        <f t="shared" si="66"/>
        <v>22</v>
      </c>
      <c r="G93" s="122">
        <v>32.4</v>
      </c>
      <c r="H93" s="123">
        <f>G93/G66</f>
        <v>0.0003376089245960574</v>
      </c>
      <c r="I93" s="120">
        <f t="shared" si="67"/>
        <v>38.074074074074076</v>
      </c>
      <c r="J93" s="19">
        <f t="shared" si="68"/>
        <v>1233.6</v>
      </c>
      <c r="K93" s="63">
        <v>1266</v>
      </c>
      <c r="L93" s="123">
        <f>K93/K66</f>
        <v>0.011311818653355152</v>
      </c>
      <c r="M93" s="120">
        <f t="shared" si="69"/>
        <v>0.05371248025276465</v>
      </c>
      <c r="N93" s="19">
        <f t="shared" si="70"/>
        <v>68</v>
      </c>
      <c r="O93" s="61">
        <v>1334</v>
      </c>
      <c r="P93" s="123">
        <f>O93/O66</f>
        <v>0.014964216005204945</v>
      </c>
      <c r="Q93" s="121">
        <f t="shared" si="71"/>
        <v>13.414390389903817</v>
      </c>
      <c r="R93" s="121">
        <v>0.12</v>
      </c>
      <c r="S93" s="121"/>
      <c r="T93" s="137">
        <f t="shared" si="57"/>
        <v>1494.08</v>
      </c>
      <c r="U93" s="137">
        <f t="shared" si="58"/>
        <v>1673.3696</v>
      </c>
      <c r="V93" s="137">
        <f t="shared" si="40"/>
        <v>1874.173952</v>
      </c>
      <c r="W93" s="137">
        <f t="shared" si="59"/>
        <v>2099.07482624</v>
      </c>
      <c r="X93" s="137">
        <f t="shared" si="60"/>
        <v>2350.9638053888</v>
      </c>
      <c r="Y93" s="137">
        <f t="shared" si="61"/>
        <v>2633.0794620354563</v>
      </c>
      <c r="Z93" s="137">
        <f t="shared" si="62"/>
        <v>2949.048997479711</v>
      </c>
      <c r="AA93" s="137">
        <f t="shared" si="63"/>
        <v>3302.9348771772766</v>
      </c>
      <c r="AB93" s="61">
        <f t="shared" si="64"/>
        <v>3699.2870624385496</v>
      </c>
    </row>
    <row r="94" spans="1:28" ht="15">
      <c r="A94" s="34" t="s">
        <v>309</v>
      </c>
      <c r="B94" s="35" t="s">
        <v>310</v>
      </c>
      <c r="C94" s="122">
        <v>0</v>
      </c>
      <c r="D94" s="123">
        <f>C94/C66</f>
        <v>0</v>
      </c>
      <c r="E94" s="120" t="e">
        <f t="shared" si="65"/>
        <v>#DIV/0!</v>
      </c>
      <c r="F94" s="19">
        <f t="shared" si="66"/>
        <v>0</v>
      </c>
      <c r="G94" s="122">
        <v>0</v>
      </c>
      <c r="H94" s="123">
        <f>G94/G66</f>
        <v>0</v>
      </c>
      <c r="I94" s="120" t="e">
        <f t="shared" si="67"/>
        <v>#DIV/0!</v>
      </c>
      <c r="J94" s="19">
        <f t="shared" si="68"/>
        <v>34</v>
      </c>
      <c r="K94" s="63">
        <v>34</v>
      </c>
      <c r="L94" s="123">
        <f>K94/K66</f>
        <v>0.0003037929180205965</v>
      </c>
      <c r="M94" s="120">
        <f t="shared" si="69"/>
        <v>10.352941176470589</v>
      </c>
      <c r="N94" s="19">
        <f t="shared" si="70"/>
        <v>352</v>
      </c>
      <c r="O94" s="61">
        <v>386</v>
      </c>
      <c r="P94" s="123">
        <f>O94/O66</f>
        <v>0.004329975545733965</v>
      </c>
      <c r="Q94" s="121" t="e">
        <f t="shared" si="71"/>
        <v>#DIV/0!</v>
      </c>
      <c r="R94" s="121">
        <v>0.12</v>
      </c>
      <c r="S94" s="121"/>
      <c r="T94" s="137">
        <f t="shared" si="57"/>
        <v>432.32</v>
      </c>
      <c r="U94" s="137">
        <f t="shared" si="58"/>
        <v>484.1984</v>
      </c>
      <c r="V94" s="137">
        <f t="shared" si="40"/>
        <v>542.302208</v>
      </c>
      <c r="W94" s="137">
        <f t="shared" si="59"/>
        <v>607.37847296</v>
      </c>
      <c r="X94" s="137">
        <f t="shared" si="60"/>
        <v>680.2638897152</v>
      </c>
      <c r="Y94" s="137">
        <f t="shared" si="61"/>
        <v>761.895556481024</v>
      </c>
      <c r="Z94" s="137">
        <f t="shared" si="62"/>
        <v>853.3230232587468</v>
      </c>
      <c r="AA94" s="137">
        <f t="shared" si="63"/>
        <v>955.7217860497965</v>
      </c>
      <c r="AB94" s="61">
        <f t="shared" si="64"/>
        <v>1070.408400375772</v>
      </c>
    </row>
    <row r="95" spans="1:28" ht="15">
      <c r="A95" s="34" t="s">
        <v>311</v>
      </c>
      <c r="B95" s="35" t="s">
        <v>312</v>
      </c>
      <c r="C95" s="122">
        <v>0</v>
      </c>
      <c r="D95" s="123">
        <f>C95/C66</f>
        <v>0</v>
      </c>
      <c r="E95" s="120" t="e">
        <f t="shared" si="65"/>
        <v>#DIV/0!</v>
      </c>
      <c r="F95" s="19">
        <f t="shared" si="66"/>
        <v>0</v>
      </c>
      <c r="G95" s="122">
        <v>0</v>
      </c>
      <c r="H95" s="123">
        <f>G95/G66</f>
        <v>0</v>
      </c>
      <c r="I95" s="120" t="e">
        <f t="shared" si="67"/>
        <v>#DIV/0!</v>
      </c>
      <c r="J95" s="19">
        <f t="shared" si="68"/>
        <v>0</v>
      </c>
      <c r="K95" s="63">
        <v>0</v>
      </c>
      <c r="L95" s="123">
        <f>K95/K66</f>
        <v>0</v>
      </c>
      <c r="M95" s="120" t="e">
        <f t="shared" si="69"/>
        <v>#DIV/0!</v>
      </c>
      <c r="N95" s="19">
        <f t="shared" si="70"/>
        <v>0</v>
      </c>
      <c r="O95" s="61">
        <v>0</v>
      </c>
      <c r="P95" s="123">
        <f>O95/O66</f>
        <v>0</v>
      </c>
      <c r="Q95" s="121" t="e">
        <f t="shared" si="71"/>
        <v>#DIV/0!</v>
      </c>
      <c r="R95" s="121">
        <v>0.12</v>
      </c>
      <c r="S95" s="121"/>
      <c r="T95" s="137">
        <f t="shared" si="57"/>
        <v>0</v>
      </c>
      <c r="U95" s="137">
        <f t="shared" si="58"/>
        <v>0</v>
      </c>
      <c r="V95" s="137">
        <f t="shared" si="40"/>
        <v>0</v>
      </c>
      <c r="W95" s="137">
        <f t="shared" si="59"/>
        <v>0</v>
      </c>
      <c r="X95" s="137">
        <f t="shared" si="60"/>
        <v>0</v>
      </c>
      <c r="Y95" s="137">
        <f t="shared" si="61"/>
        <v>0</v>
      </c>
      <c r="Z95" s="137">
        <f t="shared" si="62"/>
        <v>0</v>
      </c>
      <c r="AA95" s="137">
        <f t="shared" si="63"/>
        <v>0</v>
      </c>
      <c r="AB95" s="61">
        <f t="shared" si="64"/>
        <v>0</v>
      </c>
    </row>
    <row r="96" spans="1:28" ht="15">
      <c r="A96" s="34" t="s">
        <v>313</v>
      </c>
      <c r="B96" s="35" t="s">
        <v>314</v>
      </c>
      <c r="C96" s="122">
        <v>15</v>
      </c>
      <c r="D96" s="123">
        <f>C96/C66</f>
        <v>0.0002762817631933751</v>
      </c>
      <c r="E96" s="120">
        <f t="shared" si="65"/>
        <v>1.1333333333333333</v>
      </c>
      <c r="F96" s="19">
        <f t="shared" si="66"/>
        <v>17</v>
      </c>
      <c r="G96" s="122">
        <v>32</v>
      </c>
      <c r="H96" s="123">
        <f>G96/G66</f>
        <v>0.0003334409131812913</v>
      </c>
      <c r="I96" s="120">
        <f t="shared" si="67"/>
        <v>0.8125</v>
      </c>
      <c r="J96" s="19">
        <f t="shared" si="68"/>
        <v>26</v>
      </c>
      <c r="K96" s="63">
        <v>58</v>
      </c>
      <c r="L96" s="123">
        <f>K96/K66</f>
        <v>0.0005182349777998411</v>
      </c>
      <c r="M96" s="120">
        <f t="shared" si="69"/>
        <v>0.13793103448275867</v>
      </c>
      <c r="N96" s="19">
        <f t="shared" si="70"/>
        <v>8</v>
      </c>
      <c r="O96" s="61">
        <v>66</v>
      </c>
      <c r="P96" s="123">
        <f>O96/O66</f>
        <v>0.0007403585130011442</v>
      </c>
      <c r="Q96" s="121">
        <f t="shared" si="71"/>
        <v>0.694588122605364</v>
      </c>
      <c r="R96" s="121">
        <v>0.12</v>
      </c>
      <c r="S96" s="121"/>
      <c r="T96" s="137">
        <f t="shared" si="57"/>
        <v>73.92</v>
      </c>
      <c r="U96" s="137">
        <f t="shared" si="58"/>
        <v>82.7904</v>
      </c>
      <c r="V96" s="137">
        <f t="shared" si="40"/>
        <v>92.72524800000001</v>
      </c>
      <c r="W96" s="137">
        <f t="shared" si="59"/>
        <v>103.85227776</v>
      </c>
      <c r="X96" s="137">
        <f t="shared" si="60"/>
        <v>116.3145510912</v>
      </c>
      <c r="Y96" s="137">
        <f t="shared" si="61"/>
        <v>130.272297222144</v>
      </c>
      <c r="Z96" s="137">
        <f t="shared" si="62"/>
        <v>145.9049728888013</v>
      </c>
      <c r="AA96" s="137">
        <f t="shared" si="63"/>
        <v>163.41356963545746</v>
      </c>
      <c r="AB96" s="61">
        <f t="shared" si="64"/>
        <v>183.02319799171235</v>
      </c>
    </row>
    <row r="97" spans="1:28" ht="15">
      <c r="A97" s="34" t="s">
        <v>315</v>
      </c>
      <c r="B97" s="35" t="s">
        <v>316</v>
      </c>
      <c r="C97" s="122">
        <v>0</v>
      </c>
      <c r="D97" s="123">
        <f>C97/C66</f>
        <v>0</v>
      </c>
      <c r="E97" s="120" t="e">
        <f t="shared" si="65"/>
        <v>#DIV/0!</v>
      </c>
      <c r="F97" s="19">
        <f t="shared" si="66"/>
        <v>0</v>
      </c>
      <c r="G97" s="122">
        <v>0</v>
      </c>
      <c r="H97" s="123">
        <f>G97/G66</f>
        <v>0</v>
      </c>
      <c r="I97" s="120" t="e">
        <f t="shared" si="67"/>
        <v>#DIV/0!</v>
      </c>
      <c r="J97" s="19">
        <f t="shared" si="68"/>
        <v>0</v>
      </c>
      <c r="K97" s="63">
        <v>0</v>
      </c>
      <c r="L97" s="123">
        <f>K97/K66</f>
        <v>0</v>
      </c>
      <c r="M97" s="120" t="e">
        <f t="shared" si="69"/>
        <v>#DIV/0!</v>
      </c>
      <c r="N97" s="19">
        <f t="shared" si="70"/>
        <v>0</v>
      </c>
      <c r="O97" s="61">
        <v>0</v>
      </c>
      <c r="P97" s="123">
        <f>O97/O66</f>
        <v>0</v>
      </c>
      <c r="Q97" s="121" t="e">
        <f t="shared" si="71"/>
        <v>#DIV/0!</v>
      </c>
      <c r="R97" s="121">
        <v>0.12</v>
      </c>
      <c r="S97" s="121"/>
      <c r="T97" s="137">
        <f t="shared" si="57"/>
        <v>0</v>
      </c>
      <c r="U97" s="137">
        <f t="shared" si="58"/>
        <v>0</v>
      </c>
      <c r="V97" s="137">
        <f t="shared" si="40"/>
        <v>0</v>
      </c>
      <c r="W97" s="137">
        <f t="shared" si="59"/>
        <v>0</v>
      </c>
      <c r="X97" s="137">
        <f t="shared" si="60"/>
        <v>0</v>
      </c>
      <c r="Y97" s="137">
        <f t="shared" si="61"/>
        <v>0</v>
      </c>
      <c r="Z97" s="137">
        <f t="shared" si="62"/>
        <v>0</v>
      </c>
      <c r="AA97" s="137">
        <f t="shared" si="63"/>
        <v>0</v>
      </c>
      <c r="AB97" s="61">
        <f t="shared" si="64"/>
        <v>0</v>
      </c>
    </row>
    <row r="98" spans="1:28" ht="15">
      <c r="A98" s="34" t="s">
        <v>317</v>
      </c>
      <c r="B98" s="35" t="s">
        <v>318</v>
      </c>
      <c r="C98" s="122">
        <v>50</v>
      </c>
      <c r="D98" s="123">
        <f>C98/C66</f>
        <v>0.0009209392106445838</v>
      </c>
      <c r="E98" s="120">
        <f t="shared" si="65"/>
        <v>-1</v>
      </c>
      <c r="F98" s="19">
        <f t="shared" si="66"/>
        <v>-50</v>
      </c>
      <c r="G98" s="122">
        <v>0</v>
      </c>
      <c r="H98" s="123">
        <f>G98/G66</f>
        <v>0</v>
      </c>
      <c r="I98" s="120" t="e">
        <f t="shared" si="67"/>
        <v>#DIV/0!</v>
      </c>
      <c r="J98" s="19">
        <f t="shared" si="68"/>
        <v>60</v>
      </c>
      <c r="K98" s="63">
        <v>60</v>
      </c>
      <c r="L98" s="123">
        <f>K98/K66</f>
        <v>0.0005361051494481115</v>
      </c>
      <c r="M98" s="120">
        <f t="shared" si="69"/>
        <v>0.1333333333333333</v>
      </c>
      <c r="N98" s="19">
        <f t="shared" si="70"/>
        <v>8</v>
      </c>
      <c r="O98" s="61">
        <v>68</v>
      </c>
      <c r="P98" s="123">
        <f>O98/O66</f>
        <v>0.0007627936194557243</v>
      </c>
      <c r="Q98" s="121" t="e">
        <f t="shared" si="71"/>
        <v>#DIV/0!</v>
      </c>
      <c r="R98" s="121">
        <v>0.12</v>
      </c>
      <c r="S98" s="121"/>
      <c r="T98" s="137">
        <f t="shared" si="57"/>
        <v>76.16</v>
      </c>
      <c r="U98" s="137">
        <f t="shared" si="58"/>
        <v>85.2992</v>
      </c>
      <c r="V98" s="137">
        <f t="shared" si="40"/>
        <v>95.535104</v>
      </c>
      <c r="W98" s="137">
        <f t="shared" si="59"/>
        <v>106.99931648</v>
      </c>
      <c r="X98" s="137">
        <f t="shared" si="60"/>
        <v>119.8392344576</v>
      </c>
      <c r="Y98" s="137">
        <f t="shared" si="61"/>
        <v>134.219942592512</v>
      </c>
      <c r="Z98" s="137">
        <f t="shared" si="62"/>
        <v>150.32633570361344</v>
      </c>
      <c r="AA98" s="137">
        <f t="shared" si="63"/>
        <v>168.36549598804706</v>
      </c>
      <c r="AB98" s="61">
        <f t="shared" si="64"/>
        <v>188.5693555066127</v>
      </c>
    </row>
    <row r="99" spans="1:28" ht="15">
      <c r="A99" s="34" t="s">
        <v>319</v>
      </c>
      <c r="B99" s="35" t="s">
        <v>320</v>
      </c>
      <c r="C99" s="122">
        <v>0</v>
      </c>
      <c r="D99" s="123">
        <f>C99/C66</f>
        <v>0</v>
      </c>
      <c r="E99" s="120" t="e">
        <f t="shared" si="65"/>
        <v>#DIV/0!</v>
      </c>
      <c r="F99" s="19">
        <f t="shared" si="66"/>
        <v>54</v>
      </c>
      <c r="G99" s="122">
        <v>54</v>
      </c>
      <c r="H99" s="123">
        <f>G99/G66</f>
        <v>0.0005626815409934291</v>
      </c>
      <c r="I99" s="120">
        <f t="shared" si="67"/>
        <v>14.648148148148149</v>
      </c>
      <c r="J99" s="19">
        <f t="shared" si="68"/>
        <v>791</v>
      </c>
      <c r="K99" s="63">
        <v>845</v>
      </c>
      <c r="L99" s="123">
        <f>K99/K66</f>
        <v>0.007550147521394237</v>
      </c>
      <c r="M99" s="120">
        <f t="shared" si="69"/>
        <v>-0.02721893491124261</v>
      </c>
      <c r="N99" s="19">
        <f t="shared" si="70"/>
        <v>-23</v>
      </c>
      <c r="O99" s="61">
        <v>822</v>
      </c>
      <c r="P99" s="123">
        <f>O99/O66</f>
        <v>0.009220828752832432</v>
      </c>
      <c r="Q99" s="121" t="e">
        <f t="shared" si="71"/>
        <v>#DIV/0!</v>
      </c>
      <c r="R99" s="121">
        <v>0.12</v>
      </c>
      <c r="S99" s="121"/>
      <c r="T99" s="137">
        <f t="shared" si="57"/>
        <v>920.64</v>
      </c>
      <c r="U99" s="137">
        <f t="shared" si="58"/>
        <v>1031.1168</v>
      </c>
      <c r="V99" s="137">
        <f t="shared" si="40"/>
        <v>1154.8508160000001</v>
      </c>
      <c r="W99" s="137">
        <f t="shared" si="59"/>
        <v>1293.4329139200001</v>
      </c>
      <c r="X99" s="137">
        <f t="shared" si="60"/>
        <v>1448.6448635904</v>
      </c>
      <c r="Y99" s="137">
        <f t="shared" si="61"/>
        <v>1622.4822472212481</v>
      </c>
      <c r="Z99" s="137">
        <f t="shared" si="62"/>
        <v>1817.1801168877978</v>
      </c>
      <c r="AA99" s="137">
        <f t="shared" si="63"/>
        <v>2035.2417309143334</v>
      </c>
      <c r="AB99" s="61">
        <f t="shared" si="64"/>
        <v>2279.4707386240534</v>
      </c>
    </row>
    <row r="100" spans="1:28" ht="15">
      <c r="A100" s="34" t="s">
        <v>321</v>
      </c>
      <c r="B100" s="35" t="s">
        <v>322</v>
      </c>
      <c r="C100" s="122">
        <v>0</v>
      </c>
      <c r="D100" s="123">
        <f>C100/C66</f>
        <v>0</v>
      </c>
      <c r="E100" s="120" t="e">
        <f t="shared" si="65"/>
        <v>#DIV/0!</v>
      </c>
      <c r="F100" s="19">
        <f t="shared" si="66"/>
        <v>0</v>
      </c>
      <c r="G100" s="122">
        <v>0</v>
      </c>
      <c r="H100" s="123">
        <f>G100/G66</f>
        <v>0</v>
      </c>
      <c r="I100" s="120" t="e">
        <f t="shared" si="67"/>
        <v>#DIV/0!</v>
      </c>
      <c r="J100" s="19">
        <f t="shared" si="68"/>
        <v>0</v>
      </c>
      <c r="K100" s="63">
        <v>0</v>
      </c>
      <c r="L100" s="123">
        <f>K100/K66</f>
        <v>0</v>
      </c>
      <c r="M100" s="120" t="e">
        <f t="shared" si="69"/>
        <v>#DIV/0!</v>
      </c>
      <c r="N100" s="19">
        <f t="shared" si="70"/>
        <v>0</v>
      </c>
      <c r="O100" s="61">
        <v>0</v>
      </c>
      <c r="P100" s="123">
        <f>O100/O66</f>
        <v>0</v>
      </c>
      <c r="Q100" s="121" t="e">
        <f t="shared" si="71"/>
        <v>#DIV/0!</v>
      </c>
      <c r="R100" s="121">
        <v>0.12</v>
      </c>
      <c r="S100" s="121"/>
      <c r="T100" s="137">
        <f t="shared" si="57"/>
        <v>0</v>
      </c>
      <c r="U100" s="137">
        <f t="shared" si="58"/>
        <v>0</v>
      </c>
      <c r="V100" s="137">
        <f t="shared" si="40"/>
        <v>0</v>
      </c>
      <c r="W100" s="137">
        <f t="shared" si="59"/>
        <v>0</v>
      </c>
      <c r="X100" s="137">
        <f t="shared" si="60"/>
        <v>0</v>
      </c>
      <c r="Y100" s="137">
        <f t="shared" si="61"/>
        <v>0</v>
      </c>
      <c r="Z100" s="137">
        <f t="shared" si="62"/>
        <v>0</v>
      </c>
      <c r="AA100" s="137">
        <f t="shared" si="63"/>
        <v>0</v>
      </c>
      <c r="AB100" s="61">
        <f t="shared" si="64"/>
        <v>0</v>
      </c>
    </row>
    <row r="101" spans="1:28" ht="15">
      <c r="A101" s="34" t="s">
        <v>323</v>
      </c>
      <c r="B101" s="35" t="s">
        <v>324</v>
      </c>
      <c r="C101" s="122">
        <v>0</v>
      </c>
      <c r="D101" s="123">
        <f>C101/C66</f>
        <v>0</v>
      </c>
      <c r="E101" s="120" t="e">
        <f t="shared" si="65"/>
        <v>#DIV/0!</v>
      </c>
      <c r="F101" s="19">
        <f t="shared" si="66"/>
        <v>0</v>
      </c>
      <c r="G101" s="122"/>
      <c r="H101" s="123">
        <f>G101/G66</f>
        <v>0</v>
      </c>
      <c r="I101" s="120" t="e">
        <f t="shared" si="67"/>
        <v>#DIV/0!</v>
      </c>
      <c r="J101" s="19">
        <f t="shared" si="68"/>
        <v>0</v>
      </c>
      <c r="K101" s="63">
        <v>0</v>
      </c>
      <c r="L101" s="123">
        <f>K101/K66</f>
        <v>0</v>
      </c>
      <c r="M101" s="120" t="e">
        <f t="shared" si="69"/>
        <v>#DIV/0!</v>
      </c>
      <c r="N101" s="19">
        <f t="shared" si="70"/>
        <v>0</v>
      </c>
      <c r="O101" s="61">
        <v>0</v>
      </c>
      <c r="P101" s="123">
        <f>O101/O66</f>
        <v>0</v>
      </c>
      <c r="Q101" s="121" t="e">
        <f t="shared" si="71"/>
        <v>#DIV/0!</v>
      </c>
      <c r="R101" s="121">
        <v>0.12</v>
      </c>
      <c r="S101" s="121"/>
      <c r="T101" s="137">
        <f t="shared" si="57"/>
        <v>0</v>
      </c>
      <c r="U101" s="137">
        <f t="shared" si="58"/>
        <v>0</v>
      </c>
      <c r="V101" s="137">
        <f t="shared" si="40"/>
        <v>0</v>
      </c>
      <c r="W101" s="137">
        <f t="shared" si="59"/>
        <v>0</v>
      </c>
      <c r="X101" s="137">
        <f t="shared" si="60"/>
        <v>0</v>
      </c>
      <c r="Y101" s="137">
        <f t="shared" si="61"/>
        <v>0</v>
      </c>
      <c r="Z101" s="137">
        <f t="shared" si="62"/>
        <v>0</v>
      </c>
      <c r="AA101" s="137">
        <f t="shared" si="63"/>
        <v>0</v>
      </c>
      <c r="AB101" s="61">
        <f t="shared" si="64"/>
        <v>0</v>
      </c>
    </row>
    <row r="102" spans="1:28" ht="15">
      <c r="A102" s="34" t="s">
        <v>325</v>
      </c>
      <c r="B102" s="35" t="s">
        <v>326</v>
      </c>
      <c r="C102" s="122">
        <v>8590</v>
      </c>
      <c r="D102" s="123">
        <f>C102/C66</f>
        <v>0.1582173563887395</v>
      </c>
      <c r="E102" s="120">
        <f t="shared" si="65"/>
        <v>-0.941840279394645</v>
      </c>
      <c r="F102" s="19">
        <f t="shared" si="66"/>
        <v>-8090.408</v>
      </c>
      <c r="G102" s="122">
        <v>499.592</v>
      </c>
      <c r="H102" s="123">
        <f>G102/G66</f>
        <v>0.005205762896814615</v>
      </c>
      <c r="I102" s="120">
        <f t="shared" si="67"/>
        <v>-1</v>
      </c>
      <c r="J102" s="19">
        <f t="shared" si="68"/>
        <v>-499.592</v>
      </c>
      <c r="K102" s="63">
        <v>0</v>
      </c>
      <c r="L102" s="123">
        <f>K102/K66</f>
        <v>0</v>
      </c>
      <c r="M102" s="120" t="e">
        <f t="shared" si="69"/>
        <v>#DIV/0!</v>
      </c>
      <c r="N102" s="19">
        <f t="shared" si="70"/>
        <v>0</v>
      </c>
      <c r="O102" s="61">
        <v>0</v>
      </c>
      <c r="P102" s="123">
        <f>O102/O66</f>
        <v>0</v>
      </c>
      <c r="Q102" s="121" t="e">
        <f t="shared" si="71"/>
        <v>#DIV/0!</v>
      </c>
      <c r="R102" s="121">
        <v>0.12</v>
      </c>
      <c r="S102" s="121"/>
      <c r="T102" s="137">
        <f t="shared" si="57"/>
        <v>0</v>
      </c>
      <c r="U102" s="137">
        <f t="shared" si="58"/>
        <v>0</v>
      </c>
      <c r="V102" s="137">
        <f t="shared" si="40"/>
        <v>0</v>
      </c>
      <c r="W102" s="137">
        <f t="shared" si="59"/>
        <v>0</v>
      </c>
      <c r="X102" s="137">
        <f t="shared" si="60"/>
        <v>0</v>
      </c>
      <c r="Y102" s="137">
        <f t="shared" si="61"/>
        <v>0</v>
      </c>
      <c r="Z102" s="137">
        <f t="shared" si="62"/>
        <v>0</v>
      </c>
      <c r="AA102" s="137">
        <f t="shared" si="63"/>
        <v>0</v>
      </c>
      <c r="AB102" s="61">
        <f t="shared" si="64"/>
        <v>0</v>
      </c>
    </row>
    <row r="103" spans="1:28" ht="15">
      <c r="A103" s="34" t="s">
        <v>327</v>
      </c>
      <c r="B103" s="35" t="s">
        <v>328</v>
      </c>
      <c r="C103" s="122">
        <v>41910</v>
      </c>
      <c r="D103" s="123">
        <f>C103/C66</f>
        <v>0.77193124636229</v>
      </c>
      <c r="E103" s="120">
        <f t="shared" si="65"/>
        <v>0.02124683846337394</v>
      </c>
      <c r="F103" s="19">
        <f t="shared" si="66"/>
        <v>890.4550000000017</v>
      </c>
      <c r="G103" s="122">
        <v>42800.455</v>
      </c>
      <c r="H103" s="123">
        <f>G103/G66</f>
        <v>0.4459819624929614</v>
      </c>
      <c r="I103" s="120">
        <f t="shared" si="67"/>
        <v>-0.22183708093757404</v>
      </c>
      <c r="J103" s="19">
        <f t="shared" si="68"/>
        <v>-9494.727999999996</v>
      </c>
      <c r="K103" s="63">
        <v>33305.727000000006</v>
      </c>
      <c r="L103" s="123">
        <f>K103/K66</f>
        <v>0.29758952918021675</v>
      </c>
      <c r="M103" s="120">
        <f t="shared" si="69"/>
        <v>-0.0156948082832723</v>
      </c>
      <c r="N103" s="19">
        <f t="shared" si="70"/>
        <v>-522.7270000000062</v>
      </c>
      <c r="O103" s="61">
        <v>32783</v>
      </c>
      <c r="P103" s="123">
        <f>O103/O66</f>
        <v>0.36774504745025016</v>
      </c>
      <c r="Q103" s="121">
        <f t="shared" si="71"/>
        <v>-0.07209501691915747</v>
      </c>
      <c r="R103" s="121">
        <v>0.12</v>
      </c>
      <c r="S103" s="121"/>
      <c r="T103" s="137">
        <f t="shared" si="57"/>
        <v>36716.96</v>
      </c>
      <c r="U103" s="137">
        <f t="shared" si="58"/>
        <v>41122.9952</v>
      </c>
      <c r="V103" s="137">
        <f t="shared" si="40"/>
        <v>46057.754623999994</v>
      </c>
      <c r="W103" s="137">
        <f t="shared" si="59"/>
        <v>51584.68517887999</v>
      </c>
      <c r="X103" s="137">
        <f t="shared" si="60"/>
        <v>57774.84740034559</v>
      </c>
      <c r="Y103" s="137">
        <f t="shared" si="61"/>
        <v>64707.829088387065</v>
      </c>
      <c r="Z103" s="137">
        <f t="shared" si="62"/>
        <v>72472.7685789935</v>
      </c>
      <c r="AA103" s="137">
        <f t="shared" si="63"/>
        <v>81169.50080847273</v>
      </c>
      <c r="AB103" s="61">
        <f t="shared" si="64"/>
        <v>90909.84090548946</v>
      </c>
    </row>
    <row r="104" spans="1:28" ht="15.75">
      <c r="A104" s="33" t="s">
        <v>329</v>
      </c>
      <c r="B104" s="45" t="s">
        <v>330</v>
      </c>
      <c r="C104" s="130">
        <v>176339</v>
      </c>
      <c r="D104" s="131">
        <f>C104/C47</f>
        <v>0.5790715447706053</v>
      </c>
      <c r="E104" s="120">
        <f t="shared" si="65"/>
        <v>-0.9843549129801121</v>
      </c>
      <c r="F104" s="19">
        <f t="shared" si="66"/>
        <v>-173580.161</v>
      </c>
      <c r="G104" s="130">
        <v>2758.839</v>
      </c>
      <c r="H104" s="131">
        <f>G104/G47</f>
        <v>0.009174207741311058</v>
      </c>
      <c r="I104" s="120">
        <f t="shared" si="67"/>
        <v>3.6734822148012265</v>
      </c>
      <c r="J104" s="19">
        <f t="shared" si="68"/>
        <v>10134.546</v>
      </c>
      <c r="K104" s="25">
        <v>12893.385</v>
      </c>
      <c r="L104" s="131">
        <f>K104/K47</f>
        <v>0.028869095108497445</v>
      </c>
      <c r="M104" s="120">
        <f t="shared" si="69"/>
        <v>1.9783489750752032</v>
      </c>
      <c r="N104" s="19">
        <f t="shared" si="70"/>
        <v>25507.614999999998</v>
      </c>
      <c r="O104" s="24">
        <v>38401</v>
      </c>
      <c r="P104" s="131">
        <f>O104/O47</f>
        <v>0.09560049989792921</v>
      </c>
      <c r="Q104" s="121">
        <f t="shared" si="71"/>
        <v>1.555825425632106</v>
      </c>
      <c r="R104" s="121">
        <v>0.096</v>
      </c>
      <c r="S104" s="121"/>
      <c r="T104" s="137">
        <f t="shared" si="57"/>
        <v>42087.496</v>
      </c>
      <c r="U104" s="137">
        <f>(T104*R104)+T104</f>
        <v>46127.895616</v>
      </c>
      <c r="V104" s="137">
        <f t="shared" si="40"/>
        <v>50556.173595136</v>
      </c>
      <c r="W104" s="137">
        <f t="shared" si="59"/>
        <v>55409.56626026906</v>
      </c>
      <c r="X104" s="137">
        <f t="shared" si="60"/>
        <v>60728.88462125489</v>
      </c>
      <c r="Y104" s="137">
        <f t="shared" si="61"/>
        <v>66558.85754489536</v>
      </c>
      <c r="Z104" s="137">
        <f t="shared" si="62"/>
        <v>72948.50786920532</v>
      </c>
      <c r="AA104" s="137">
        <f t="shared" si="63"/>
        <v>79951.56462464904</v>
      </c>
      <c r="AB104" s="61">
        <f t="shared" si="64"/>
        <v>87626.91482861535</v>
      </c>
    </row>
    <row r="105" spans="1:28" ht="15.75">
      <c r="A105" s="33" t="s">
        <v>331</v>
      </c>
      <c r="B105" s="45" t="s">
        <v>332</v>
      </c>
      <c r="C105" s="24">
        <f>SUM(C106:C111)</f>
        <v>9724</v>
      </c>
      <c r="D105" s="20">
        <f>C105/C46</f>
        <v>0.00204496094752156</v>
      </c>
      <c r="E105" s="120">
        <f t="shared" si="65"/>
        <v>4.142154051830522</v>
      </c>
      <c r="F105" s="19">
        <f t="shared" si="66"/>
        <v>40278.306</v>
      </c>
      <c r="G105" s="224">
        <f>SUM(G106:G111)</f>
        <v>50002.306</v>
      </c>
      <c r="H105" s="20">
        <f>G105/G46</f>
        <v>0.006902436649695087</v>
      </c>
      <c r="I105" s="120">
        <f t="shared" si="67"/>
        <v>0.7086932080692439</v>
      </c>
      <c r="J105" s="19">
        <f t="shared" si="68"/>
        <v>35436.294649999996</v>
      </c>
      <c r="K105" s="25">
        <f>SUM(K106:K111)</f>
        <v>85438.60065</v>
      </c>
      <c r="L105" s="20">
        <f>K105/K46</f>
        <v>0.007293008557348044</v>
      </c>
      <c r="M105" s="120">
        <f t="shared" si="69"/>
        <v>-0.18193884885449596</v>
      </c>
      <c r="N105" s="19">
        <f t="shared" si="70"/>
        <v>-15544.600649999993</v>
      </c>
      <c r="O105" s="25">
        <f>SUM(O106:O111)</f>
        <v>69894</v>
      </c>
      <c r="P105" s="20">
        <f>O105/O46</f>
        <v>0.00656969750290586</v>
      </c>
      <c r="Q105" s="121">
        <f t="shared" si="71"/>
        <v>1.5563028036817566</v>
      </c>
      <c r="R105" s="121"/>
      <c r="S105" s="121"/>
      <c r="T105" s="25">
        <f aca="true" t="shared" si="72" ref="T105:AB105">SUM(T106:T111)</f>
        <v>75485.52</v>
      </c>
      <c r="U105" s="25">
        <f t="shared" si="72"/>
        <v>81524.3616</v>
      </c>
      <c r="V105" s="25">
        <f t="shared" si="72"/>
        <v>88046.31052799999</v>
      </c>
      <c r="W105" s="25">
        <f t="shared" si="72"/>
        <v>95090.01537024</v>
      </c>
      <c r="X105" s="25">
        <f t="shared" si="72"/>
        <v>102697.2165998592</v>
      </c>
      <c r="Y105" s="25">
        <f t="shared" si="72"/>
        <v>110912.99392784794</v>
      </c>
      <c r="Z105" s="25">
        <f t="shared" si="72"/>
        <v>119786.03344207577</v>
      </c>
      <c r="AA105" s="25">
        <f t="shared" si="72"/>
        <v>129368.91611744183</v>
      </c>
      <c r="AB105" s="25">
        <f t="shared" si="72"/>
        <v>139718.42940683718</v>
      </c>
    </row>
    <row r="106" spans="1:28" ht="15">
      <c r="A106" s="34" t="s">
        <v>333</v>
      </c>
      <c r="B106" s="35" t="s">
        <v>334</v>
      </c>
      <c r="C106" s="132">
        <v>834</v>
      </c>
      <c r="D106" s="133">
        <f>C106/C105</f>
        <v>0.08576717400246812</v>
      </c>
      <c r="E106" s="120">
        <f t="shared" si="65"/>
        <v>-1</v>
      </c>
      <c r="F106" s="19">
        <f t="shared" si="66"/>
        <v>-834</v>
      </c>
      <c r="G106" s="132">
        <v>0</v>
      </c>
      <c r="H106" s="133">
        <f>G106/G105</f>
        <v>0</v>
      </c>
      <c r="I106" s="120" t="e">
        <f t="shared" si="67"/>
        <v>#DIV/0!</v>
      </c>
      <c r="J106" s="19">
        <f t="shared" si="68"/>
        <v>0</v>
      </c>
      <c r="K106" s="63">
        <v>0</v>
      </c>
      <c r="L106" s="133">
        <f>K106/K105</f>
        <v>0</v>
      </c>
      <c r="M106" s="120" t="e">
        <f t="shared" si="69"/>
        <v>#DIV/0!</v>
      </c>
      <c r="N106" s="19">
        <f t="shared" si="70"/>
        <v>108</v>
      </c>
      <c r="O106" s="61">
        <v>108</v>
      </c>
      <c r="P106" s="133">
        <f>O106/O105</f>
        <v>0.001545197012619109</v>
      </c>
      <c r="Q106" s="121" t="e">
        <f t="shared" si="71"/>
        <v>#DIV/0!</v>
      </c>
      <c r="R106" s="121">
        <v>0.08</v>
      </c>
      <c r="S106" s="121"/>
      <c r="T106" s="137">
        <f aca="true" t="shared" si="73" ref="T106:T111">(O106*R106)+O106</f>
        <v>116.64</v>
      </c>
      <c r="U106" s="137">
        <f aca="true" t="shared" si="74" ref="U106:U111">(T106*R106)+T106</f>
        <v>125.9712</v>
      </c>
      <c r="V106" s="137">
        <f t="shared" si="40"/>
        <v>136.04889599999998</v>
      </c>
      <c r="W106" s="137">
        <f aca="true" t="shared" si="75" ref="W106:W111">(V106*R106)+V106</f>
        <v>146.93280768</v>
      </c>
      <c r="X106" s="137">
        <f aca="true" t="shared" si="76" ref="X106:X111">(W106*R106)+W106</f>
        <v>158.6874322944</v>
      </c>
      <c r="Y106" s="137">
        <f aca="true" t="shared" si="77" ref="Y106:Y111">(X106*R106)+X106</f>
        <v>171.38242687795199</v>
      </c>
      <c r="Z106" s="137">
        <f aca="true" t="shared" si="78" ref="Z106:Z111">(Y106*R106)+Y106</f>
        <v>185.09302102818813</v>
      </c>
      <c r="AA106" s="137">
        <f aca="true" t="shared" si="79" ref="AA106:AA111">(Z106*R106)+Z106</f>
        <v>199.90046271044318</v>
      </c>
      <c r="AB106" s="61">
        <f aca="true" t="shared" si="80" ref="AB106:AB111">(AA106*R106)+AA106</f>
        <v>215.89249972727865</v>
      </c>
    </row>
    <row r="107" spans="1:28" ht="15">
      <c r="A107" s="34" t="s">
        <v>335</v>
      </c>
      <c r="B107" s="35" t="s">
        <v>336</v>
      </c>
      <c r="C107" s="132">
        <v>1030</v>
      </c>
      <c r="D107" s="133">
        <f>C107/C105</f>
        <v>0.10592348827642946</v>
      </c>
      <c r="E107" s="120">
        <f t="shared" si="65"/>
        <v>47.20194174757282</v>
      </c>
      <c r="F107" s="19">
        <f t="shared" si="66"/>
        <v>48618</v>
      </c>
      <c r="G107" s="132">
        <v>49648</v>
      </c>
      <c r="H107" s="133">
        <f>G107/G105</f>
        <v>0.9929142067967826</v>
      </c>
      <c r="I107" s="120">
        <f t="shared" si="67"/>
        <v>0.7208870578875282</v>
      </c>
      <c r="J107" s="19">
        <f t="shared" si="68"/>
        <v>35790.60064999999</v>
      </c>
      <c r="K107" s="63">
        <v>85438.60065</v>
      </c>
      <c r="L107" s="133">
        <f>K107/K105</f>
        <v>1</v>
      </c>
      <c r="M107" s="120">
        <f t="shared" si="69"/>
        <v>-0.18557888974507675</v>
      </c>
      <c r="N107" s="19">
        <f t="shared" si="70"/>
        <v>-15855.600649999993</v>
      </c>
      <c r="O107" s="61">
        <v>69583</v>
      </c>
      <c r="P107" s="133">
        <f>O107/O105</f>
        <v>0.9955504048988468</v>
      </c>
      <c r="Q107" s="121">
        <f t="shared" si="71"/>
        <v>15.912416638571758</v>
      </c>
      <c r="R107" s="121">
        <v>0.08</v>
      </c>
      <c r="S107" s="121"/>
      <c r="T107" s="137">
        <f t="shared" si="73"/>
        <v>75149.64</v>
      </c>
      <c r="U107" s="137">
        <f t="shared" si="74"/>
        <v>81161.6112</v>
      </c>
      <c r="V107" s="137">
        <f t="shared" si="40"/>
        <v>87654.540096</v>
      </c>
      <c r="W107" s="137">
        <f t="shared" si="75"/>
        <v>94666.90330368</v>
      </c>
      <c r="X107" s="137">
        <f t="shared" si="76"/>
        <v>102240.2555679744</v>
      </c>
      <c r="Y107" s="137">
        <f t="shared" si="77"/>
        <v>110419.47601341235</v>
      </c>
      <c r="Z107" s="137">
        <f t="shared" si="78"/>
        <v>119253.03409448534</v>
      </c>
      <c r="AA107" s="137">
        <f t="shared" si="79"/>
        <v>128793.27682204416</v>
      </c>
      <c r="AB107" s="61">
        <f t="shared" si="80"/>
        <v>139096.7389678077</v>
      </c>
    </row>
    <row r="108" spans="1:28" ht="15">
      <c r="A108" s="34" t="s">
        <v>337</v>
      </c>
      <c r="B108" s="46" t="s">
        <v>338</v>
      </c>
      <c r="C108" s="132">
        <v>10</v>
      </c>
      <c r="D108" s="133">
        <f>C108/C105</f>
        <v>0.0010283833813245578</v>
      </c>
      <c r="E108" s="120">
        <f t="shared" si="65"/>
        <v>16.7056</v>
      </c>
      <c r="F108" s="19">
        <f t="shared" si="66"/>
        <v>167.056</v>
      </c>
      <c r="G108" s="132">
        <v>177.056</v>
      </c>
      <c r="H108" s="133">
        <f>G108/G105</f>
        <v>0.003540956691077408</v>
      </c>
      <c r="I108" s="120">
        <f t="shared" si="67"/>
        <v>-1</v>
      </c>
      <c r="J108" s="19">
        <f t="shared" si="68"/>
        <v>-177.056</v>
      </c>
      <c r="K108" s="63">
        <v>0</v>
      </c>
      <c r="L108" s="133">
        <f>K108/K105</f>
        <v>0</v>
      </c>
      <c r="M108" s="120" t="e">
        <f t="shared" si="69"/>
        <v>#DIV/0!</v>
      </c>
      <c r="N108" s="19">
        <f t="shared" si="70"/>
        <v>0</v>
      </c>
      <c r="O108" s="61">
        <v>0</v>
      </c>
      <c r="P108" s="133">
        <f>O108/O105</f>
        <v>0</v>
      </c>
      <c r="Q108" s="121" t="e">
        <f t="shared" si="71"/>
        <v>#DIV/0!</v>
      </c>
      <c r="R108" s="121">
        <v>0.08</v>
      </c>
      <c r="S108" s="121"/>
      <c r="T108" s="137">
        <f t="shared" si="73"/>
        <v>0</v>
      </c>
      <c r="U108" s="137">
        <f t="shared" si="74"/>
        <v>0</v>
      </c>
      <c r="V108" s="137">
        <f t="shared" si="40"/>
        <v>0</v>
      </c>
      <c r="W108" s="137">
        <f t="shared" si="75"/>
        <v>0</v>
      </c>
      <c r="X108" s="137">
        <f t="shared" si="76"/>
        <v>0</v>
      </c>
      <c r="Y108" s="137">
        <f t="shared" si="77"/>
        <v>0</v>
      </c>
      <c r="Z108" s="137">
        <f t="shared" si="78"/>
        <v>0</v>
      </c>
      <c r="AA108" s="137">
        <f t="shared" si="79"/>
        <v>0</v>
      </c>
      <c r="AB108" s="61">
        <f t="shared" si="80"/>
        <v>0</v>
      </c>
    </row>
    <row r="109" spans="1:28" ht="15">
      <c r="A109" s="34" t="s">
        <v>339</v>
      </c>
      <c r="B109" s="46" t="s">
        <v>340</v>
      </c>
      <c r="C109" s="132">
        <v>0</v>
      </c>
      <c r="D109" s="133">
        <f>C109/C105</f>
        <v>0</v>
      </c>
      <c r="E109" s="120" t="e">
        <f t="shared" si="65"/>
        <v>#DIV/0!</v>
      </c>
      <c r="F109" s="19">
        <f t="shared" si="66"/>
        <v>13</v>
      </c>
      <c r="G109" s="132">
        <v>13</v>
      </c>
      <c r="H109" s="133">
        <f>G109/G105</f>
        <v>0.00025998800935300866</v>
      </c>
      <c r="I109" s="120">
        <f t="shared" si="67"/>
        <v>-1</v>
      </c>
      <c r="J109" s="19">
        <f t="shared" si="68"/>
        <v>-13</v>
      </c>
      <c r="K109" s="63">
        <v>0</v>
      </c>
      <c r="L109" s="133">
        <f>K109/K105</f>
        <v>0</v>
      </c>
      <c r="M109" s="120" t="e">
        <f t="shared" si="69"/>
        <v>#DIV/0!</v>
      </c>
      <c r="N109" s="19">
        <f t="shared" si="70"/>
        <v>203</v>
      </c>
      <c r="O109" s="61">
        <v>203</v>
      </c>
      <c r="P109" s="133">
        <f>O109/O105</f>
        <v>0.002904398088534066</v>
      </c>
      <c r="Q109" s="121" t="e">
        <f t="shared" si="71"/>
        <v>#DIV/0!</v>
      </c>
      <c r="R109" s="121">
        <v>0.08</v>
      </c>
      <c r="S109" s="121"/>
      <c r="T109" s="137">
        <f t="shared" si="73"/>
        <v>219.24</v>
      </c>
      <c r="U109" s="137">
        <f t="shared" si="74"/>
        <v>236.7792</v>
      </c>
      <c r="V109" s="137">
        <f t="shared" si="40"/>
        <v>255.72153600000001</v>
      </c>
      <c r="W109" s="137">
        <f t="shared" si="75"/>
        <v>276.17925888</v>
      </c>
      <c r="X109" s="137">
        <f t="shared" si="76"/>
        <v>298.2735995904</v>
      </c>
      <c r="Y109" s="137">
        <f t="shared" si="77"/>
        <v>322.135487557632</v>
      </c>
      <c r="Z109" s="137">
        <f t="shared" si="78"/>
        <v>347.90632656224255</v>
      </c>
      <c r="AA109" s="137">
        <f t="shared" si="79"/>
        <v>375.73883268722193</v>
      </c>
      <c r="AB109" s="61">
        <f t="shared" si="80"/>
        <v>405.79793930219967</v>
      </c>
    </row>
    <row r="110" spans="1:28" ht="15">
      <c r="A110" s="34" t="s">
        <v>341</v>
      </c>
      <c r="B110" s="35" t="s">
        <v>342</v>
      </c>
      <c r="C110" s="132">
        <v>339</v>
      </c>
      <c r="D110" s="133">
        <f>C110/C105</f>
        <v>0.03486219662690251</v>
      </c>
      <c r="E110" s="120">
        <f t="shared" si="65"/>
        <v>-1</v>
      </c>
      <c r="F110" s="19">
        <f t="shared" si="66"/>
        <v>-339</v>
      </c>
      <c r="G110" s="132">
        <v>0</v>
      </c>
      <c r="H110" s="133">
        <f>G110/G105</f>
        <v>0</v>
      </c>
      <c r="I110" s="120" t="e">
        <f t="shared" si="67"/>
        <v>#DIV/0!</v>
      </c>
      <c r="J110" s="19">
        <f t="shared" si="68"/>
        <v>0</v>
      </c>
      <c r="K110" s="63">
        <v>0</v>
      </c>
      <c r="L110" s="133">
        <f>K110/K105</f>
        <v>0</v>
      </c>
      <c r="M110" s="120" t="e">
        <f t="shared" si="69"/>
        <v>#DIV/0!</v>
      </c>
      <c r="N110" s="19">
        <f t="shared" si="70"/>
        <v>0</v>
      </c>
      <c r="O110" s="61">
        <v>0</v>
      </c>
      <c r="P110" s="133">
        <f>O110/O105</f>
        <v>0</v>
      </c>
      <c r="Q110" s="121" t="e">
        <f t="shared" si="71"/>
        <v>#DIV/0!</v>
      </c>
      <c r="R110" s="121">
        <v>0.08</v>
      </c>
      <c r="S110" s="121"/>
      <c r="T110" s="137">
        <f t="shared" si="73"/>
        <v>0</v>
      </c>
      <c r="U110" s="137">
        <f t="shared" si="74"/>
        <v>0</v>
      </c>
      <c r="V110" s="137">
        <f t="shared" si="40"/>
        <v>0</v>
      </c>
      <c r="W110" s="137">
        <f t="shared" si="75"/>
        <v>0</v>
      </c>
      <c r="X110" s="137">
        <f t="shared" si="76"/>
        <v>0</v>
      </c>
      <c r="Y110" s="137">
        <f t="shared" si="77"/>
        <v>0</v>
      </c>
      <c r="Z110" s="137">
        <f t="shared" si="78"/>
        <v>0</v>
      </c>
      <c r="AA110" s="137">
        <f t="shared" si="79"/>
        <v>0</v>
      </c>
      <c r="AB110" s="61">
        <f t="shared" si="80"/>
        <v>0</v>
      </c>
    </row>
    <row r="111" spans="1:28" ht="15">
      <c r="A111" s="34" t="s">
        <v>343</v>
      </c>
      <c r="B111" s="35" t="s">
        <v>344</v>
      </c>
      <c r="C111" s="132">
        <v>7511</v>
      </c>
      <c r="D111" s="133">
        <f>C111/C105</f>
        <v>0.7724187577128754</v>
      </c>
      <c r="E111" s="120">
        <f t="shared" si="65"/>
        <v>-0.9781320729596592</v>
      </c>
      <c r="F111" s="19">
        <f t="shared" si="66"/>
        <v>-7346.75</v>
      </c>
      <c r="G111" s="132">
        <v>164.25</v>
      </c>
      <c r="H111" s="133">
        <f>G111/G105</f>
        <v>0.0032848485027870515</v>
      </c>
      <c r="I111" s="120">
        <f t="shared" si="67"/>
        <v>-1</v>
      </c>
      <c r="J111" s="19">
        <f t="shared" si="68"/>
        <v>-164.25</v>
      </c>
      <c r="K111" s="63">
        <v>0</v>
      </c>
      <c r="L111" s="133">
        <f>K111/K105</f>
        <v>0</v>
      </c>
      <c r="M111" s="120" t="e">
        <f t="shared" si="69"/>
        <v>#DIV/0!</v>
      </c>
      <c r="N111" s="19">
        <f t="shared" si="70"/>
        <v>0</v>
      </c>
      <c r="O111" s="61">
        <v>0</v>
      </c>
      <c r="P111" s="133">
        <f>O111/O105</f>
        <v>0</v>
      </c>
      <c r="Q111" s="121" t="e">
        <f t="shared" si="71"/>
        <v>#DIV/0!</v>
      </c>
      <c r="R111" s="121">
        <v>0.08</v>
      </c>
      <c r="S111" s="121"/>
      <c r="T111" s="137">
        <f t="shared" si="73"/>
        <v>0</v>
      </c>
      <c r="U111" s="137">
        <f t="shared" si="74"/>
        <v>0</v>
      </c>
      <c r="V111" s="137">
        <f t="shared" si="40"/>
        <v>0</v>
      </c>
      <c r="W111" s="137">
        <f t="shared" si="75"/>
        <v>0</v>
      </c>
      <c r="X111" s="137">
        <f t="shared" si="76"/>
        <v>0</v>
      </c>
      <c r="Y111" s="137">
        <f t="shared" si="77"/>
        <v>0</v>
      </c>
      <c r="Z111" s="137">
        <f t="shared" si="78"/>
        <v>0</v>
      </c>
      <c r="AA111" s="137">
        <f t="shared" si="79"/>
        <v>0</v>
      </c>
      <c r="AB111" s="61">
        <f t="shared" si="80"/>
        <v>0</v>
      </c>
    </row>
    <row r="112" spans="1:28" ht="15.75">
      <c r="A112" s="33" t="s">
        <v>345</v>
      </c>
      <c r="B112" s="45" t="s">
        <v>346</v>
      </c>
      <c r="C112" s="24">
        <f>SUM(C113:C115)</f>
        <v>10432</v>
      </c>
      <c r="D112" s="20">
        <f>C112/C46</f>
        <v>0.002193853620376894</v>
      </c>
      <c r="E112" s="120">
        <f t="shared" si="65"/>
        <v>0.352760736196319</v>
      </c>
      <c r="F112" s="19">
        <f t="shared" si="66"/>
        <v>3680</v>
      </c>
      <c r="G112" s="224">
        <f>SUM(G113:G115)</f>
        <v>14112</v>
      </c>
      <c r="H112" s="20">
        <f>G112/G46</f>
        <v>0.0019480538757651912</v>
      </c>
      <c r="I112" s="120">
        <f t="shared" si="67"/>
        <v>1.4669779620181407</v>
      </c>
      <c r="J112" s="19">
        <f t="shared" si="68"/>
        <v>20701.993000000002</v>
      </c>
      <c r="K112" s="25">
        <f>SUM(K113:K115)</f>
        <v>34813.993</v>
      </c>
      <c r="L112" s="20">
        <f>K112/K46</f>
        <v>0.0029717100576653103</v>
      </c>
      <c r="M112" s="120">
        <f t="shared" si="69"/>
        <v>-0.0063765452012356505</v>
      </c>
      <c r="N112" s="19">
        <f t="shared" si="70"/>
        <v>-221.9930000000022</v>
      </c>
      <c r="O112" s="25">
        <f>SUM(O113:O115)</f>
        <v>34592</v>
      </c>
      <c r="P112" s="20">
        <f>O112/O46</f>
        <v>0.0032514804707202264</v>
      </c>
      <c r="Q112" s="121">
        <f t="shared" si="71"/>
        <v>0.604454051004408</v>
      </c>
      <c r="R112" s="121"/>
      <c r="S112" s="121"/>
      <c r="T112" s="25">
        <f aca="true" t="shared" si="81" ref="T112:AB112">SUM(T113:T115)</f>
        <v>39780.8</v>
      </c>
      <c r="U112" s="25">
        <f t="shared" si="81"/>
        <v>45747.92</v>
      </c>
      <c r="V112" s="25">
        <f t="shared" si="81"/>
        <v>52610.108</v>
      </c>
      <c r="W112" s="25">
        <f t="shared" si="81"/>
        <v>60501.624200000006</v>
      </c>
      <c r="X112" s="25">
        <f t="shared" si="81"/>
        <v>69576.86783</v>
      </c>
      <c r="Y112" s="25">
        <f t="shared" si="81"/>
        <v>80013.3980045</v>
      </c>
      <c r="Z112" s="25">
        <f t="shared" si="81"/>
        <v>92015.407705175</v>
      </c>
      <c r="AA112" s="25">
        <f t="shared" si="81"/>
        <v>105817.71886095125</v>
      </c>
      <c r="AB112" s="25">
        <f t="shared" si="81"/>
        <v>121690.37669009394</v>
      </c>
    </row>
    <row r="113" spans="1:28" ht="15">
      <c r="A113" s="34" t="s">
        <v>347</v>
      </c>
      <c r="B113" s="35" t="s">
        <v>348</v>
      </c>
      <c r="C113" s="122">
        <v>0</v>
      </c>
      <c r="D113" s="123">
        <v>0</v>
      </c>
      <c r="E113" s="120" t="e">
        <f t="shared" si="65"/>
        <v>#DIV/0!</v>
      </c>
      <c r="F113" s="19">
        <f t="shared" si="66"/>
        <v>14112</v>
      </c>
      <c r="G113" s="122">
        <v>14112</v>
      </c>
      <c r="H113" s="123">
        <v>0</v>
      </c>
      <c r="I113" s="120">
        <f t="shared" si="67"/>
        <v>1.4077823837868482</v>
      </c>
      <c r="J113" s="19">
        <f t="shared" si="68"/>
        <v>19866.625</v>
      </c>
      <c r="K113" s="63">
        <v>33978.625</v>
      </c>
      <c r="L113" s="123">
        <v>0</v>
      </c>
      <c r="M113" s="120">
        <f t="shared" si="69"/>
        <v>-0.0034617351349561787</v>
      </c>
      <c r="N113" s="19">
        <f t="shared" si="70"/>
        <v>-117.625</v>
      </c>
      <c r="O113" s="63">
        <v>33861</v>
      </c>
      <c r="P113" s="123">
        <v>0</v>
      </c>
      <c r="Q113" s="121" t="e">
        <f t="shared" si="71"/>
        <v>#DIV/0!</v>
      </c>
      <c r="R113" s="121">
        <v>0.15</v>
      </c>
      <c r="S113" s="121"/>
      <c r="T113" s="137">
        <f>(O113*R113)+O113</f>
        <v>38940.15</v>
      </c>
      <c r="U113" s="137">
        <f>(T113*R113)+T113</f>
        <v>44781.1725</v>
      </c>
      <c r="V113" s="137">
        <f t="shared" si="40"/>
        <v>51498.348375</v>
      </c>
      <c r="W113" s="137">
        <f>(V113*R113)+V113</f>
        <v>59223.10063125</v>
      </c>
      <c r="X113" s="137">
        <f>(W113*R113)+W113</f>
        <v>68106.5657259375</v>
      </c>
      <c r="Y113" s="137">
        <f>(X113*R113)+X113</f>
        <v>78322.55058482813</v>
      </c>
      <c r="Z113" s="137">
        <f>(Y113*R113)+Y113</f>
        <v>90070.93317255235</v>
      </c>
      <c r="AA113" s="137">
        <f>(Z113*R113)+Z113</f>
        <v>103581.5731484352</v>
      </c>
      <c r="AB113" s="61">
        <f>(AA113*R113)+AA113</f>
        <v>119118.80912070048</v>
      </c>
    </row>
    <row r="114" spans="1:28" ht="15">
      <c r="A114" s="34" t="s">
        <v>349</v>
      </c>
      <c r="B114" s="35" t="s">
        <v>350</v>
      </c>
      <c r="C114" s="122">
        <v>0</v>
      </c>
      <c r="D114" s="123">
        <v>0</v>
      </c>
      <c r="E114" s="120" t="e">
        <f t="shared" si="65"/>
        <v>#DIV/0!</v>
      </c>
      <c r="F114" s="19">
        <f t="shared" si="66"/>
        <v>0</v>
      </c>
      <c r="G114" s="122">
        <v>0</v>
      </c>
      <c r="H114" s="123">
        <v>0</v>
      </c>
      <c r="I114" s="120" t="e">
        <f t="shared" si="67"/>
        <v>#DIV/0!</v>
      </c>
      <c r="J114" s="19">
        <f t="shared" si="68"/>
        <v>835.368</v>
      </c>
      <c r="K114" s="63">
        <v>835.368</v>
      </c>
      <c r="L114" s="123">
        <v>0</v>
      </c>
      <c r="M114" s="120">
        <f t="shared" si="69"/>
        <v>-0.12493655490753786</v>
      </c>
      <c r="N114" s="19">
        <f t="shared" si="70"/>
        <v>-104.36800000000005</v>
      </c>
      <c r="O114" s="61">
        <v>731</v>
      </c>
      <c r="P114" s="123">
        <v>0</v>
      </c>
      <c r="Q114" s="121" t="e">
        <f t="shared" si="71"/>
        <v>#DIV/0!</v>
      </c>
      <c r="R114" s="121">
        <v>0.15</v>
      </c>
      <c r="S114" s="121"/>
      <c r="T114" s="137">
        <f>(O114*R114)+O114</f>
        <v>840.65</v>
      </c>
      <c r="U114" s="137">
        <f>(T114*R114)+T114</f>
        <v>966.7475</v>
      </c>
      <c r="V114" s="137">
        <f>(U114*R114)+U114</f>
        <v>1111.759625</v>
      </c>
      <c r="W114" s="137">
        <f>(V114*R114)+V114</f>
        <v>1278.5235687499999</v>
      </c>
      <c r="X114" s="137">
        <f>(W114*R114)+W114</f>
        <v>1470.3021040625</v>
      </c>
      <c r="Y114" s="137">
        <f>(X114*R114)+X114</f>
        <v>1690.8474196718748</v>
      </c>
      <c r="Z114" s="137">
        <f>(Y114*R114)+Y114</f>
        <v>1944.4745326226562</v>
      </c>
      <c r="AA114" s="137">
        <f>(Z114*R114)+Z114</f>
        <v>2236.1457125160546</v>
      </c>
      <c r="AB114" s="61">
        <f>(AA114*R114)+AA114</f>
        <v>2571.5675693934627</v>
      </c>
    </row>
    <row r="115" spans="1:28" ht="15">
      <c r="A115" s="34" t="s">
        <v>351</v>
      </c>
      <c r="B115" s="35" t="s">
        <v>352</v>
      </c>
      <c r="C115" s="122">
        <v>10432</v>
      </c>
      <c r="D115" s="123">
        <v>0</v>
      </c>
      <c r="E115" s="120">
        <f t="shared" si="65"/>
        <v>-1</v>
      </c>
      <c r="F115" s="19">
        <f t="shared" si="66"/>
        <v>-10432</v>
      </c>
      <c r="G115" s="122"/>
      <c r="H115" s="123">
        <v>0</v>
      </c>
      <c r="I115" s="120" t="e">
        <f t="shared" si="67"/>
        <v>#DIV/0!</v>
      </c>
      <c r="J115" s="19">
        <f t="shared" si="68"/>
        <v>0</v>
      </c>
      <c r="K115" s="63">
        <v>0</v>
      </c>
      <c r="L115" s="123">
        <v>0</v>
      </c>
      <c r="M115" s="120" t="e">
        <f t="shared" si="69"/>
        <v>#DIV/0!</v>
      </c>
      <c r="N115" s="19">
        <f t="shared" si="70"/>
        <v>0</v>
      </c>
      <c r="O115" s="63">
        <v>0</v>
      </c>
      <c r="P115" s="123">
        <v>0</v>
      </c>
      <c r="Q115" s="121" t="e">
        <f t="shared" si="71"/>
        <v>#DIV/0!</v>
      </c>
      <c r="R115" s="121">
        <v>0.15</v>
      </c>
      <c r="S115" s="121"/>
      <c r="T115" s="137">
        <f>(O115*R115)+O115</f>
        <v>0</v>
      </c>
      <c r="U115" s="137">
        <f>(T115*R115)+T115</f>
        <v>0</v>
      </c>
      <c r="V115" s="137">
        <f>(U115*R115)+U115</f>
        <v>0</v>
      </c>
      <c r="W115" s="137">
        <f>(V115*R115)+V115</f>
        <v>0</v>
      </c>
      <c r="X115" s="137">
        <f>(W115*R115)+W115</f>
        <v>0</v>
      </c>
      <c r="Y115" s="137">
        <f>(X115*R115)+X115</f>
        <v>0</v>
      </c>
      <c r="Z115" s="137">
        <f>(Y115*R115)+Y115</f>
        <v>0</v>
      </c>
      <c r="AA115" s="137">
        <f>(Z115*R115)+Z115</f>
        <v>0</v>
      </c>
      <c r="AB115" s="61">
        <f>(AA115*R115)+AA115</f>
        <v>0</v>
      </c>
    </row>
    <row r="116" spans="1:28" ht="15.75">
      <c r="A116" s="33" t="s">
        <v>353</v>
      </c>
      <c r="B116" s="231" t="s">
        <v>354</v>
      </c>
      <c r="C116" s="25">
        <f>SUM(C117+C130+C133+C139)</f>
        <v>4430426.80108</v>
      </c>
      <c r="D116" s="20">
        <f>C116/C46</f>
        <v>0.9317204637043882</v>
      </c>
      <c r="E116" s="120">
        <f t="shared" si="65"/>
        <v>0.5527446831540106</v>
      </c>
      <c r="F116" s="19">
        <f t="shared" si="66"/>
        <v>2448894.858400001</v>
      </c>
      <c r="G116" s="25">
        <f>SUM(G117+G130+G133+G139)</f>
        <v>6879321.659480001</v>
      </c>
      <c r="H116" s="20">
        <f>G116/G46</f>
        <v>0.9496378416514628</v>
      </c>
      <c r="I116" s="120">
        <f t="shared" si="67"/>
        <v>0.6205478284529997</v>
      </c>
      <c r="J116" s="19">
        <f t="shared" si="68"/>
        <v>4268948.117020001</v>
      </c>
      <c r="K116" s="25">
        <f>SUM(K117+K130+K133+K139)</f>
        <v>11148269.776500002</v>
      </c>
      <c r="L116" s="20">
        <f>K116/K46</f>
        <v>0.9516123422093885</v>
      </c>
      <c r="M116" s="120">
        <f t="shared" si="69"/>
        <v>-0.09109860066723707</v>
      </c>
      <c r="N116" s="19">
        <f t="shared" si="70"/>
        <v>-1015591.7765000015</v>
      </c>
      <c r="O116" s="25">
        <f>SUM(O117+O130+O133+O139)</f>
        <v>10132678</v>
      </c>
      <c r="P116" s="20">
        <f>O116/O46</f>
        <v>0.9524226593748983</v>
      </c>
      <c r="Q116" s="121">
        <f t="shared" si="71"/>
        <v>0.36073130364659106</v>
      </c>
      <c r="R116" s="121"/>
      <c r="S116" s="121"/>
      <c r="T116" s="25">
        <f aca="true" t="shared" si="82" ref="T116:AB116">SUM(T117+T130+T133+T139)</f>
        <v>10892628.85</v>
      </c>
      <c r="U116" s="25">
        <f t="shared" si="82"/>
        <v>11709576.01375</v>
      </c>
      <c r="V116" s="25">
        <f t="shared" si="82"/>
        <v>12646342.09485</v>
      </c>
      <c r="W116" s="25">
        <f t="shared" si="82"/>
        <v>13658049.462438</v>
      </c>
      <c r="X116" s="25">
        <f t="shared" si="82"/>
        <v>14750693.41943304</v>
      </c>
      <c r="Y116" s="25">
        <f t="shared" si="82"/>
        <v>15930748.892987683</v>
      </c>
      <c r="Z116" s="25">
        <f t="shared" si="82"/>
        <v>17205208.8044267</v>
      </c>
      <c r="AA116" s="25">
        <f t="shared" si="82"/>
        <v>18581625.508780833</v>
      </c>
      <c r="AB116" s="25">
        <f t="shared" si="82"/>
        <v>20068155.5494833</v>
      </c>
    </row>
    <row r="117" spans="1:28" ht="15.75">
      <c r="A117" s="33" t="s">
        <v>355</v>
      </c>
      <c r="B117" s="45" t="s">
        <v>356</v>
      </c>
      <c r="C117" s="24">
        <f>SUM(C118+C120)</f>
        <v>2559805.71608</v>
      </c>
      <c r="D117" s="20">
        <f>C117/C116</f>
        <v>0.5777785822927939</v>
      </c>
      <c r="E117" s="120">
        <f t="shared" si="65"/>
        <v>0.2765429797945951</v>
      </c>
      <c r="F117" s="19">
        <f t="shared" si="66"/>
        <v>707896.3004200002</v>
      </c>
      <c r="G117" s="24">
        <f>SUM(G118+G120)</f>
        <v>3267702.0165000004</v>
      </c>
      <c r="H117" s="227">
        <f>G117/G116</f>
        <v>0.47500352189477385</v>
      </c>
      <c r="I117" s="120">
        <f t="shared" si="67"/>
        <v>-0.29074022377278785</v>
      </c>
      <c r="J117" s="19">
        <f t="shared" si="68"/>
        <v>-950052.4155000001</v>
      </c>
      <c r="K117" s="25">
        <f>SUM(K118+K120)</f>
        <v>2317649.6010000003</v>
      </c>
      <c r="L117" s="20">
        <f>K117/K116</f>
        <v>0.2078932110062039</v>
      </c>
      <c r="M117" s="120">
        <f t="shared" si="69"/>
        <v>-0.026079697713545902</v>
      </c>
      <c r="N117" s="19">
        <f t="shared" si="70"/>
        <v>-60443.60100000026</v>
      </c>
      <c r="O117" s="25">
        <f>SUM(O118+O120)</f>
        <v>2257206</v>
      </c>
      <c r="P117" s="20">
        <f>O117/O116</f>
        <v>0.222764998552209</v>
      </c>
      <c r="Q117" s="121">
        <f t="shared" si="71"/>
        <v>-0.01342564723057956</v>
      </c>
      <c r="R117" s="121"/>
      <c r="S117" s="121"/>
      <c r="T117" s="25">
        <f aca="true" t="shared" si="83" ref="T117:AB117">SUM(T118+T120)</f>
        <v>2426496.4499999997</v>
      </c>
      <c r="U117" s="25">
        <f t="shared" si="83"/>
        <v>2608483.68375</v>
      </c>
      <c r="V117" s="25">
        <f t="shared" si="83"/>
        <v>2817162.3784499997</v>
      </c>
      <c r="W117" s="25">
        <f t="shared" si="83"/>
        <v>3042535.3687259997</v>
      </c>
      <c r="X117" s="25">
        <f t="shared" si="83"/>
        <v>3285938.19822408</v>
      </c>
      <c r="Y117" s="25">
        <f t="shared" si="83"/>
        <v>3548813.2540820064</v>
      </c>
      <c r="Z117" s="25">
        <f t="shared" si="83"/>
        <v>3832718.314408567</v>
      </c>
      <c r="AA117" s="25">
        <f t="shared" si="83"/>
        <v>4139335.7795612523</v>
      </c>
      <c r="AB117" s="25">
        <f t="shared" si="83"/>
        <v>4470482.641926153</v>
      </c>
    </row>
    <row r="118" spans="1:28" ht="15.75">
      <c r="A118" s="33" t="s">
        <v>357</v>
      </c>
      <c r="B118" s="45" t="s">
        <v>358</v>
      </c>
      <c r="C118" s="25">
        <f>C119</f>
        <v>41191.97708</v>
      </c>
      <c r="D118" s="20">
        <f>C118/C117</f>
        <v>0.016091837291105044</v>
      </c>
      <c r="E118" s="120">
        <f t="shared" si="65"/>
        <v>1.3120802095765787</v>
      </c>
      <c r="F118" s="19">
        <f t="shared" si="66"/>
        <v>54047.17792000002</v>
      </c>
      <c r="G118" s="25">
        <f>G119</f>
        <v>95239.15500000001</v>
      </c>
      <c r="H118" s="20">
        <f>G118/G117</f>
        <v>0.02914560584750308</v>
      </c>
      <c r="I118" s="120">
        <f t="shared" si="67"/>
        <v>-0.3293324473531921</v>
      </c>
      <c r="J118" s="19">
        <f t="shared" si="68"/>
        <v>-31365.344000000012</v>
      </c>
      <c r="K118" s="25">
        <f>K119</f>
        <v>63873.811</v>
      </c>
      <c r="L118" s="20">
        <f>K118/K117</f>
        <v>0.027559735937839894</v>
      </c>
      <c r="M118" s="120">
        <f t="shared" si="69"/>
        <v>0.1504558574092283</v>
      </c>
      <c r="N118" s="19">
        <f t="shared" si="70"/>
        <v>9610.188999999998</v>
      </c>
      <c r="O118" s="25">
        <f>O119</f>
        <v>73484</v>
      </c>
      <c r="P118" s="20">
        <f>O118/O117</f>
        <v>0.03255529180765956</v>
      </c>
      <c r="Q118" s="121">
        <f t="shared" si="71"/>
        <v>0.3777345398775383</v>
      </c>
      <c r="R118" s="121"/>
      <c r="S118" s="121"/>
      <c r="T118" s="25">
        <f aca="true" t="shared" si="84" ref="T118:AB118">T119</f>
        <v>78995.3</v>
      </c>
      <c r="U118" s="25">
        <f t="shared" si="84"/>
        <v>84919.94750000001</v>
      </c>
      <c r="V118" s="25">
        <f t="shared" si="84"/>
        <v>91713.5433</v>
      </c>
      <c r="W118" s="25">
        <f t="shared" si="84"/>
        <v>99050.626764</v>
      </c>
      <c r="X118" s="25">
        <f t="shared" si="84"/>
        <v>106974.67690512</v>
      </c>
      <c r="Y118" s="25">
        <f t="shared" si="84"/>
        <v>115532.6510575296</v>
      </c>
      <c r="Z118" s="25">
        <f t="shared" si="84"/>
        <v>124775.26314213197</v>
      </c>
      <c r="AA118" s="25">
        <f t="shared" si="84"/>
        <v>134757.28419350254</v>
      </c>
      <c r="AB118" s="25">
        <f t="shared" si="84"/>
        <v>145537.86692898272</v>
      </c>
    </row>
    <row r="119" spans="1:28" ht="15">
      <c r="A119" s="34" t="s">
        <v>359</v>
      </c>
      <c r="B119" s="35" t="s">
        <v>360</v>
      </c>
      <c r="C119" s="122">
        <v>41191.97708</v>
      </c>
      <c r="D119" s="123">
        <f>C119/C118</f>
        <v>1</v>
      </c>
      <c r="E119" s="120">
        <f t="shared" si="65"/>
        <v>1.3120802095765787</v>
      </c>
      <c r="F119" s="19">
        <f t="shared" si="66"/>
        <v>54047.17792000002</v>
      </c>
      <c r="G119" s="122">
        <v>95239.15500000001</v>
      </c>
      <c r="H119" s="123">
        <f>G119/G118</f>
        <v>1</v>
      </c>
      <c r="I119" s="120">
        <f t="shared" si="67"/>
        <v>-0.3293324473531921</v>
      </c>
      <c r="J119" s="19">
        <f t="shared" si="68"/>
        <v>-31365.344000000012</v>
      </c>
      <c r="K119" s="63">
        <v>63873.811</v>
      </c>
      <c r="L119" s="123">
        <f>K119/K118</f>
        <v>1</v>
      </c>
      <c r="M119" s="120">
        <f t="shared" si="69"/>
        <v>0.1504558574092283</v>
      </c>
      <c r="N119" s="19">
        <f t="shared" si="70"/>
        <v>9610.188999999998</v>
      </c>
      <c r="O119" s="61">
        <v>73484</v>
      </c>
      <c r="P119" s="123">
        <f>O119/O118</f>
        <v>1</v>
      </c>
      <c r="Q119" s="121">
        <f t="shared" si="71"/>
        <v>0.3777345398775383</v>
      </c>
      <c r="R119" s="121">
        <v>0.075</v>
      </c>
      <c r="S119" s="121">
        <v>0.08</v>
      </c>
      <c r="T119" s="137">
        <f>(O119*R119)+O119</f>
        <v>78995.3</v>
      </c>
      <c r="U119" s="137">
        <f>(T119*R119)+T119</f>
        <v>84919.94750000001</v>
      </c>
      <c r="V119" s="137">
        <f>(U119*S119)+U119</f>
        <v>91713.5433</v>
      </c>
      <c r="W119" s="137">
        <f>(V119*S119)+V119</f>
        <v>99050.626764</v>
      </c>
      <c r="X119" s="137">
        <f>(W119*S119)+W119</f>
        <v>106974.67690512</v>
      </c>
      <c r="Y119" s="137">
        <f>(X119*S119)+X119</f>
        <v>115532.6510575296</v>
      </c>
      <c r="Z119" s="137">
        <f>(Y119*S119)+Y119</f>
        <v>124775.26314213197</v>
      </c>
      <c r="AA119" s="137">
        <f>(Z119*S119)+Z119</f>
        <v>134757.28419350254</v>
      </c>
      <c r="AB119" s="61">
        <f>(AA119*S119)+AA119</f>
        <v>145537.86692898272</v>
      </c>
    </row>
    <row r="120" spans="1:28" ht="15.75">
      <c r="A120" s="33" t="s">
        <v>361</v>
      </c>
      <c r="B120" s="45" t="s">
        <v>362</v>
      </c>
      <c r="C120" s="24">
        <f>SUM(C121+C124)</f>
        <v>2518613.739</v>
      </c>
      <c r="D120" s="20">
        <f>C120/C117</f>
        <v>0.9839081627088949</v>
      </c>
      <c r="E120" s="120">
        <f t="shared" si="65"/>
        <v>0.2596067480992965</v>
      </c>
      <c r="F120" s="19">
        <f t="shared" si="66"/>
        <v>653849.1225000005</v>
      </c>
      <c r="G120" s="24">
        <f>SUM(G121+G124)</f>
        <v>3172462.8615000006</v>
      </c>
      <c r="H120" s="20">
        <f>G120/G117</f>
        <v>0.970854394152497</v>
      </c>
      <c r="I120" s="120">
        <f t="shared" si="67"/>
        <v>-0.2895816630822994</v>
      </c>
      <c r="J120" s="19">
        <f t="shared" si="68"/>
        <v>-918687.0715000005</v>
      </c>
      <c r="K120" s="25">
        <f>SUM(K121+K124)</f>
        <v>2253775.79</v>
      </c>
      <c r="L120" s="20">
        <f>K120/K117</f>
        <v>0.97244026406216</v>
      </c>
      <c r="M120" s="120">
        <f t="shared" si="69"/>
        <v>-0.03108285673793665</v>
      </c>
      <c r="N120" s="19">
        <f t="shared" si="70"/>
        <v>-70053.79000000004</v>
      </c>
      <c r="O120" s="25">
        <f>SUM(O121+O124)</f>
        <v>2183722</v>
      </c>
      <c r="P120" s="20">
        <f>O120/O117</f>
        <v>0.9674447081923404</v>
      </c>
      <c r="Q120" s="121">
        <f t="shared" si="71"/>
        <v>-0.020352590573646506</v>
      </c>
      <c r="R120" s="121"/>
      <c r="S120" s="121"/>
      <c r="T120" s="25">
        <f aca="true" t="shared" si="85" ref="T120:AB120">SUM(T121+T124)</f>
        <v>2347501.15</v>
      </c>
      <c r="U120" s="25">
        <f t="shared" si="85"/>
        <v>2523563.73625</v>
      </c>
      <c r="V120" s="25">
        <f t="shared" si="85"/>
        <v>2725448.8351499997</v>
      </c>
      <c r="W120" s="25">
        <f t="shared" si="85"/>
        <v>2943484.741962</v>
      </c>
      <c r="X120" s="25">
        <f t="shared" si="85"/>
        <v>3178963.52131896</v>
      </c>
      <c r="Y120" s="25">
        <f t="shared" si="85"/>
        <v>3433280.6030244767</v>
      </c>
      <c r="Z120" s="25">
        <f t="shared" si="85"/>
        <v>3707943.051266435</v>
      </c>
      <c r="AA120" s="25">
        <f t="shared" si="85"/>
        <v>4004578.4953677496</v>
      </c>
      <c r="AB120" s="25">
        <f t="shared" si="85"/>
        <v>4324944.77499717</v>
      </c>
    </row>
    <row r="121" spans="1:28" ht="15.75">
      <c r="A121" s="33" t="s">
        <v>363</v>
      </c>
      <c r="B121" s="45" t="s">
        <v>364</v>
      </c>
      <c r="C121" s="24">
        <f>SUM(C122:C123)</f>
        <v>1172429</v>
      </c>
      <c r="D121" s="20">
        <f>C121/C120</f>
        <v>0.4655056795114227</v>
      </c>
      <c r="E121" s="120">
        <f t="shared" si="65"/>
        <v>-0.945550612446468</v>
      </c>
      <c r="F121" s="19">
        <f t="shared" si="66"/>
        <v>-1108590.959</v>
      </c>
      <c r="G121" s="24">
        <f>SUM(G122:G123)</f>
        <v>63838.041</v>
      </c>
      <c r="H121" s="20">
        <f>G121/G120</f>
        <v>0.020122549510261614</v>
      </c>
      <c r="I121" s="120">
        <f t="shared" si="67"/>
        <v>4.9382084891984706</v>
      </c>
      <c r="J121" s="19">
        <f t="shared" si="68"/>
        <v>315245.556</v>
      </c>
      <c r="K121" s="25">
        <f>SUM(K122:K123)</f>
        <v>379083.597</v>
      </c>
      <c r="L121" s="20">
        <f>K121/K120</f>
        <v>0.16819933849764176</v>
      </c>
      <c r="M121" s="120">
        <f t="shared" si="69"/>
        <v>-0.3299921125313159</v>
      </c>
      <c r="N121" s="19">
        <f t="shared" si="70"/>
        <v>-125094.59700000001</v>
      </c>
      <c r="O121" s="25">
        <f>SUM(O122:O123)</f>
        <v>253989</v>
      </c>
      <c r="P121" s="20">
        <f>O121/O120</f>
        <v>0.11631013471494998</v>
      </c>
      <c r="Q121" s="121">
        <f t="shared" si="71"/>
        <v>1.220888588073562</v>
      </c>
      <c r="R121" s="121"/>
      <c r="S121" s="121"/>
      <c r="T121" s="25">
        <f aca="true" t="shared" si="86" ref="T121:AB121">SUM(T122:T123)</f>
        <v>273038.175</v>
      </c>
      <c r="U121" s="25">
        <f t="shared" si="86"/>
        <v>293516.03812499996</v>
      </c>
      <c r="V121" s="25">
        <f t="shared" si="86"/>
        <v>316997.32117499993</v>
      </c>
      <c r="W121" s="25">
        <f t="shared" si="86"/>
        <v>342357.10686899995</v>
      </c>
      <c r="X121" s="25">
        <f t="shared" si="86"/>
        <v>369745.67541851994</v>
      </c>
      <c r="Y121" s="25">
        <f t="shared" si="86"/>
        <v>399325.32945200155</v>
      </c>
      <c r="Z121" s="25">
        <f t="shared" si="86"/>
        <v>431271.35580816166</v>
      </c>
      <c r="AA121" s="25">
        <f t="shared" si="86"/>
        <v>465773.0642728146</v>
      </c>
      <c r="AB121" s="25">
        <f t="shared" si="86"/>
        <v>503034.90941463975</v>
      </c>
    </row>
    <row r="122" spans="1:28" ht="15.75">
      <c r="A122" s="34" t="s">
        <v>365</v>
      </c>
      <c r="B122" s="47" t="s">
        <v>366</v>
      </c>
      <c r="C122" s="122">
        <v>288152</v>
      </c>
      <c r="D122" s="123">
        <f>C122/C121</f>
        <v>0.2457735180552511</v>
      </c>
      <c r="E122" s="120">
        <f t="shared" si="65"/>
        <v>-1</v>
      </c>
      <c r="F122" s="19">
        <f t="shared" si="66"/>
        <v>-288152</v>
      </c>
      <c r="G122" s="122"/>
      <c r="H122" s="123">
        <f>G122/G121</f>
        <v>0</v>
      </c>
      <c r="I122" s="120" t="e">
        <f t="shared" si="67"/>
        <v>#DIV/0!</v>
      </c>
      <c r="J122" s="19">
        <f t="shared" si="68"/>
        <v>0</v>
      </c>
      <c r="K122" s="63">
        <v>0</v>
      </c>
      <c r="L122" s="123">
        <f>K122/K121</f>
        <v>0</v>
      </c>
      <c r="M122" s="120" t="e">
        <f t="shared" si="69"/>
        <v>#DIV/0!</v>
      </c>
      <c r="N122" s="19">
        <f t="shared" si="70"/>
        <v>0</v>
      </c>
      <c r="O122" s="63">
        <v>0</v>
      </c>
      <c r="P122" s="123">
        <f>O122/O121</f>
        <v>0</v>
      </c>
      <c r="Q122" s="121" t="e">
        <f t="shared" si="71"/>
        <v>#DIV/0!</v>
      </c>
      <c r="R122" s="121">
        <v>0.075</v>
      </c>
      <c r="S122" s="121">
        <v>0.08</v>
      </c>
      <c r="T122" s="137">
        <f>(O122*R122)+O122</f>
        <v>0</v>
      </c>
      <c r="U122" s="137">
        <f>(T122*R122)+T122</f>
        <v>0</v>
      </c>
      <c r="V122" s="137">
        <f>(U122*S122)+U122</f>
        <v>0</v>
      </c>
      <c r="W122" s="137">
        <f>(V122*S122)+V122</f>
        <v>0</v>
      </c>
      <c r="X122" s="137">
        <f>(W122*S122)+W122</f>
        <v>0</v>
      </c>
      <c r="Y122" s="137">
        <f>(X122*S122)+X122</f>
        <v>0</v>
      </c>
      <c r="Z122" s="137">
        <f>(Y122*S122)+Y122</f>
        <v>0</v>
      </c>
      <c r="AA122" s="137">
        <f>(Z122*S122)+Z122</f>
        <v>0</v>
      </c>
      <c r="AB122" s="61">
        <f>(AA122*S122)+AA122</f>
        <v>0</v>
      </c>
    </row>
    <row r="123" spans="1:28" ht="15">
      <c r="A123" s="34" t="s">
        <v>367</v>
      </c>
      <c r="B123" s="35" t="s">
        <v>368</v>
      </c>
      <c r="C123" s="122">
        <v>884277</v>
      </c>
      <c r="D123" s="123">
        <f>C123/C121</f>
        <v>0.7542264819447488</v>
      </c>
      <c r="E123" s="120">
        <f t="shared" si="65"/>
        <v>-0.9278076428539925</v>
      </c>
      <c r="F123" s="19">
        <f t="shared" si="66"/>
        <v>-820438.959</v>
      </c>
      <c r="G123" s="122">
        <v>63838.041</v>
      </c>
      <c r="H123" s="123">
        <f>G123/G121</f>
        <v>1</v>
      </c>
      <c r="I123" s="120">
        <f t="shared" si="67"/>
        <v>4.9382084891984706</v>
      </c>
      <c r="J123" s="19">
        <f t="shared" si="68"/>
        <v>315245.556</v>
      </c>
      <c r="K123" s="63">
        <v>379083.597</v>
      </c>
      <c r="L123" s="123">
        <f>K123/K121</f>
        <v>1</v>
      </c>
      <c r="M123" s="120">
        <f t="shared" si="69"/>
        <v>-0.3299921125313159</v>
      </c>
      <c r="N123" s="19">
        <f t="shared" si="70"/>
        <v>-125094.59700000001</v>
      </c>
      <c r="O123" s="61">
        <v>253989</v>
      </c>
      <c r="P123" s="123">
        <f>O123/O121</f>
        <v>1</v>
      </c>
      <c r="Q123" s="121">
        <f t="shared" si="71"/>
        <v>1.2268029112710541</v>
      </c>
      <c r="R123" s="121">
        <v>0.075</v>
      </c>
      <c r="S123" s="121">
        <v>0.08</v>
      </c>
      <c r="T123" s="137">
        <f>(O123*R123)+O123</f>
        <v>273038.175</v>
      </c>
      <c r="U123" s="137">
        <f>(T123*R123)+T123</f>
        <v>293516.03812499996</v>
      </c>
      <c r="V123" s="137">
        <f>(U123*S123)+U123</f>
        <v>316997.32117499993</v>
      </c>
      <c r="W123" s="137">
        <f>(V123*S123)+V123</f>
        <v>342357.10686899995</v>
      </c>
      <c r="X123" s="137">
        <f>(W123*S123)+W123</f>
        <v>369745.67541851994</v>
      </c>
      <c r="Y123" s="137">
        <f>(X123*S123)+X123</f>
        <v>399325.32945200155</v>
      </c>
      <c r="Z123" s="137">
        <f>(Y123*S123)+Y123</f>
        <v>431271.35580816166</v>
      </c>
      <c r="AA123" s="137">
        <f>(Z123*S123)+Z123</f>
        <v>465773.0642728146</v>
      </c>
      <c r="AB123" s="61">
        <f>(AA123*S123)+AA123</f>
        <v>503034.90941463975</v>
      </c>
    </row>
    <row r="124" spans="1:28" ht="15.75">
      <c r="A124" s="33" t="s">
        <v>369</v>
      </c>
      <c r="B124" s="45" t="s">
        <v>370</v>
      </c>
      <c r="C124" s="24">
        <f>SUM(C125:C129)</f>
        <v>1346184.739</v>
      </c>
      <c r="D124" s="20">
        <f>C124/C120</f>
        <v>0.5344943204885774</v>
      </c>
      <c r="E124" s="120">
        <f t="shared" si="65"/>
        <v>1.309211158350533</v>
      </c>
      <c r="F124" s="19">
        <f t="shared" si="66"/>
        <v>1762440.0815000003</v>
      </c>
      <c r="G124" s="24">
        <f>SUM(G125:G129)</f>
        <v>3108624.8205000004</v>
      </c>
      <c r="H124" s="20">
        <f>G124/G120</f>
        <v>0.9798774504897383</v>
      </c>
      <c r="I124" s="120">
        <f t="shared" si="67"/>
        <v>-0.3969384209257941</v>
      </c>
      <c r="J124" s="19">
        <f t="shared" si="68"/>
        <v>-1233932.6275000004</v>
      </c>
      <c r="K124" s="25">
        <f>SUM(K125:K129)</f>
        <v>1874692.193</v>
      </c>
      <c r="L124" s="20">
        <f>K124/K120</f>
        <v>0.8318006615023582</v>
      </c>
      <c r="M124" s="120">
        <f t="shared" si="69"/>
        <v>0.029359916900235428</v>
      </c>
      <c r="N124" s="19">
        <f t="shared" si="70"/>
        <v>55040.80700000003</v>
      </c>
      <c r="O124" s="25">
        <f>SUM(O125:O129)</f>
        <v>1929733</v>
      </c>
      <c r="P124" s="20">
        <f>O124/O120</f>
        <v>0.88368986528505</v>
      </c>
      <c r="Q124" s="121">
        <f t="shared" si="71"/>
        <v>0.31387755144165813</v>
      </c>
      <c r="R124" s="121"/>
      <c r="S124" s="121"/>
      <c r="T124" s="25">
        <f aca="true" t="shared" si="87" ref="T124:AB124">SUM(T125:T129)</f>
        <v>2074462.9749999999</v>
      </c>
      <c r="U124" s="25">
        <f t="shared" si="87"/>
        <v>2230047.698125</v>
      </c>
      <c r="V124" s="25">
        <f t="shared" si="87"/>
        <v>2408451.513975</v>
      </c>
      <c r="W124" s="25">
        <f t="shared" si="87"/>
        <v>2601127.635093</v>
      </c>
      <c r="X124" s="25">
        <f t="shared" si="87"/>
        <v>2809217.84590044</v>
      </c>
      <c r="Y124" s="25">
        <f t="shared" si="87"/>
        <v>3033955.273572475</v>
      </c>
      <c r="Z124" s="25">
        <f t="shared" si="87"/>
        <v>3276671.6954582734</v>
      </c>
      <c r="AA124" s="25">
        <f t="shared" si="87"/>
        <v>3538805.431094935</v>
      </c>
      <c r="AB124" s="25">
        <f t="shared" si="87"/>
        <v>3821909.86558253</v>
      </c>
    </row>
    <row r="125" spans="1:28" ht="15">
      <c r="A125" s="34" t="s">
        <v>371</v>
      </c>
      <c r="B125" s="35" t="s">
        <v>372</v>
      </c>
      <c r="C125" s="122">
        <v>398571</v>
      </c>
      <c r="D125" s="123">
        <f>C125/C124</f>
        <v>0.2960745196800214</v>
      </c>
      <c r="E125" s="120">
        <f t="shared" si="65"/>
        <v>1.3023846458974693</v>
      </c>
      <c r="F125" s="19">
        <f t="shared" si="66"/>
        <v>519092.7507000002</v>
      </c>
      <c r="G125" s="122">
        <v>917663.7507000002</v>
      </c>
      <c r="H125" s="123">
        <f>G125/G124</f>
        <v>0.2951992613095074</v>
      </c>
      <c r="I125" s="120">
        <f t="shared" si="67"/>
        <v>-0.3293348282194495</v>
      </c>
      <c r="J125" s="19">
        <f t="shared" si="68"/>
        <v>-302218.63370000024</v>
      </c>
      <c r="K125" s="63">
        <v>615445.117</v>
      </c>
      <c r="L125" s="123">
        <f>K125/K124</f>
        <v>0.3282912892569986</v>
      </c>
      <c r="M125" s="120">
        <f t="shared" si="69"/>
        <v>-1.9010630958327113E-07</v>
      </c>
      <c r="N125" s="19">
        <f t="shared" si="70"/>
        <v>-0.11699999996926636</v>
      </c>
      <c r="O125" s="61">
        <v>615445</v>
      </c>
      <c r="P125" s="123">
        <f>O125/O124</f>
        <v>0.3189275407530472</v>
      </c>
      <c r="Q125" s="121">
        <f t="shared" si="71"/>
        <v>0.32434987585723674</v>
      </c>
      <c r="R125" s="121">
        <v>0.075</v>
      </c>
      <c r="S125" s="121">
        <v>0.08</v>
      </c>
      <c r="T125" s="137">
        <f>(O125*R125)+O125</f>
        <v>661603.375</v>
      </c>
      <c r="U125" s="137">
        <f aca="true" t="shared" si="88" ref="U125:V129">(T125*R125)+T125</f>
        <v>711223.628125</v>
      </c>
      <c r="V125" s="137">
        <f t="shared" si="88"/>
        <v>768121.5183750001</v>
      </c>
      <c r="W125" s="137">
        <f>(V125*S125)+V125</f>
        <v>829571.2398450001</v>
      </c>
      <c r="X125" s="137">
        <f>(W125*S125)+W125</f>
        <v>895936.9390326001</v>
      </c>
      <c r="Y125" s="137">
        <f>(X125*S125)+X125</f>
        <v>967611.8941552081</v>
      </c>
      <c r="Z125" s="137">
        <f>(Y125*S125)+Y125</f>
        <v>1045020.8456876248</v>
      </c>
      <c r="AA125" s="137">
        <f>(Z125*S125)+Z125</f>
        <v>1128622.5133426348</v>
      </c>
      <c r="AB125" s="61">
        <f>(AA125*S125)+AA125</f>
        <v>1218912.3144100455</v>
      </c>
    </row>
    <row r="126" spans="1:28" ht="15.75" thickBot="1">
      <c r="A126" s="39" t="s">
        <v>373</v>
      </c>
      <c r="B126" s="48" t="s">
        <v>374</v>
      </c>
      <c r="C126" s="122">
        <v>70404</v>
      </c>
      <c r="D126" s="123">
        <f>C126/C124</f>
        <v>0.052298914079429326</v>
      </c>
      <c r="E126" s="120">
        <f t="shared" si="65"/>
        <v>1.2253810486620078</v>
      </c>
      <c r="F126" s="19">
        <f t="shared" si="66"/>
        <v>86271.72735</v>
      </c>
      <c r="G126" s="122">
        <v>156675.72735</v>
      </c>
      <c r="H126" s="123">
        <f>G126/G124</f>
        <v>0.0504003333939796</v>
      </c>
      <c r="I126" s="120">
        <f t="shared" si="67"/>
        <v>-1</v>
      </c>
      <c r="J126" s="19">
        <f t="shared" si="68"/>
        <v>-156675.72735</v>
      </c>
      <c r="K126" s="63">
        <v>0</v>
      </c>
      <c r="L126" s="123">
        <f>K126/K124</f>
        <v>0</v>
      </c>
      <c r="M126" s="120" t="e">
        <f t="shared" si="69"/>
        <v>#DIV/0!</v>
      </c>
      <c r="N126" s="19">
        <f t="shared" si="70"/>
        <v>60043</v>
      </c>
      <c r="O126" s="61">
        <v>60043</v>
      </c>
      <c r="P126" s="123">
        <f>O126/O124</f>
        <v>0.03111466715861728</v>
      </c>
      <c r="Q126" s="121" t="e">
        <f t="shared" si="71"/>
        <v>#DIV/0!</v>
      </c>
      <c r="R126" s="121">
        <v>0.075</v>
      </c>
      <c r="S126" s="121">
        <v>0.08</v>
      </c>
      <c r="T126" s="137">
        <f>(O126*R126)+O126</f>
        <v>64546.225</v>
      </c>
      <c r="U126" s="137">
        <f t="shared" si="88"/>
        <v>69387.191875</v>
      </c>
      <c r="V126" s="137">
        <f t="shared" si="88"/>
        <v>74938.16722500001</v>
      </c>
      <c r="W126" s="137">
        <f>(V126*S126)+V126</f>
        <v>80933.22060300001</v>
      </c>
      <c r="X126" s="137">
        <f>(W126*S126)+W126</f>
        <v>87407.87825124</v>
      </c>
      <c r="Y126" s="137">
        <f>(X126*S126)+X126</f>
        <v>94400.50851133921</v>
      </c>
      <c r="Z126" s="137">
        <f>(Y126*S126)+Y126</f>
        <v>101952.54919224636</v>
      </c>
      <c r="AA126" s="137">
        <f>(Z126*S126)+Z126</f>
        <v>110108.75312762607</v>
      </c>
      <c r="AB126" s="61">
        <f>(AA126*S126)+AA126</f>
        <v>118917.45337783615</v>
      </c>
    </row>
    <row r="127" spans="1:28" ht="15">
      <c r="A127" s="34" t="s">
        <v>375</v>
      </c>
      <c r="B127" s="35" t="s">
        <v>376</v>
      </c>
      <c r="C127" s="122">
        <v>26401</v>
      </c>
      <c r="D127" s="123">
        <f>C127/C124</f>
        <v>0.01961172135973828</v>
      </c>
      <c r="E127" s="120">
        <f t="shared" si="65"/>
        <v>1.5433836521343887</v>
      </c>
      <c r="F127" s="19">
        <f t="shared" si="66"/>
        <v>40746.87179999999</v>
      </c>
      <c r="G127" s="122">
        <v>67147.8718</v>
      </c>
      <c r="H127" s="123">
        <f>G127/G124</f>
        <v>0.0216005068727463</v>
      </c>
      <c r="I127" s="120">
        <f t="shared" si="67"/>
        <v>-0.3293522222993224</v>
      </c>
      <c r="J127" s="19">
        <f t="shared" si="68"/>
        <v>-22115.300799999997</v>
      </c>
      <c r="K127" s="63">
        <v>45032.570999999996</v>
      </c>
      <c r="L127" s="123">
        <f>K127/K124</f>
        <v>0.02402131462868902</v>
      </c>
      <c r="M127" s="120">
        <f t="shared" si="69"/>
        <v>-0.11102122061829423</v>
      </c>
      <c r="N127" s="19">
        <f t="shared" si="70"/>
        <v>-4999.570999999996</v>
      </c>
      <c r="O127" s="61">
        <v>40033</v>
      </c>
      <c r="P127" s="123">
        <f>O127/O124</f>
        <v>0.020745357000165308</v>
      </c>
      <c r="Q127" s="121">
        <f t="shared" si="71"/>
        <v>0.3676700697389241</v>
      </c>
      <c r="R127" s="121">
        <v>0.075</v>
      </c>
      <c r="S127" s="121">
        <v>0.08</v>
      </c>
      <c r="T127" s="137">
        <f>(O127*R127)+O127</f>
        <v>43035.475</v>
      </c>
      <c r="U127" s="137">
        <f t="shared" si="88"/>
        <v>46263.135624999995</v>
      </c>
      <c r="V127" s="137">
        <f t="shared" si="88"/>
        <v>49964.186474999995</v>
      </c>
      <c r="W127" s="137">
        <f>(V127*S127)+V127</f>
        <v>53961.32139299999</v>
      </c>
      <c r="X127" s="137">
        <f>(W127*S127)+W127</f>
        <v>58278.22710443999</v>
      </c>
      <c r="Y127" s="137">
        <f>(X127*S127)+X127</f>
        <v>62940.48527279519</v>
      </c>
      <c r="Z127" s="137">
        <f>(Y127*S127)+Y127</f>
        <v>67975.7240946188</v>
      </c>
      <c r="AA127" s="137">
        <f>(Z127*S127)+Z127</f>
        <v>73413.7820221883</v>
      </c>
      <c r="AB127" s="61">
        <f>(AA127*S127)+AA127</f>
        <v>79286.88458396337</v>
      </c>
    </row>
    <row r="128" spans="1:28" ht="15">
      <c r="A128" s="34" t="s">
        <v>377</v>
      </c>
      <c r="B128" s="35" t="s">
        <v>378</v>
      </c>
      <c r="C128" s="122">
        <v>474344.695</v>
      </c>
      <c r="D128" s="123">
        <f>C128/C124</f>
        <v>0.3523622585057399</v>
      </c>
      <c r="E128" s="120">
        <f t="shared" si="65"/>
        <v>1.3120794658618453</v>
      </c>
      <c r="F128" s="19">
        <f t="shared" si="66"/>
        <v>622377.9340499998</v>
      </c>
      <c r="G128" s="122">
        <v>1096722.6290499999</v>
      </c>
      <c r="H128" s="123">
        <f>G128/G124</f>
        <v>0.35279993321085296</v>
      </c>
      <c r="I128" s="120">
        <f t="shared" si="67"/>
        <v>-0.4251427368229701</v>
      </c>
      <c r="J128" s="19">
        <f t="shared" si="68"/>
        <v>-466263.66004999995</v>
      </c>
      <c r="K128" s="63">
        <v>630458.9689999999</v>
      </c>
      <c r="L128" s="123">
        <f>K128/K124</f>
        <v>0.3362999917288288</v>
      </c>
      <c r="M128" s="120">
        <f t="shared" si="69"/>
        <v>-4.7092676064286465E-06</v>
      </c>
      <c r="N128" s="19">
        <f t="shared" si="70"/>
        <v>-2.968999999924563</v>
      </c>
      <c r="O128" s="61">
        <v>630456</v>
      </c>
      <c r="P128" s="123">
        <f>O128/O124</f>
        <v>0.3267063370943027</v>
      </c>
      <c r="Q128" s="121">
        <f t="shared" si="71"/>
        <v>0.29564400659042295</v>
      </c>
      <c r="R128" s="121">
        <v>0.075</v>
      </c>
      <c r="S128" s="121">
        <v>0.08</v>
      </c>
      <c r="T128" s="137">
        <f>(O128*R128)+O128</f>
        <v>677740.2</v>
      </c>
      <c r="U128" s="137">
        <f t="shared" si="88"/>
        <v>728570.715</v>
      </c>
      <c r="V128" s="137">
        <f t="shared" si="88"/>
        <v>786856.3722</v>
      </c>
      <c r="W128" s="137">
        <f>(V128*S128)+V128</f>
        <v>849804.881976</v>
      </c>
      <c r="X128" s="137">
        <f>(W128*S128)+W128</f>
        <v>917789.2725340801</v>
      </c>
      <c r="Y128" s="137">
        <f>(X128*S128)+X128</f>
        <v>991212.4143368065</v>
      </c>
      <c r="Z128" s="137">
        <f>(Y128*S128)+Y128</f>
        <v>1070509.407483751</v>
      </c>
      <c r="AA128" s="137">
        <f>(Z128*S128)+Z128</f>
        <v>1156150.160082451</v>
      </c>
      <c r="AB128" s="61">
        <f>(AA128*S128)+AA128</f>
        <v>1248642.172889047</v>
      </c>
    </row>
    <row r="129" spans="1:28" ht="15">
      <c r="A129" s="34" t="s">
        <v>379</v>
      </c>
      <c r="B129" s="35" t="s">
        <v>380</v>
      </c>
      <c r="C129" s="132">
        <v>376464.0440000001</v>
      </c>
      <c r="D129" s="133">
        <f>C129/C124</f>
        <v>0.2796525863750711</v>
      </c>
      <c r="E129" s="120">
        <f t="shared" si="65"/>
        <v>1.3120796141689426</v>
      </c>
      <c r="F129" s="19">
        <f t="shared" si="66"/>
        <v>493950.79759999993</v>
      </c>
      <c r="G129" s="132">
        <v>870414.8416</v>
      </c>
      <c r="H129" s="133">
        <f>G129/G124</f>
        <v>0.27999996521291365</v>
      </c>
      <c r="I129" s="120">
        <f t="shared" si="67"/>
        <v>-0.3293364174180001</v>
      </c>
      <c r="J129" s="19">
        <f t="shared" si="68"/>
        <v>-286659.3056000001</v>
      </c>
      <c r="K129" s="63">
        <v>583755.536</v>
      </c>
      <c r="L129" s="133">
        <f>K129/K124</f>
        <v>0.31138740438548357</v>
      </c>
      <c r="M129" s="120">
        <f t="shared" si="69"/>
        <v>7.948532758650373E-07</v>
      </c>
      <c r="N129" s="19">
        <f t="shared" si="70"/>
        <v>0.4640000000363216</v>
      </c>
      <c r="O129" s="37">
        <v>583756</v>
      </c>
      <c r="P129" s="133">
        <f>O129/O124</f>
        <v>0.3025060979938676</v>
      </c>
      <c r="Q129" s="121">
        <f t="shared" si="71"/>
        <v>0.3275813305347394</v>
      </c>
      <c r="R129" s="121">
        <v>0.075</v>
      </c>
      <c r="S129" s="121">
        <v>0.08</v>
      </c>
      <c r="T129" s="137">
        <f>(O129*R129)+O129</f>
        <v>627537.7</v>
      </c>
      <c r="U129" s="137">
        <f t="shared" si="88"/>
        <v>674603.0275</v>
      </c>
      <c r="V129" s="137">
        <f t="shared" si="88"/>
        <v>728571.2697</v>
      </c>
      <c r="W129" s="137">
        <f>(V129*S129)+V129</f>
        <v>786856.9712759999</v>
      </c>
      <c r="X129" s="137">
        <f>(W129*S129)+W129</f>
        <v>849805.5289780799</v>
      </c>
      <c r="Y129" s="137">
        <f>(X129*S129)+X129</f>
        <v>917789.9712963263</v>
      </c>
      <c r="Z129" s="137">
        <f>(Y129*S129)+Y129</f>
        <v>991213.1690000324</v>
      </c>
      <c r="AA129" s="137">
        <f>(Z129*S129)+Z129</f>
        <v>1070510.222520035</v>
      </c>
      <c r="AB129" s="61">
        <f>(AA129*S129)+AA129</f>
        <v>1156151.0403216379</v>
      </c>
    </row>
    <row r="130" spans="1:28" ht="15">
      <c r="A130" s="33" t="s">
        <v>381</v>
      </c>
      <c r="B130" s="49" t="s">
        <v>382</v>
      </c>
      <c r="C130" s="24">
        <f>SUM(C131:C132)</f>
        <v>80357.085</v>
      </c>
      <c r="D130" s="20">
        <f>C130/C116</f>
        <v>0.01813754940729671</v>
      </c>
      <c r="E130" s="120">
        <f t="shared" si="65"/>
        <v>-0.8751840985769954</v>
      </c>
      <c r="F130" s="19">
        <f t="shared" si="66"/>
        <v>-70327.243</v>
      </c>
      <c r="G130" s="24">
        <f>SUM(G131:G132)</f>
        <v>10029.842</v>
      </c>
      <c r="H130" s="227">
        <f>G130/G116</f>
        <v>0.0014579696220743577</v>
      </c>
      <c r="I130" s="120">
        <f t="shared" si="67"/>
        <v>4.022500902805846</v>
      </c>
      <c r="J130" s="19">
        <f t="shared" si="68"/>
        <v>40345.04849999999</v>
      </c>
      <c r="K130" s="25">
        <f>SUM(K131:K132)</f>
        <v>50374.890499999994</v>
      </c>
      <c r="L130" s="20">
        <f>K130/K116</f>
        <v>0.004518628586311013</v>
      </c>
      <c r="M130" s="120">
        <f t="shared" si="69"/>
        <v>-0.48279788320333916</v>
      </c>
      <c r="N130" s="19">
        <f t="shared" si="70"/>
        <v>-24320.890499999994</v>
      </c>
      <c r="O130" s="25">
        <f>SUM(O131:O132)</f>
        <v>26054</v>
      </c>
      <c r="P130" s="20">
        <f>O130/O116</f>
        <v>0.0025712847087413612</v>
      </c>
      <c r="Q130" s="121">
        <f t="shared" si="71"/>
        <v>0.8881729736751706</v>
      </c>
      <c r="R130" s="121"/>
      <c r="S130" s="121">
        <v>0.08</v>
      </c>
      <c r="T130" s="25">
        <f aca="true" t="shared" si="89" ref="T130:AB130">SUM(T131:T132)</f>
        <v>28008.05</v>
      </c>
      <c r="U130" s="25">
        <f t="shared" si="89"/>
        <v>30108.653749999998</v>
      </c>
      <c r="V130" s="25">
        <f t="shared" si="89"/>
        <v>32517.346049999996</v>
      </c>
      <c r="W130" s="25">
        <f t="shared" si="89"/>
        <v>35118.733733999994</v>
      </c>
      <c r="X130" s="25">
        <f t="shared" si="89"/>
        <v>37928.23243272</v>
      </c>
      <c r="Y130" s="25">
        <f t="shared" si="89"/>
        <v>40962.49102733759</v>
      </c>
      <c r="Z130" s="25">
        <f t="shared" si="89"/>
        <v>44239.4903095246</v>
      </c>
      <c r="AA130" s="25">
        <f t="shared" si="89"/>
        <v>47778.64953428657</v>
      </c>
      <c r="AB130" s="25">
        <f t="shared" si="89"/>
        <v>51600.94149702949</v>
      </c>
    </row>
    <row r="131" spans="1:28" ht="14.25">
      <c r="A131" s="34" t="s">
        <v>383</v>
      </c>
      <c r="B131" s="50" t="s">
        <v>384</v>
      </c>
      <c r="C131" s="122">
        <v>25618.992</v>
      </c>
      <c r="D131" s="123">
        <f>C131/C130</f>
        <v>0.3188143522130002</v>
      </c>
      <c r="E131" s="120">
        <f t="shared" si="65"/>
        <v>-0.6084997411295494</v>
      </c>
      <c r="F131" s="19">
        <f t="shared" si="66"/>
        <v>-15589.149999999998</v>
      </c>
      <c r="G131" s="122">
        <v>10029.842</v>
      </c>
      <c r="H131" s="123">
        <f>G131/G130</f>
        <v>1</v>
      </c>
      <c r="I131" s="120">
        <f t="shared" si="67"/>
        <v>1.729515978417207</v>
      </c>
      <c r="J131" s="19">
        <f t="shared" si="68"/>
        <v>17346.771999999997</v>
      </c>
      <c r="K131" s="63">
        <v>27376.613999999998</v>
      </c>
      <c r="L131" s="123">
        <f>K131/K130</f>
        <v>0.5434575386322676</v>
      </c>
      <c r="M131" s="120">
        <f t="shared" si="69"/>
        <v>-0.04831181825480679</v>
      </c>
      <c r="N131" s="19">
        <f t="shared" si="70"/>
        <v>-1322.6139999999978</v>
      </c>
      <c r="O131" s="61">
        <v>26054</v>
      </c>
      <c r="P131" s="123">
        <f>O131/O130</f>
        <v>1</v>
      </c>
      <c r="Q131" s="121">
        <f t="shared" si="71"/>
        <v>0.3575681396776169</v>
      </c>
      <c r="R131" s="121">
        <v>0.075</v>
      </c>
      <c r="S131" s="121">
        <v>0.08</v>
      </c>
      <c r="T131" s="137">
        <f>(O131*R131)+O131</f>
        <v>28008.05</v>
      </c>
      <c r="U131" s="137">
        <f>(T131*R131)+T131</f>
        <v>30108.653749999998</v>
      </c>
      <c r="V131" s="137">
        <f>(U131*S131)+U131</f>
        <v>32517.346049999996</v>
      </c>
      <c r="W131" s="137">
        <f>(V131*S131)+V131</f>
        <v>35118.733733999994</v>
      </c>
      <c r="X131" s="137">
        <f>(W131*S131)+W131</f>
        <v>37928.23243272</v>
      </c>
      <c r="Y131" s="137">
        <f>(X131*S131)+X131</f>
        <v>40962.49102733759</v>
      </c>
      <c r="Z131" s="137">
        <f>(Y131*S131)+Y131</f>
        <v>44239.4903095246</v>
      </c>
      <c r="AA131" s="137">
        <f>(Z131*S131)+Z131</f>
        <v>47778.64953428657</v>
      </c>
      <c r="AB131" s="61">
        <f>(AA131*S131)+AA131</f>
        <v>51600.94149702949</v>
      </c>
    </row>
    <row r="132" spans="1:28" ht="14.25">
      <c r="A132" s="34" t="s">
        <v>385</v>
      </c>
      <c r="B132" s="51" t="s">
        <v>386</v>
      </c>
      <c r="C132" s="122">
        <v>54738.09300000001</v>
      </c>
      <c r="D132" s="123">
        <f>C132/C130</f>
        <v>0.6811856477869997</v>
      </c>
      <c r="E132" s="120">
        <f aca="true" t="shared" si="90" ref="E132:E195">G132/C132-1</f>
        <v>-1</v>
      </c>
      <c r="F132" s="19">
        <f aca="true" t="shared" si="91" ref="F132:F195">G132-C132</f>
        <v>-54738.09300000001</v>
      </c>
      <c r="G132" s="122"/>
      <c r="H132" s="123">
        <f>G132/G130</f>
        <v>0</v>
      </c>
      <c r="I132" s="120" t="e">
        <f aca="true" t="shared" si="92" ref="I132:I195">K132/G132-1</f>
        <v>#DIV/0!</v>
      </c>
      <c r="J132" s="19">
        <f aca="true" t="shared" si="93" ref="J132:J195">K132-G132</f>
        <v>22998.2765</v>
      </c>
      <c r="K132" s="63">
        <v>22998.2765</v>
      </c>
      <c r="L132" s="123">
        <f>K132/K130</f>
        <v>0.45654246136773247</v>
      </c>
      <c r="M132" s="120">
        <f aca="true" t="shared" si="94" ref="M132:M195">O132/K132-1</f>
        <v>-1</v>
      </c>
      <c r="N132" s="19">
        <f aca="true" t="shared" si="95" ref="N132:N195">O132-K132</f>
        <v>-22998.2765</v>
      </c>
      <c r="O132" s="63">
        <v>0</v>
      </c>
      <c r="P132" s="123">
        <f>O132/O130</f>
        <v>0</v>
      </c>
      <c r="Q132" s="121" t="e">
        <f t="shared" si="71"/>
        <v>#DIV/0!</v>
      </c>
      <c r="R132" s="121">
        <v>0.075</v>
      </c>
      <c r="S132" s="121">
        <v>0.08</v>
      </c>
      <c r="T132" s="137">
        <f>(O132*R132)+O132</f>
        <v>0</v>
      </c>
      <c r="U132" s="137">
        <f>(T132*R132)+T132</f>
        <v>0</v>
      </c>
      <c r="V132" s="137">
        <f>(U132*S132)+U132</f>
        <v>0</v>
      </c>
      <c r="W132" s="137">
        <f>(V132*S132)+V132</f>
        <v>0</v>
      </c>
      <c r="X132" s="137">
        <f>(W132*S132)+W132</f>
        <v>0</v>
      </c>
      <c r="Y132" s="137">
        <f>(X132*S132)+X132</f>
        <v>0</v>
      </c>
      <c r="Z132" s="137">
        <f>(Y132*S132)+Y132</f>
        <v>0</v>
      </c>
      <c r="AA132" s="137">
        <f>(Z132*S132)+Z132</f>
        <v>0</v>
      </c>
      <c r="AB132" s="61">
        <f>(AA132*S132)+AA132</f>
        <v>0</v>
      </c>
    </row>
    <row r="133" spans="1:28" ht="15.75">
      <c r="A133" s="33" t="s">
        <v>387</v>
      </c>
      <c r="B133" s="139" t="s">
        <v>388</v>
      </c>
      <c r="C133" s="24">
        <f>SUM(C134:C135)</f>
        <v>681480</v>
      </c>
      <c r="D133" s="20">
        <f>C133/C116</f>
        <v>0.15381813775455594</v>
      </c>
      <c r="E133" s="120">
        <f t="shared" si="90"/>
        <v>4.066583117626343</v>
      </c>
      <c r="F133" s="19">
        <f t="shared" si="91"/>
        <v>2771295.063</v>
      </c>
      <c r="G133" s="24">
        <f>SUM(G134:G135)</f>
        <v>3452775.063</v>
      </c>
      <c r="H133" s="227">
        <f>G133/G116</f>
        <v>0.5019063265114123</v>
      </c>
      <c r="I133" s="120">
        <f t="shared" si="92"/>
        <v>1.4417539895213265</v>
      </c>
      <c r="J133" s="19">
        <f t="shared" si="93"/>
        <v>4978052.222</v>
      </c>
      <c r="K133" s="25">
        <f>SUM(K134:K135)</f>
        <v>8430827.285</v>
      </c>
      <c r="L133" s="20">
        <f>K133/K116</f>
        <v>0.7562453595060792</v>
      </c>
      <c r="M133" s="120">
        <f t="shared" si="94"/>
        <v>-0.11040758558251029</v>
      </c>
      <c r="N133" s="19">
        <f t="shared" si="95"/>
        <v>-930827.2850000001</v>
      </c>
      <c r="O133" s="25">
        <f>SUM(O134:O135)</f>
        <v>7500000</v>
      </c>
      <c r="P133" s="20">
        <f>O133/O116</f>
        <v>0.7401794471313506</v>
      </c>
      <c r="Q133" s="121">
        <f aca="true" t="shared" si="96" ref="Q133:Q196">SUM(E133+I133+M133)/3</f>
        <v>1.7993098405217198</v>
      </c>
      <c r="R133" s="121"/>
      <c r="S133" s="121">
        <v>0.08</v>
      </c>
      <c r="T133" s="134">
        <f aca="true" t="shared" si="97" ref="T133:AB133">SUM(T134:T135)</f>
        <v>8062500</v>
      </c>
      <c r="U133" s="25">
        <f t="shared" si="97"/>
        <v>8667187.5</v>
      </c>
      <c r="V133" s="25">
        <f t="shared" si="97"/>
        <v>9360562.5</v>
      </c>
      <c r="W133" s="25">
        <f t="shared" si="97"/>
        <v>10109407.5</v>
      </c>
      <c r="X133" s="25">
        <f t="shared" si="97"/>
        <v>10918160.1</v>
      </c>
      <c r="Y133" s="25">
        <f t="shared" si="97"/>
        <v>11791612.908</v>
      </c>
      <c r="Z133" s="25">
        <f t="shared" si="97"/>
        <v>12734941.94064</v>
      </c>
      <c r="AA133" s="25">
        <f t="shared" si="97"/>
        <v>13753737.295891201</v>
      </c>
      <c r="AB133" s="25">
        <f t="shared" si="97"/>
        <v>14854036.279562498</v>
      </c>
    </row>
    <row r="134" spans="1:28" ht="15">
      <c r="A134" s="34" t="s">
        <v>389</v>
      </c>
      <c r="B134" s="29" t="s">
        <v>390</v>
      </c>
      <c r="C134" s="122"/>
      <c r="D134" s="123">
        <f>C134/C133</f>
        <v>0</v>
      </c>
      <c r="E134" s="120" t="e">
        <f t="shared" si="90"/>
        <v>#DIV/0!</v>
      </c>
      <c r="F134" s="19">
        <f t="shared" si="91"/>
        <v>0</v>
      </c>
      <c r="G134" s="122"/>
      <c r="H134" s="123">
        <f>G134/G133</f>
        <v>0</v>
      </c>
      <c r="I134" s="120" t="e">
        <f t="shared" si="92"/>
        <v>#DIV/0!</v>
      </c>
      <c r="J134" s="19">
        <f t="shared" si="93"/>
        <v>0</v>
      </c>
      <c r="K134" s="63">
        <v>0</v>
      </c>
      <c r="L134" s="123">
        <f>K134/K133</f>
        <v>0</v>
      </c>
      <c r="M134" s="120" t="e">
        <f t="shared" si="94"/>
        <v>#DIV/0!</v>
      </c>
      <c r="N134" s="19">
        <f t="shared" si="95"/>
        <v>0</v>
      </c>
      <c r="O134" s="63">
        <v>0</v>
      </c>
      <c r="P134" s="123">
        <f>O134/O133</f>
        <v>0</v>
      </c>
      <c r="Q134" s="121" t="e">
        <f t="shared" si="96"/>
        <v>#DIV/0!</v>
      </c>
      <c r="R134" s="121"/>
      <c r="S134" s="121">
        <v>0.08</v>
      </c>
      <c r="T134" s="137">
        <f>(O134*R134)+O134</f>
        <v>0</v>
      </c>
      <c r="U134" s="137">
        <f aca="true" t="shared" si="98" ref="U134:V138">(T134*R134)+T134</f>
        <v>0</v>
      </c>
      <c r="V134" s="137">
        <f t="shared" si="98"/>
        <v>0</v>
      </c>
      <c r="W134" s="137">
        <f>(V134*S134)+V134</f>
        <v>0</v>
      </c>
      <c r="X134" s="137">
        <f>(W134*S134)+W134</f>
        <v>0</v>
      </c>
      <c r="Y134" s="137">
        <f>(X134*S134)+X134</f>
        <v>0</v>
      </c>
      <c r="Z134" s="137">
        <f>(Y134*S134)+Y134</f>
        <v>0</v>
      </c>
      <c r="AA134" s="137">
        <f>(Z134*S134)+Z134</f>
        <v>0</v>
      </c>
      <c r="AB134" s="61">
        <f>(AA134*S134)+AA134</f>
        <v>0</v>
      </c>
    </row>
    <row r="135" spans="1:28" ht="15">
      <c r="A135" s="34" t="s">
        <v>391</v>
      </c>
      <c r="B135" s="29" t="s">
        <v>392</v>
      </c>
      <c r="C135" s="19">
        <f>SUM(C136:C138)</f>
        <v>681480</v>
      </c>
      <c r="D135" s="38">
        <f>C135/C133</f>
        <v>1</v>
      </c>
      <c r="E135" s="120">
        <f t="shared" si="90"/>
        <v>4.066583117626343</v>
      </c>
      <c r="F135" s="19">
        <f t="shared" si="91"/>
        <v>2771295.063</v>
      </c>
      <c r="G135" s="37">
        <f>SUM(G136:G138)</f>
        <v>3452775.063</v>
      </c>
      <c r="H135" s="38">
        <f>G135/G133</f>
        <v>1</v>
      </c>
      <c r="I135" s="120">
        <f t="shared" si="92"/>
        <v>1.4417539895213265</v>
      </c>
      <c r="J135" s="19">
        <f t="shared" si="93"/>
        <v>4978052.222</v>
      </c>
      <c r="K135" s="63">
        <f>SUM(K136:K138)</f>
        <v>8430827.285</v>
      </c>
      <c r="L135" s="38">
        <f>K135/K133</f>
        <v>1</v>
      </c>
      <c r="M135" s="120">
        <f t="shared" si="94"/>
        <v>-0.11040758558251029</v>
      </c>
      <c r="N135" s="19">
        <f t="shared" si="95"/>
        <v>-930827.2850000001</v>
      </c>
      <c r="O135" s="63">
        <f>SUM(O136:O138)</f>
        <v>7500000</v>
      </c>
      <c r="P135" s="38">
        <f>O135/O133</f>
        <v>1</v>
      </c>
      <c r="Q135" s="121">
        <f t="shared" si="96"/>
        <v>1.7993098405217198</v>
      </c>
      <c r="R135" s="121">
        <v>0.075</v>
      </c>
      <c r="S135" s="121">
        <v>0.08</v>
      </c>
      <c r="T135" s="137">
        <f>(O135*R135)+O135</f>
        <v>8062500</v>
      </c>
      <c r="U135" s="137">
        <f t="shared" si="98"/>
        <v>8667187.5</v>
      </c>
      <c r="V135" s="137">
        <f t="shared" si="98"/>
        <v>9360562.5</v>
      </c>
      <c r="W135" s="137">
        <f>(V135*S135)+V135</f>
        <v>10109407.5</v>
      </c>
      <c r="X135" s="137">
        <f>(W135*S135)+W135</f>
        <v>10918160.1</v>
      </c>
      <c r="Y135" s="137">
        <f>(X135*S135)+X135</f>
        <v>11791612.908</v>
      </c>
      <c r="Z135" s="137">
        <f>(Y135*S135)+Y135</f>
        <v>12734941.94064</v>
      </c>
      <c r="AA135" s="137">
        <f>(Z135*S135)+Z135</f>
        <v>13753737.295891201</v>
      </c>
      <c r="AB135" s="61">
        <f>(AA135*S135)+AA135</f>
        <v>14854036.279562498</v>
      </c>
    </row>
    <row r="136" spans="1:28" ht="15">
      <c r="A136" s="34" t="s">
        <v>393</v>
      </c>
      <c r="B136" s="29" t="s">
        <v>394</v>
      </c>
      <c r="C136" s="122"/>
      <c r="D136" s="123">
        <f>C136/C135</f>
        <v>0</v>
      </c>
      <c r="E136" s="120" t="e">
        <f t="shared" si="90"/>
        <v>#DIV/0!</v>
      </c>
      <c r="F136" s="19">
        <f t="shared" si="91"/>
        <v>0</v>
      </c>
      <c r="G136" s="122"/>
      <c r="H136" s="123">
        <f>G136/G135</f>
        <v>0</v>
      </c>
      <c r="I136" s="120" t="e">
        <f t="shared" si="92"/>
        <v>#DIV/0!</v>
      </c>
      <c r="J136" s="19">
        <f t="shared" si="93"/>
        <v>421541.414</v>
      </c>
      <c r="K136" s="63">
        <v>421541.414</v>
      </c>
      <c r="L136" s="123">
        <f>K136/K135</f>
        <v>0.05000000590096301</v>
      </c>
      <c r="M136" s="120">
        <f t="shared" si="94"/>
        <v>-0.11040769057153654</v>
      </c>
      <c r="N136" s="19">
        <f t="shared" si="95"/>
        <v>-46541.41399999999</v>
      </c>
      <c r="O136" s="61">
        <v>375000</v>
      </c>
      <c r="P136" s="123">
        <f>O136/O135</f>
        <v>0.05</v>
      </c>
      <c r="Q136" s="121" t="e">
        <f t="shared" si="96"/>
        <v>#DIV/0!</v>
      </c>
      <c r="R136" s="121"/>
      <c r="S136" s="121">
        <v>0.08</v>
      </c>
      <c r="T136" s="61"/>
      <c r="U136" s="137">
        <f t="shared" si="98"/>
        <v>0</v>
      </c>
      <c r="V136" s="137">
        <f t="shared" si="98"/>
        <v>0</v>
      </c>
      <c r="W136" s="137">
        <f>(V136*S136)+V136</f>
        <v>0</v>
      </c>
      <c r="X136" s="137">
        <f>(W136*S136)+W136</f>
        <v>0</v>
      </c>
      <c r="Y136" s="137">
        <f>(X136*S136)+X136</f>
        <v>0</v>
      </c>
      <c r="Z136" s="137">
        <f>(Y136*S136)+Y136</f>
        <v>0</v>
      </c>
      <c r="AA136" s="137">
        <f>(Z136*S136)+Z136</f>
        <v>0</v>
      </c>
      <c r="AB136" s="61">
        <f>(AA136*S136)+AA136</f>
        <v>0</v>
      </c>
    </row>
    <row r="137" spans="1:28" ht="15">
      <c r="A137" s="34" t="s">
        <v>395</v>
      </c>
      <c r="B137" s="29" t="s">
        <v>396</v>
      </c>
      <c r="C137" s="122"/>
      <c r="D137" s="123">
        <f>C137/C135</f>
        <v>0</v>
      </c>
      <c r="E137" s="120" t="e">
        <f t="shared" si="90"/>
        <v>#DIV/0!</v>
      </c>
      <c r="F137" s="19">
        <f t="shared" si="91"/>
        <v>0</v>
      </c>
      <c r="G137" s="122"/>
      <c r="H137" s="123">
        <f>G137/G135</f>
        <v>0</v>
      </c>
      <c r="I137" s="120" t="e">
        <f t="shared" si="92"/>
        <v>#DIV/0!</v>
      </c>
      <c r="J137" s="19">
        <f t="shared" si="93"/>
        <v>421541.414</v>
      </c>
      <c r="K137" s="63">
        <v>421541.414</v>
      </c>
      <c r="L137" s="123">
        <f>K137/K135</f>
        <v>0.05000000590096301</v>
      </c>
      <c r="M137" s="120">
        <f t="shared" si="94"/>
        <v>-0.11040769057153654</v>
      </c>
      <c r="N137" s="19">
        <f t="shared" si="95"/>
        <v>-46541.41399999999</v>
      </c>
      <c r="O137" s="61">
        <v>375000</v>
      </c>
      <c r="P137" s="123">
        <f>O137/O135</f>
        <v>0.05</v>
      </c>
      <c r="Q137" s="121" t="e">
        <f t="shared" si="96"/>
        <v>#DIV/0!</v>
      </c>
      <c r="R137" s="121"/>
      <c r="S137" s="121">
        <v>0.08</v>
      </c>
      <c r="T137" s="61"/>
      <c r="U137" s="137">
        <f t="shared" si="98"/>
        <v>0</v>
      </c>
      <c r="V137" s="137">
        <f t="shared" si="98"/>
        <v>0</v>
      </c>
      <c r="W137" s="137">
        <f>(V137*S137)+V137</f>
        <v>0</v>
      </c>
      <c r="X137" s="137">
        <f>(W137*S137)+W137</f>
        <v>0</v>
      </c>
      <c r="Y137" s="137">
        <f>(X137*S137)+X137</f>
        <v>0</v>
      </c>
      <c r="Z137" s="137">
        <f>(Y137*S137)+Y137</f>
        <v>0</v>
      </c>
      <c r="AA137" s="137">
        <f>(Z137*S137)+Z137</f>
        <v>0</v>
      </c>
      <c r="AB137" s="61">
        <f>(AA137*S137)+AA137</f>
        <v>0</v>
      </c>
    </row>
    <row r="138" spans="1:28" ht="15">
      <c r="A138" s="34" t="s">
        <v>397</v>
      </c>
      <c r="B138" s="29" t="s">
        <v>398</v>
      </c>
      <c r="C138" s="122">
        <v>681480</v>
      </c>
      <c r="D138" s="123">
        <f>C138/C135</f>
        <v>1</v>
      </c>
      <c r="E138" s="120">
        <f t="shared" si="90"/>
        <v>4.066583117626343</v>
      </c>
      <c r="F138" s="19">
        <f t="shared" si="91"/>
        <v>2771295.063</v>
      </c>
      <c r="G138" s="122">
        <v>3452775.063</v>
      </c>
      <c r="H138" s="123">
        <f>G138/G135</f>
        <v>1</v>
      </c>
      <c r="I138" s="120">
        <f t="shared" si="92"/>
        <v>1.197578561751794</v>
      </c>
      <c r="J138" s="19">
        <f t="shared" si="93"/>
        <v>4134969.3940000003</v>
      </c>
      <c r="K138" s="63">
        <v>7587744.457</v>
      </c>
      <c r="L138" s="123">
        <f>K138/K135</f>
        <v>0.899999988198074</v>
      </c>
      <c r="M138" s="120">
        <f t="shared" si="94"/>
        <v>-0.11040757391706135</v>
      </c>
      <c r="N138" s="19">
        <f t="shared" si="95"/>
        <v>-837744.4570000004</v>
      </c>
      <c r="O138" s="61">
        <v>6750000</v>
      </c>
      <c r="P138" s="123">
        <f>O138/O135</f>
        <v>0.9</v>
      </c>
      <c r="Q138" s="121">
        <f t="shared" si="96"/>
        <v>1.7179180351536918</v>
      </c>
      <c r="R138" s="121"/>
      <c r="S138" s="121">
        <v>0.08</v>
      </c>
      <c r="T138" s="61"/>
      <c r="U138" s="137">
        <f t="shared" si="98"/>
        <v>0</v>
      </c>
      <c r="V138" s="137">
        <f t="shared" si="98"/>
        <v>0</v>
      </c>
      <c r="W138" s="137">
        <f>(V138*S138)+V138</f>
        <v>0</v>
      </c>
      <c r="X138" s="137">
        <f>(W138*S138)+W138</f>
        <v>0</v>
      </c>
      <c r="Y138" s="137">
        <f>(X138*S138)+X138</f>
        <v>0</v>
      </c>
      <c r="Z138" s="137">
        <f>(Y138*S138)+Y138</f>
        <v>0</v>
      </c>
      <c r="AA138" s="137">
        <f>(Z138*S138)+Z138</f>
        <v>0</v>
      </c>
      <c r="AB138" s="61">
        <f>(AA138*S138)+AA138</f>
        <v>0</v>
      </c>
    </row>
    <row r="139" spans="1:28" ht="15">
      <c r="A139" s="33" t="s">
        <v>399</v>
      </c>
      <c r="B139" s="233" t="s">
        <v>400</v>
      </c>
      <c r="C139" s="24">
        <f>SUM(C140+C142)</f>
        <v>1108784</v>
      </c>
      <c r="D139" s="20">
        <f>C139/C116</f>
        <v>0.25026573054535356</v>
      </c>
      <c r="E139" s="120">
        <f t="shared" si="90"/>
        <v>-0.8657856372566703</v>
      </c>
      <c r="F139" s="19">
        <f t="shared" si="91"/>
        <v>-959969.26202</v>
      </c>
      <c r="G139" s="24">
        <f>SUM(G140+G142)</f>
        <v>148814.73798</v>
      </c>
      <c r="H139" s="227">
        <f>G139/G116</f>
        <v>0.021632181971739453</v>
      </c>
      <c r="I139" s="120">
        <f t="shared" si="92"/>
        <v>1.3480066876639607</v>
      </c>
      <c r="J139" s="19">
        <f t="shared" si="93"/>
        <v>200603.26202</v>
      </c>
      <c r="K139" s="25">
        <f>SUM(K140+K142)</f>
        <v>349418</v>
      </c>
      <c r="L139" s="20">
        <f>K139/K116</f>
        <v>0.031342800901405864</v>
      </c>
      <c r="M139" s="120">
        <f t="shared" si="94"/>
        <v>0</v>
      </c>
      <c r="N139" s="19">
        <f t="shared" si="95"/>
        <v>0</v>
      </c>
      <c r="O139" s="25">
        <f>SUM(O140+O142)</f>
        <v>349418</v>
      </c>
      <c r="P139" s="20">
        <f>O139/O116</f>
        <v>0.03448426960769897</v>
      </c>
      <c r="Q139" s="121">
        <f t="shared" si="96"/>
        <v>0.16074035013576346</v>
      </c>
      <c r="R139" s="121"/>
      <c r="S139" s="121">
        <v>0.08</v>
      </c>
      <c r="T139" s="25">
        <f aca="true" t="shared" si="99" ref="T139:AB139">SUM(T140+T142)</f>
        <v>375624.35000000003</v>
      </c>
      <c r="U139" s="25">
        <f t="shared" si="99"/>
        <v>403796.17625</v>
      </c>
      <c r="V139" s="25">
        <f t="shared" si="99"/>
        <v>436099.87035</v>
      </c>
      <c r="W139" s="25">
        <f t="shared" si="99"/>
        <v>470987.859978</v>
      </c>
      <c r="X139" s="25">
        <f t="shared" si="99"/>
        <v>508666.88877624006</v>
      </c>
      <c r="Y139" s="25">
        <f t="shared" si="99"/>
        <v>549360.2398783392</v>
      </c>
      <c r="Z139" s="25">
        <f t="shared" si="99"/>
        <v>593309.0590686065</v>
      </c>
      <c r="AA139" s="25">
        <f t="shared" si="99"/>
        <v>640773.7837940948</v>
      </c>
      <c r="AB139" s="25">
        <f t="shared" si="99"/>
        <v>692035.6864976225</v>
      </c>
    </row>
    <row r="140" spans="1:28" ht="15.75">
      <c r="A140" s="33" t="s">
        <v>401</v>
      </c>
      <c r="B140" s="45" t="s">
        <v>358</v>
      </c>
      <c r="C140" s="24">
        <f>SUM(C141)</f>
        <v>0</v>
      </c>
      <c r="D140" s="20">
        <f>C140/C139</f>
        <v>0</v>
      </c>
      <c r="E140" s="120" t="e">
        <f t="shared" si="90"/>
        <v>#DIV/0!</v>
      </c>
      <c r="F140" s="19">
        <f t="shared" si="91"/>
        <v>21389.312</v>
      </c>
      <c r="G140" s="24">
        <f>SUM(G141)</f>
        <v>21389.312</v>
      </c>
      <c r="H140" s="232">
        <f>G140/G139</f>
        <v>0.14373114041214535</v>
      </c>
      <c r="I140" s="120">
        <f t="shared" si="92"/>
        <v>-0.5506634341487936</v>
      </c>
      <c r="J140" s="19">
        <f t="shared" si="93"/>
        <v>-11778.312000000002</v>
      </c>
      <c r="K140" s="25">
        <f>SUM(K141)</f>
        <v>9611</v>
      </c>
      <c r="L140" s="20">
        <f>K140/K139</f>
        <v>0.02750573811309091</v>
      </c>
      <c r="M140" s="120">
        <f t="shared" si="94"/>
        <v>0</v>
      </c>
      <c r="N140" s="19">
        <f t="shared" si="95"/>
        <v>0</v>
      </c>
      <c r="O140" s="25">
        <f>SUM(O141)</f>
        <v>9611</v>
      </c>
      <c r="P140" s="20">
        <f>O140/O139</f>
        <v>0.02750573811309091</v>
      </c>
      <c r="Q140" s="121" t="e">
        <f t="shared" si="96"/>
        <v>#DIV/0!</v>
      </c>
      <c r="R140" s="121"/>
      <c r="S140" s="121">
        <v>0.08</v>
      </c>
      <c r="T140" s="25">
        <f aca="true" t="shared" si="100" ref="T140:AB140">SUM(T141)</f>
        <v>10331.825</v>
      </c>
      <c r="U140" s="25">
        <f t="shared" si="100"/>
        <v>11106.711875</v>
      </c>
      <c r="V140" s="25">
        <f t="shared" si="100"/>
        <v>11995.248825</v>
      </c>
      <c r="W140" s="25">
        <f t="shared" si="100"/>
        <v>12954.868731</v>
      </c>
      <c r="X140" s="25">
        <f t="shared" si="100"/>
        <v>13991.258229480001</v>
      </c>
      <c r="Y140" s="25">
        <f t="shared" si="100"/>
        <v>15110.5588878384</v>
      </c>
      <c r="Z140" s="25">
        <f t="shared" si="100"/>
        <v>16319.403598865472</v>
      </c>
      <c r="AA140" s="25">
        <f t="shared" si="100"/>
        <v>17624.95588677471</v>
      </c>
      <c r="AB140" s="25">
        <f t="shared" si="100"/>
        <v>19034.952357716687</v>
      </c>
    </row>
    <row r="141" spans="1:28" ht="15">
      <c r="A141" s="34" t="s">
        <v>402</v>
      </c>
      <c r="B141" s="35" t="s">
        <v>360</v>
      </c>
      <c r="C141" s="132">
        <v>0</v>
      </c>
      <c r="D141" s="133" t="e">
        <f>C141/C140</f>
        <v>#DIV/0!</v>
      </c>
      <c r="E141" s="120" t="e">
        <f t="shared" si="90"/>
        <v>#DIV/0!</v>
      </c>
      <c r="F141" s="19">
        <f t="shared" si="91"/>
        <v>21389.312</v>
      </c>
      <c r="G141" s="132">
        <v>21389.312</v>
      </c>
      <c r="H141" s="133">
        <f>G141/G140</f>
        <v>1</v>
      </c>
      <c r="I141" s="120">
        <f t="shared" si="92"/>
        <v>-0.5506634341487936</v>
      </c>
      <c r="J141" s="19">
        <f t="shared" si="93"/>
        <v>-11778.312000000002</v>
      </c>
      <c r="K141" s="63">
        <v>9611</v>
      </c>
      <c r="L141" s="133">
        <f>K141/K140</f>
        <v>1</v>
      </c>
      <c r="M141" s="120">
        <f t="shared" si="94"/>
        <v>0</v>
      </c>
      <c r="N141" s="19">
        <f t="shared" si="95"/>
        <v>0</v>
      </c>
      <c r="O141" s="37">
        <v>9611</v>
      </c>
      <c r="P141" s="133">
        <f>O141/O140</f>
        <v>1</v>
      </c>
      <c r="Q141" s="121" t="e">
        <f t="shared" si="96"/>
        <v>#DIV/0!</v>
      </c>
      <c r="R141" s="121">
        <v>0.075</v>
      </c>
      <c r="S141" s="121">
        <v>0.08</v>
      </c>
      <c r="T141" s="137">
        <f>(O141*R141)+O141</f>
        <v>10331.825</v>
      </c>
      <c r="U141" s="137">
        <f>(T141*R141)+T141</f>
        <v>11106.711875</v>
      </c>
      <c r="V141" s="137">
        <f>(U141*S141)+U141</f>
        <v>11995.248825</v>
      </c>
      <c r="W141" s="137">
        <f>(V141*S141)+V141</f>
        <v>12954.868731</v>
      </c>
      <c r="X141" s="137">
        <f>(W141*S141)+W141</f>
        <v>13991.258229480001</v>
      </c>
      <c r="Y141" s="137">
        <f>(X141*S141)+X141</f>
        <v>15110.5588878384</v>
      </c>
      <c r="Z141" s="137">
        <f>(Y141*S141)+Y141</f>
        <v>16319.403598865472</v>
      </c>
      <c r="AA141" s="137">
        <f>(Z141*S141)+Z141</f>
        <v>17624.95588677471</v>
      </c>
      <c r="AB141" s="61">
        <f>(AA141*S141)+AA141</f>
        <v>19034.952357716687</v>
      </c>
    </row>
    <row r="142" spans="1:28" ht="15.75">
      <c r="A142" s="33" t="s">
        <v>403</v>
      </c>
      <c r="B142" s="45" t="s">
        <v>362</v>
      </c>
      <c r="C142" s="24">
        <f>SUM(C143+C145)</f>
        <v>1108784</v>
      </c>
      <c r="D142" s="20">
        <f>C142/C139</f>
        <v>1</v>
      </c>
      <c r="E142" s="120">
        <f t="shared" si="90"/>
        <v>-0.8850764206734585</v>
      </c>
      <c r="F142" s="19">
        <f t="shared" si="91"/>
        <v>-981358.57402</v>
      </c>
      <c r="G142" s="24">
        <f>SUM(G143+G145)</f>
        <v>127425.42598</v>
      </c>
      <c r="H142" s="232">
        <f>G142/G139</f>
        <v>0.8562688595878546</v>
      </c>
      <c r="I142" s="120">
        <f t="shared" si="92"/>
        <v>1.6667126861583674</v>
      </c>
      <c r="J142" s="19">
        <f t="shared" si="93"/>
        <v>212381.57402</v>
      </c>
      <c r="K142" s="25">
        <f>SUM(K143+K145)</f>
        <v>339807</v>
      </c>
      <c r="L142" s="20">
        <f>K142/K139</f>
        <v>0.9724942618869091</v>
      </c>
      <c r="M142" s="120">
        <f t="shared" si="94"/>
        <v>0</v>
      </c>
      <c r="N142" s="19">
        <f t="shared" si="95"/>
        <v>0</v>
      </c>
      <c r="O142" s="25">
        <f>SUM(O143+O145)</f>
        <v>339807</v>
      </c>
      <c r="P142" s="20">
        <f>O142/O139</f>
        <v>0.9724942618869091</v>
      </c>
      <c r="Q142" s="121">
        <f t="shared" si="96"/>
        <v>0.260545421828303</v>
      </c>
      <c r="R142" s="121">
        <v>0.075</v>
      </c>
      <c r="S142" s="121">
        <v>0.08</v>
      </c>
      <c r="T142" s="25">
        <f aca="true" t="shared" si="101" ref="T142:AB142">SUM(T143+T145)</f>
        <v>365292.525</v>
      </c>
      <c r="U142" s="25">
        <f t="shared" si="101"/>
        <v>392689.46437500004</v>
      </c>
      <c r="V142" s="25">
        <f t="shared" si="101"/>
        <v>424104.62152499997</v>
      </c>
      <c r="W142" s="25">
        <f t="shared" si="101"/>
        <v>458032.991247</v>
      </c>
      <c r="X142" s="25">
        <f t="shared" si="101"/>
        <v>494675.63054676005</v>
      </c>
      <c r="Y142" s="25">
        <f t="shared" si="101"/>
        <v>534249.6809905008</v>
      </c>
      <c r="Z142" s="25">
        <f t="shared" si="101"/>
        <v>576989.655469741</v>
      </c>
      <c r="AA142" s="25">
        <f t="shared" si="101"/>
        <v>623148.8279073201</v>
      </c>
      <c r="AB142" s="25">
        <f t="shared" si="101"/>
        <v>673000.7341399058</v>
      </c>
    </row>
    <row r="143" spans="1:28" ht="15">
      <c r="A143" s="52" t="s">
        <v>404</v>
      </c>
      <c r="B143" s="138" t="s">
        <v>405</v>
      </c>
      <c r="C143" s="24">
        <f>SUM(C144)</f>
        <v>0</v>
      </c>
      <c r="D143" s="20">
        <f>C143/C142</f>
        <v>0</v>
      </c>
      <c r="E143" s="120" t="e">
        <f t="shared" si="90"/>
        <v>#DIV/0!</v>
      </c>
      <c r="F143" s="19">
        <f t="shared" si="91"/>
        <v>5197.426</v>
      </c>
      <c r="G143" s="24">
        <f>SUM(G144)</f>
        <v>5197.426</v>
      </c>
      <c r="H143" s="20">
        <f>G143/G142</f>
        <v>0.040787982147422915</v>
      </c>
      <c r="I143" s="120">
        <f t="shared" si="92"/>
        <v>4.025179771679289</v>
      </c>
      <c r="J143" s="19">
        <f t="shared" si="93"/>
        <v>20920.574</v>
      </c>
      <c r="K143" s="25">
        <f>SUM(K144)</f>
        <v>26118</v>
      </c>
      <c r="L143" s="20">
        <f>K143/K142</f>
        <v>0.07686127713672761</v>
      </c>
      <c r="M143" s="120">
        <f t="shared" si="94"/>
        <v>0</v>
      </c>
      <c r="N143" s="19">
        <f t="shared" si="95"/>
        <v>0</v>
      </c>
      <c r="O143" s="25">
        <f>SUM(O144)</f>
        <v>26118</v>
      </c>
      <c r="P143" s="20">
        <f>O143/O142</f>
        <v>0.07686127713672761</v>
      </c>
      <c r="Q143" s="121" t="e">
        <f t="shared" si="96"/>
        <v>#DIV/0!</v>
      </c>
      <c r="R143" s="121">
        <v>0.075</v>
      </c>
      <c r="S143" s="121">
        <v>0.08</v>
      </c>
      <c r="T143" s="25">
        <f>SUM(T144)</f>
        <v>28076.85</v>
      </c>
      <c r="U143" s="25">
        <f aca="true" t="shared" si="102" ref="U143:AB143">SUM(U144)</f>
        <v>30182.613749999997</v>
      </c>
      <c r="V143" s="25">
        <f t="shared" si="102"/>
        <v>32597.22285</v>
      </c>
      <c r="W143" s="25">
        <f t="shared" si="102"/>
        <v>35205.000678</v>
      </c>
      <c r="X143" s="25">
        <f t="shared" si="102"/>
        <v>38021.40073224</v>
      </c>
      <c r="Y143" s="25">
        <f t="shared" si="102"/>
        <v>41063.1127908192</v>
      </c>
      <c r="Z143" s="25">
        <f t="shared" si="102"/>
        <v>44348.161814084735</v>
      </c>
      <c r="AA143" s="25">
        <f t="shared" si="102"/>
        <v>47896.01475921151</v>
      </c>
      <c r="AB143" s="25">
        <f t="shared" si="102"/>
        <v>51727.69593994843</v>
      </c>
    </row>
    <row r="144" spans="1:28" ht="15">
      <c r="A144" s="34" t="s">
        <v>406</v>
      </c>
      <c r="B144" s="35" t="s">
        <v>368</v>
      </c>
      <c r="C144" s="122">
        <v>0</v>
      </c>
      <c r="D144" s="123" t="e">
        <f>C144/C143</f>
        <v>#DIV/0!</v>
      </c>
      <c r="E144" s="120" t="e">
        <f t="shared" si="90"/>
        <v>#DIV/0!</v>
      </c>
      <c r="F144" s="19">
        <f t="shared" si="91"/>
        <v>5197.426</v>
      </c>
      <c r="G144" s="122">
        <v>5197.426</v>
      </c>
      <c r="H144" s="123">
        <f>G144/G143</f>
        <v>1</v>
      </c>
      <c r="I144" s="120">
        <f t="shared" si="92"/>
        <v>4.025179771679289</v>
      </c>
      <c r="J144" s="19">
        <f t="shared" si="93"/>
        <v>20920.574</v>
      </c>
      <c r="K144" s="63">
        <v>26118</v>
      </c>
      <c r="L144" s="123">
        <f>K144/K143</f>
        <v>1</v>
      </c>
      <c r="M144" s="120">
        <f t="shared" si="94"/>
        <v>0</v>
      </c>
      <c r="N144" s="19">
        <f t="shared" si="95"/>
        <v>0</v>
      </c>
      <c r="O144" s="61">
        <v>26118</v>
      </c>
      <c r="P144" s="123">
        <f>O144/O143</f>
        <v>1</v>
      </c>
      <c r="Q144" s="121" t="e">
        <f t="shared" si="96"/>
        <v>#DIV/0!</v>
      </c>
      <c r="R144" s="121">
        <v>0.075</v>
      </c>
      <c r="S144" s="121">
        <v>0.08</v>
      </c>
      <c r="T144" s="137">
        <f>(O144*R144)+O144</f>
        <v>28076.85</v>
      </c>
      <c r="U144" s="137">
        <f>(T144*R144)+T144</f>
        <v>30182.613749999997</v>
      </c>
      <c r="V144" s="137">
        <f>(U144*S144)+U144</f>
        <v>32597.22285</v>
      </c>
      <c r="W144" s="137">
        <f>(V144*S144)+V144</f>
        <v>35205.000678</v>
      </c>
      <c r="X144" s="137">
        <f>(W144*S144)+W144</f>
        <v>38021.40073224</v>
      </c>
      <c r="Y144" s="137">
        <f>(X144*S144)+X144</f>
        <v>41063.1127908192</v>
      </c>
      <c r="Z144" s="137">
        <f>(Y144*S144)+Y144</f>
        <v>44348.161814084735</v>
      </c>
      <c r="AA144" s="137">
        <f>(Z144*S144)+Z144</f>
        <v>47896.01475921151</v>
      </c>
      <c r="AB144" s="61">
        <f>(AA144*S144)+AA144</f>
        <v>51727.69593994843</v>
      </c>
    </row>
    <row r="145" spans="1:28" ht="15.75">
      <c r="A145" s="33" t="s">
        <v>407</v>
      </c>
      <c r="B145" s="45" t="s">
        <v>370</v>
      </c>
      <c r="C145" s="24">
        <f>SUM(C146:C150)</f>
        <v>1108784</v>
      </c>
      <c r="D145" s="20">
        <f>C145/C142</f>
        <v>1</v>
      </c>
      <c r="E145" s="120">
        <f t="shared" si="90"/>
        <v>-0.8897639215753474</v>
      </c>
      <c r="F145" s="19">
        <f t="shared" si="91"/>
        <v>-986556.00002</v>
      </c>
      <c r="G145" s="24">
        <f>SUM(G146:G150)</f>
        <v>122227.99998</v>
      </c>
      <c r="H145" s="20">
        <f>G145/G142</f>
        <v>0.959212017852577</v>
      </c>
      <c r="I145" s="120">
        <f t="shared" si="92"/>
        <v>1.5664250421452408</v>
      </c>
      <c r="J145" s="19">
        <f t="shared" si="93"/>
        <v>191461.00002</v>
      </c>
      <c r="K145" s="25">
        <f>SUM(K146:K150)</f>
        <v>313689</v>
      </c>
      <c r="L145" s="20">
        <f>K145/K142</f>
        <v>0.9231387228632724</v>
      </c>
      <c r="M145" s="120">
        <f t="shared" si="94"/>
        <v>0</v>
      </c>
      <c r="N145" s="19">
        <f t="shared" si="95"/>
        <v>0</v>
      </c>
      <c r="O145" s="25">
        <f>SUM(O146:O150)</f>
        <v>313689</v>
      </c>
      <c r="P145" s="20">
        <f>O145/O142</f>
        <v>0.9231387228632724</v>
      </c>
      <c r="Q145" s="121">
        <f t="shared" si="96"/>
        <v>0.22555370685663112</v>
      </c>
      <c r="R145" s="121">
        <v>0.075</v>
      </c>
      <c r="S145" s="121">
        <v>0.08</v>
      </c>
      <c r="T145" s="25">
        <f aca="true" t="shared" si="103" ref="T145:AB145">SUM(T146:T150)</f>
        <v>337215.67500000005</v>
      </c>
      <c r="U145" s="25">
        <f t="shared" si="103"/>
        <v>362506.850625</v>
      </c>
      <c r="V145" s="25">
        <f t="shared" si="103"/>
        <v>391507.39867499995</v>
      </c>
      <c r="W145" s="25">
        <f t="shared" si="103"/>
        <v>422827.990569</v>
      </c>
      <c r="X145" s="25">
        <f t="shared" si="103"/>
        <v>456654.22981452005</v>
      </c>
      <c r="Y145" s="25">
        <f t="shared" si="103"/>
        <v>493186.5681996816</v>
      </c>
      <c r="Z145" s="25">
        <f t="shared" si="103"/>
        <v>532641.4936556562</v>
      </c>
      <c r="AA145" s="25">
        <f t="shared" si="103"/>
        <v>575252.8131481087</v>
      </c>
      <c r="AB145" s="25">
        <f t="shared" si="103"/>
        <v>621273.0381999573</v>
      </c>
    </row>
    <row r="146" spans="1:28" ht="15">
      <c r="A146" s="34" t="s">
        <v>408</v>
      </c>
      <c r="B146" s="35" t="s">
        <v>372</v>
      </c>
      <c r="C146" s="132"/>
      <c r="D146" s="133">
        <f>C146/C145</f>
        <v>0</v>
      </c>
      <c r="E146" s="120" t="e">
        <f t="shared" si="90"/>
        <v>#DIV/0!</v>
      </c>
      <c r="F146" s="19">
        <f t="shared" si="91"/>
        <v>36082.00034</v>
      </c>
      <c r="G146" s="132">
        <v>36082.00034</v>
      </c>
      <c r="H146" s="133">
        <f>G146/G145</f>
        <v>0.29520241144340126</v>
      </c>
      <c r="I146" s="120">
        <f t="shared" si="92"/>
        <v>1.5664042771304958</v>
      </c>
      <c r="J146" s="19">
        <f t="shared" si="93"/>
        <v>56518.99966</v>
      </c>
      <c r="K146" s="63">
        <v>92601</v>
      </c>
      <c r="L146" s="133">
        <f>K146/K145</f>
        <v>0.29520002295266967</v>
      </c>
      <c r="M146" s="120">
        <f t="shared" si="94"/>
        <v>0</v>
      </c>
      <c r="N146" s="19">
        <f t="shared" si="95"/>
        <v>0</v>
      </c>
      <c r="O146" s="37">
        <v>92601</v>
      </c>
      <c r="P146" s="133">
        <f>O146/O145</f>
        <v>0.29520002295266967</v>
      </c>
      <c r="Q146" s="121" t="e">
        <f t="shared" si="96"/>
        <v>#DIV/0!</v>
      </c>
      <c r="R146" s="121">
        <v>0.075</v>
      </c>
      <c r="S146" s="121">
        <v>0.08</v>
      </c>
      <c r="T146" s="137">
        <f>(O146*R146)+O146</f>
        <v>99546.075</v>
      </c>
      <c r="U146" s="137">
        <f aca="true" t="shared" si="104" ref="U146:V150">(T146*R146)+T146</f>
        <v>107012.030625</v>
      </c>
      <c r="V146" s="137">
        <f t="shared" si="104"/>
        <v>115572.993075</v>
      </c>
      <c r="W146" s="137">
        <f>(V146*S146)+V146</f>
        <v>124818.832521</v>
      </c>
      <c r="X146" s="137">
        <f>(W146*S146)+W146</f>
        <v>134804.33912268002</v>
      </c>
      <c r="Y146" s="137">
        <f>(X146*S146)+X146</f>
        <v>145588.68625249443</v>
      </c>
      <c r="Z146" s="137">
        <f>(Y146*S146)+Y146</f>
        <v>157235.781152694</v>
      </c>
      <c r="AA146" s="137">
        <f>(Z146*S146)+Z146</f>
        <v>169814.64364490952</v>
      </c>
      <c r="AB146" s="61">
        <f>(AA146*S146)+AA146</f>
        <v>183399.8151365023</v>
      </c>
    </row>
    <row r="147" spans="1:28" ht="15">
      <c r="A147" s="34" t="s">
        <v>409</v>
      </c>
      <c r="B147" s="35" t="s">
        <v>374</v>
      </c>
      <c r="C147" s="132">
        <v>0</v>
      </c>
      <c r="D147" s="133">
        <f>C147/C145</f>
        <v>0</v>
      </c>
      <c r="E147" s="120" t="e">
        <f t="shared" si="90"/>
        <v>#DIV/0!</v>
      </c>
      <c r="F147" s="19">
        <f t="shared" si="91"/>
        <v>6159.999880000001</v>
      </c>
      <c r="G147" s="132">
        <v>6159.999880000001</v>
      </c>
      <c r="H147" s="133">
        <f>G147/G145</f>
        <v>0.050397616593644286</v>
      </c>
      <c r="I147" s="120">
        <f t="shared" si="92"/>
        <v>1.5665584915563335</v>
      </c>
      <c r="J147" s="19">
        <f t="shared" si="93"/>
        <v>9650.000119999999</v>
      </c>
      <c r="K147" s="63">
        <v>15810</v>
      </c>
      <c r="L147" s="133">
        <f>K147/K145</f>
        <v>0.05040023717758672</v>
      </c>
      <c r="M147" s="120">
        <f t="shared" si="94"/>
        <v>0</v>
      </c>
      <c r="N147" s="19">
        <f t="shared" si="95"/>
        <v>0</v>
      </c>
      <c r="O147" s="37">
        <v>15810</v>
      </c>
      <c r="P147" s="133">
        <f>O147/O145</f>
        <v>0.05040023717758672</v>
      </c>
      <c r="Q147" s="121" t="e">
        <f t="shared" si="96"/>
        <v>#DIV/0!</v>
      </c>
      <c r="R147" s="121">
        <v>0.075</v>
      </c>
      <c r="S147" s="121">
        <v>0.08</v>
      </c>
      <c r="T147" s="137">
        <f>(O147*R147)+O147</f>
        <v>16995.75</v>
      </c>
      <c r="U147" s="137">
        <f t="shared" si="104"/>
        <v>18270.43125</v>
      </c>
      <c r="V147" s="137">
        <f t="shared" si="104"/>
        <v>19732.06575</v>
      </c>
      <c r="W147" s="137">
        <f>(V147*S147)+V147</f>
        <v>21310.63101</v>
      </c>
      <c r="X147" s="137">
        <f>(W147*S147)+W147</f>
        <v>23015.4814908</v>
      </c>
      <c r="Y147" s="137">
        <f>(X147*S147)+X147</f>
        <v>24856.720010064</v>
      </c>
      <c r="Z147" s="137">
        <f>(Y147*S147)+Y147</f>
        <v>26845.25761086912</v>
      </c>
      <c r="AA147" s="137">
        <f>(Z147*S147)+Z147</f>
        <v>28992.87821973865</v>
      </c>
      <c r="AB147" s="61">
        <f>(AA147*S147)+AA147</f>
        <v>31312.308477317743</v>
      </c>
    </row>
    <row r="148" spans="1:28" ht="15">
      <c r="A148" s="34" t="s">
        <v>410</v>
      </c>
      <c r="B148" s="35" t="s">
        <v>376</v>
      </c>
      <c r="C148" s="132">
        <v>0</v>
      </c>
      <c r="D148" s="133">
        <f>C148/C145</f>
        <v>0</v>
      </c>
      <c r="E148" s="120" t="e">
        <f t="shared" si="90"/>
        <v>#DIV/0!</v>
      </c>
      <c r="F148" s="19">
        <f t="shared" si="91"/>
        <v>2639.9999500000004</v>
      </c>
      <c r="G148" s="132">
        <v>2639.9999500000004</v>
      </c>
      <c r="H148" s="133">
        <f>G148/G145</f>
        <v>0.021598978551821024</v>
      </c>
      <c r="I148" s="120">
        <f t="shared" si="92"/>
        <v>1.5666667152777785</v>
      </c>
      <c r="J148" s="19">
        <f t="shared" si="93"/>
        <v>4136.00005</v>
      </c>
      <c r="K148" s="63">
        <v>6776</v>
      </c>
      <c r="L148" s="133">
        <f>K148/K145</f>
        <v>0.021601012467762658</v>
      </c>
      <c r="M148" s="120">
        <f t="shared" si="94"/>
        <v>0</v>
      </c>
      <c r="N148" s="19">
        <f t="shared" si="95"/>
        <v>0</v>
      </c>
      <c r="O148" s="37">
        <v>6776</v>
      </c>
      <c r="P148" s="133">
        <f>O148/O145</f>
        <v>0.021601012467762658</v>
      </c>
      <c r="Q148" s="121" t="e">
        <f t="shared" si="96"/>
        <v>#DIV/0!</v>
      </c>
      <c r="R148" s="121">
        <v>0.075</v>
      </c>
      <c r="S148" s="121">
        <v>0.08</v>
      </c>
      <c r="T148" s="137">
        <f>(O148*R148)+O148</f>
        <v>7284.2</v>
      </c>
      <c r="U148" s="137">
        <f t="shared" si="104"/>
        <v>7830.514999999999</v>
      </c>
      <c r="V148" s="137">
        <f t="shared" si="104"/>
        <v>8456.956199999999</v>
      </c>
      <c r="W148" s="137">
        <f>(V148*S148)+V148</f>
        <v>9133.512695999998</v>
      </c>
      <c r="X148" s="137">
        <f>(W148*S148)+W148</f>
        <v>9864.193711679998</v>
      </c>
      <c r="Y148" s="137">
        <f>(X148*S148)+X148</f>
        <v>10653.329208614397</v>
      </c>
      <c r="Z148" s="137">
        <f>(Y148*S148)+Y148</f>
        <v>11505.59554530355</v>
      </c>
      <c r="AA148" s="137">
        <f>(Z148*S148)+Z148</f>
        <v>12426.043188927833</v>
      </c>
      <c r="AB148" s="61">
        <f>(AA148*S148)+AA148</f>
        <v>13420.12664404206</v>
      </c>
    </row>
    <row r="149" spans="1:28" ht="15">
      <c r="A149" s="34" t="s">
        <v>411</v>
      </c>
      <c r="B149" s="35" t="s">
        <v>378</v>
      </c>
      <c r="C149" s="132">
        <v>1108784</v>
      </c>
      <c r="D149" s="133"/>
      <c r="E149" s="120">
        <f t="shared" si="90"/>
        <v>-0.9611087459685566</v>
      </c>
      <c r="F149" s="19">
        <f t="shared" si="91"/>
        <v>-1065661.99979</v>
      </c>
      <c r="G149" s="132">
        <v>43122.00021</v>
      </c>
      <c r="H149" s="133"/>
      <c r="I149" s="120">
        <f t="shared" si="92"/>
        <v>1.5664162019630954</v>
      </c>
      <c r="J149" s="19">
        <f t="shared" si="93"/>
        <v>67546.99979</v>
      </c>
      <c r="K149" s="63">
        <v>110669</v>
      </c>
      <c r="L149" s="133"/>
      <c r="M149" s="120">
        <f t="shared" si="94"/>
        <v>0</v>
      </c>
      <c r="N149" s="19">
        <f t="shared" si="95"/>
        <v>0</v>
      </c>
      <c r="O149" s="37">
        <v>110669</v>
      </c>
      <c r="P149" s="133"/>
      <c r="Q149" s="121">
        <f t="shared" si="96"/>
        <v>0.2017691519981796</v>
      </c>
      <c r="R149" s="121">
        <v>0.075</v>
      </c>
      <c r="S149" s="121">
        <v>0.08</v>
      </c>
      <c r="T149" s="137">
        <f>(O149*R149)+O149</f>
        <v>118969.175</v>
      </c>
      <c r="U149" s="137">
        <f t="shared" si="104"/>
        <v>127891.863125</v>
      </c>
      <c r="V149" s="137">
        <f t="shared" si="104"/>
        <v>138123.212175</v>
      </c>
      <c r="W149" s="137">
        <f>(V149*S149)+V149</f>
        <v>149173.069149</v>
      </c>
      <c r="X149" s="137">
        <f>(W149*S149)+W149</f>
        <v>161106.91468092</v>
      </c>
      <c r="Y149" s="137">
        <f>(X149*S149)+X149</f>
        <v>173995.4678553936</v>
      </c>
      <c r="Z149" s="137">
        <f>(Y149*S149)+Y149</f>
        <v>187915.10528382508</v>
      </c>
      <c r="AA149" s="137">
        <f>(Z149*S149)+Z149</f>
        <v>202948.31370653107</v>
      </c>
      <c r="AB149" s="61">
        <f>(AA149*S149)+AA149</f>
        <v>219184.17880305357</v>
      </c>
    </row>
    <row r="150" spans="1:28" ht="15">
      <c r="A150" s="34" t="s">
        <v>412</v>
      </c>
      <c r="B150" s="35" t="s">
        <v>380</v>
      </c>
      <c r="C150" s="122">
        <v>0</v>
      </c>
      <c r="D150" s="123">
        <f>C150/C145</f>
        <v>0</v>
      </c>
      <c r="E150" s="120" t="e">
        <f t="shared" si="90"/>
        <v>#DIV/0!</v>
      </c>
      <c r="F150" s="19">
        <f t="shared" si="91"/>
        <v>34223.999599999996</v>
      </c>
      <c r="G150" s="122">
        <v>34223.999599999996</v>
      </c>
      <c r="H150" s="123">
        <f>G150/G145</f>
        <v>0.28000130580227134</v>
      </c>
      <c r="I150" s="120">
        <f t="shared" si="92"/>
        <v>1.566415411014673</v>
      </c>
      <c r="J150" s="19">
        <f t="shared" si="93"/>
        <v>53609.000400000004</v>
      </c>
      <c r="K150" s="63">
        <v>87833</v>
      </c>
      <c r="L150" s="123">
        <f>K150/K145</f>
        <v>0.28000025502966314</v>
      </c>
      <c r="M150" s="120">
        <f t="shared" si="94"/>
        <v>0</v>
      </c>
      <c r="N150" s="19">
        <f t="shared" si="95"/>
        <v>0</v>
      </c>
      <c r="O150" s="37">
        <v>87833</v>
      </c>
      <c r="P150" s="123">
        <f>O150/O145</f>
        <v>0.28000025502966314</v>
      </c>
      <c r="Q150" s="121" t="e">
        <f t="shared" si="96"/>
        <v>#DIV/0!</v>
      </c>
      <c r="R150" s="121">
        <v>0.075</v>
      </c>
      <c r="S150" s="121">
        <v>0.08</v>
      </c>
      <c r="T150" s="137">
        <f>(O150*R150)+O150</f>
        <v>94420.475</v>
      </c>
      <c r="U150" s="137">
        <f t="shared" si="104"/>
        <v>101502.01062500001</v>
      </c>
      <c r="V150" s="137">
        <f t="shared" si="104"/>
        <v>109622.17147500001</v>
      </c>
      <c r="W150" s="137">
        <f>(V150*S150)+V150</f>
        <v>118391.945193</v>
      </c>
      <c r="X150" s="137">
        <f>(W150*S150)+W150</f>
        <v>127863.30080844</v>
      </c>
      <c r="Y150" s="137">
        <f>(X150*S150)+X150</f>
        <v>138092.3648731152</v>
      </c>
      <c r="Z150" s="137">
        <f>(Y150*S150)+Y150</f>
        <v>149139.75406296444</v>
      </c>
      <c r="AA150" s="137">
        <f>(Z150*S150)+Z150</f>
        <v>161070.9343880016</v>
      </c>
      <c r="AB150" s="61">
        <f>(AA150*S150)+AA150</f>
        <v>173956.6091390417</v>
      </c>
    </row>
    <row r="151" spans="1:28" ht="15.75">
      <c r="A151" s="53">
        <v>1.3</v>
      </c>
      <c r="B151" s="238" t="s">
        <v>413</v>
      </c>
      <c r="C151" s="25">
        <f>SUM(C152+C184+C187+C189+C193+C198+C201+C207+C212)</f>
        <v>2771749.9002599996</v>
      </c>
      <c r="D151" s="127">
        <f>C151/C4</f>
        <v>0.19520661541672887</v>
      </c>
      <c r="E151" s="120">
        <f t="shared" si="90"/>
        <v>-0.015112381433141087</v>
      </c>
      <c r="F151" s="19">
        <f t="shared" si="91"/>
        <v>-41887.74172999989</v>
      </c>
      <c r="G151" s="25">
        <f>SUM(G152+G184+G187+G189+G193+G198+G201+G207+G212)</f>
        <v>2729862.1585299997</v>
      </c>
      <c r="H151" s="127">
        <f>G151/G4</f>
        <v>0.14976257426751904</v>
      </c>
      <c r="I151" s="120">
        <f t="shared" si="92"/>
        <v>0.1176736944816954</v>
      </c>
      <c r="J151" s="19">
        <f t="shared" si="93"/>
        <v>321232.96562000085</v>
      </c>
      <c r="K151" s="25">
        <f>SUM(K152+K184+K187+K189+K193+K198+K201+K207+K212)</f>
        <v>3051095.1241500005</v>
      </c>
      <c r="L151" s="127">
        <f>K151/K4</f>
        <v>0.13119770888823384</v>
      </c>
      <c r="M151" s="120">
        <f t="shared" si="94"/>
        <v>-0.14208082885346585</v>
      </c>
      <c r="N151" s="19">
        <f t="shared" si="95"/>
        <v>-433502.1241500005</v>
      </c>
      <c r="O151" s="25">
        <f>SUM(O152+O184+O187+O189+O193+O198+O201+O207+O212)</f>
        <v>2617593</v>
      </c>
      <c r="P151" s="127">
        <f>O151/O4</f>
        <v>0.12237456853686077</v>
      </c>
      <c r="Q151" s="121">
        <f t="shared" si="96"/>
        <v>-0.01317317193497051</v>
      </c>
      <c r="R151" s="121"/>
      <c r="S151" s="121">
        <v>0.08</v>
      </c>
      <c r="T151" s="25">
        <f aca="true" t="shared" si="105" ref="T151:AB151">SUM(T152+T184+T187+T189+T193+T198+T201+T207+T212)</f>
        <v>2809220.3400000003</v>
      </c>
      <c r="U151" s="25">
        <f t="shared" si="105"/>
        <v>3014938.2024000003</v>
      </c>
      <c r="V151" s="25">
        <f t="shared" si="105"/>
        <v>3256133.258592</v>
      </c>
      <c r="W151" s="25">
        <f t="shared" si="105"/>
        <v>3516623.91927936</v>
      </c>
      <c r="X151" s="25">
        <f t="shared" si="105"/>
        <v>3797953.8328217086</v>
      </c>
      <c r="Y151" s="25">
        <f t="shared" si="105"/>
        <v>4101790.1394474464</v>
      </c>
      <c r="Z151" s="25">
        <f t="shared" si="105"/>
        <v>4429933.3506032415</v>
      </c>
      <c r="AA151" s="25">
        <f t="shared" si="105"/>
        <v>4784328.018651501</v>
      </c>
      <c r="AB151" s="25">
        <f t="shared" si="105"/>
        <v>5167074.260143621</v>
      </c>
    </row>
    <row r="152" spans="1:28" ht="15.75">
      <c r="A152" s="54" t="s">
        <v>414</v>
      </c>
      <c r="B152" s="26" t="s">
        <v>415</v>
      </c>
      <c r="C152" s="24">
        <f>SUM(C153+C169)</f>
        <v>1793669.991</v>
      </c>
      <c r="D152" s="227">
        <f>C152/C151</f>
        <v>0.6471254822925213</v>
      </c>
      <c r="E152" s="120">
        <f t="shared" si="90"/>
        <v>0.2609467680836055</v>
      </c>
      <c r="F152" s="19">
        <f t="shared" si="91"/>
        <v>468052.3871599999</v>
      </c>
      <c r="G152" s="24">
        <f>SUM(G153+G169)</f>
        <v>2261722.37816</v>
      </c>
      <c r="H152" s="227">
        <f>G152/G151</f>
        <v>0.8285115682829612</v>
      </c>
      <c r="I152" s="120">
        <f t="shared" si="92"/>
        <v>0.14406859170093478</v>
      </c>
      <c r="J152" s="19">
        <f t="shared" si="93"/>
        <v>325843.15784000047</v>
      </c>
      <c r="K152" s="25">
        <f>SUM(K153+K169)</f>
        <v>2587565.5360000003</v>
      </c>
      <c r="L152" s="20"/>
      <c r="M152" s="120">
        <f t="shared" si="94"/>
        <v>-0.10928478218841153</v>
      </c>
      <c r="N152" s="19">
        <f t="shared" si="95"/>
        <v>-282781.5360000003</v>
      </c>
      <c r="O152" s="25">
        <f>SUM(O153+O169)</f>
        <v>2304784</v>
      </c>
      <c r="P152" s="20"/>
      <c r="Q152" s="121">
        <f t="shared" si="96"/>
        <v>0.09857685919870958</v>
      </c>
      <c r="R152" s="121"/>
      <c r="S152" s="121">
        <v>0.08</v>
      </c>
      <c r="T152" s="25">
        <f aca="true" t="shared" si="106" ref="T152:AB152">SUM(T153+T169)</f>
        <v>2477642.8000000003</v>
      </c>
      <c r="U152" s="25">
        <f t="shared" si="106"/>
        <v>2663466.0100000002</v>
      </c>
      <c r="V152" s="25">
        <f t="shared" si="106"/>
        <v>2876543.2908</v>
      </c>
      <c r="W152" s="25">
        <f t="shared" si="106"/>
        <v>3106666.754064</v>
      </c>
      <c r="X152" s="25">
        <f t="shared" si="106"/>
        <v>3355200.09438912</v>
      </c>
      <c r="Y152" s="25">
        <f t="shared" si="106"/>
        <v>3623616.10194025</v>
      </c>
      <c r="Z152" s="25">
        <f t="shared" si="106"/>
        <v>3913505.39009547</v>
      </c>
      <c r="AA152" s="25">
        <f t="shared" si="106"/>
        <v>4226585.821303108</v>
      </c>
      <c r="AB152" s="25">
        <f t="shared" si="106"/>
        <v>4564712.6870073555</v>
      </c>
    </row>
    <row r="153" spans="1:28" ht="15.75">
      <c r="A153" s="55" t="s">
        <v>416</v>
      </c>
      <c r="B153" s="42" t="s">
        <v>417</v>
      </c>
      <c r="C153" s="24">
        <f>SUM(C154+C155+C158+C161)</f>
        <v>1623201.991</v>
      </c>
      <c r="D153" s="225">
        <f>C153/C152</f>
        <v>0.9049613357778477</v>
      </c>
      <c r="E153" s="120">
        <f t="shared" si="90"/>
        <v>0.2625269537388091</v>
      </c>
      <c r="F153" s="19">
        <f t="shared" si="91"/>
        <v>426134.27399999974</v>
      </c>
      <c r="G153" s="24">
        <f>SUM(G154+G155+G158+G161)</f>
        <v>2049336.2649999997</v>
      </c>
      <c r="H153" s="225">
        <f>G153/G152</f>
        <v>0.9060954097590065</v>
      </c>
      <c r="I153" s="120">
        <f t="shared" si="92"/>
        <v>0.16456043098422435</v>
      </c>
      <c r="J153" s="19">
        <f t="shared" si="93"/>
        <v>337239.65900000045</v>
      </c>
      <c r="K153" s="25">
        <f>SUM(K154+K155+K158+K161)</f>
        <v>2386575.924</v>
      </c>
      <c r="L153" s="20"/>
      <c r="M153" s="120">
        <f t="shared" si="94"/>
        <v>-0.09924550131345422</v>
      </c>
      <c r="N153" s="19">
        <f t="shared" si="95"/>
        <v>-236856.92400000012</v>
      </c>
      <c r="O153" s="25">
        <f>SUM(O154+O155+O158+O161)</f>
        <v>2149719</v>
      </c>
      <c r="P153" s="20"/>
      <c r="Q153" s="121">
        <f t="shared" si="96"/>
        <v>0.10928062780319307</v>
      </c>
      <c r="R153" s="121"/>
      <c r="S153" s="121">
        <v>0.08</v>
      </c>
      <c r="T153" s="25">
        <f aca="true" t="shared" si="107" ref="T153:AB153">SUM(T154+T155+T158+T161)</f>
        <v>2310947.9250000003</v>
      </c>
      <c r="U153" s="25">
        <f t="shared" si="107"/>
        <v>2484269.019375</v>
      </c>
      <c r="V153" s="25">
        <f t="shared" si="107"/>
        <v>2683010.540925</v>
      </c>
      <c r="W153" s="25">
        <f t="shared" si="107"/>
        <v>2897651.3841990004</v>
      </c>
      <c r="X153" s="25">
        <f t="shared" si="107"/>
        <v>3129463.49493492</v>
      </c>
      <c r="Y153" s="25">
        <f t="shared" si="107"/>
        <v>3379820.574529714</v>
      </c>
      <c r="Z153" s="25">
        <f t="shared" si="107"/>
        <v>3650206.220492091</v>
      </c>
      <c r="AA153" s="25">
        <f t="shared" si="107"/>
        <v>3942222.7181314584</v>
      </c>
      <c r="AB153" s="25">
        <f t="shared" si="107"/>
        <v>4257600.535581974</v>
      </c>
    </row>
    <row r="154" spans="1:28" ht="15.75">
      <c r="A154" s="33" t="s">
        <v>418</v>
      </c>
      <c r="B154" s="29" t="s">
        <v>419</v>
      </c>
      <c r="C154" s="122">
        <v>92053.48199999999</v>
      </c>
      <c r="D154" s="226">
        <f>C154/C153</f>
        <v>0.05671104552015054</v>
      </c>
      <c r="E154" s="120">
        <f t="shared" si="90"/>
        <v>0.05558275351278952</v>
      </c>
      <c r="F154" s="19">
        <f t="shared" si="91"/>
        <v>5116.58600000001</v>
      </c>
      <c r="G154" s="122">
        <v>97170.068</v>
      </c>
      <c r="H154" s="226">
        <f>G154/G153</f>
        <v>0.047415385000274715</v>
      </c>
      <c r="I154" s="120">
        <f t="shared" si="92"/>
        <v>0.41438616673603645</v>
      </c>
      <c r="J154" s="19">
        <f t="shared" si="93"/>
        <v>40265.932</v>
      </c>
      <c r="K154" s="63">
        <v>137436</v>
      </c>
      <c r="L154" s="123"/>
      <c r="M154" s="120">
        <f t="shared" si="94"/>
        <v>-0.27273058005180595</v>
      </c>
      <c r="N154" s="19">
        <f t="shared" si="95"/>
        <v>-37483</v>
      </c>
      <c r="O154" s="37">
        <v>99953</v>
      </c>
      <c r="P154" s="123"/>
      <c r="Q154" s="121">
        <f t="shared" si="96"/>
        <v>0.06574611339900667</v>
      </c>
      <c r="R154" s="121">
        <v>0.075</v>
      </c>
      <c r="S154" s="121">
        <v>0.08</v>
      </c>
      <c r="T154" s="137">
        <f>(O154*R154)+O154</f>
        <v>107449.475</v>
      </c>
      <c r="U154" s="137">
        <f>(T154*R154)+T154</f>
        <v>115508.18562500001</v>
      </c>
      <c r="V154" s="137">
        <f>(U154*S154)+U154</f>
        <v>124748.84047500002</v>
      </c>
      <c r="W154" s="137">
        <f>(V154*S154)+V154</f>
        <v>134728.74771300002</v>
      </c>
      <c r="X154" s="137">
        <f>(W154*S154)+W154</f>
        <v>145507.04753004003</v>
      </c>
      <c r="Y154" s="137">
        <f>(X154*S154)+X154</f>
        <v>157147.61133244322</v>
      </c>
      <c r="Z154" s="137">
        <f>(Y154*S154)+Y154</f>
        <v>169719.42023903868</v>
      </c>
      <c r="AA154" s="137">
        <f>(Z154*S154)+Z154</f>
        <v>183296.97385816177</v>
      </c>
      <c r="AB154" s="61">
        <f>(AA154*S154)+AA154</f>
        <v>197960.73176681472</v>
      </c>
    </row>
    <row r="155" spans="1:28" ht="15.75">
      <c r="A155" s="33" t="s">
        <v>420</v>
      </c>
      <c r="B155" s="23" t="s">
        <v>421</v>
      </c>
      <c r="C155" s="24">
        <f>SUM(C156:C157)</f>
        <v>873804.6120000001</v>
      </c>
      <c r="D155" s="225">
        <f>C155/C153</f>
        <v>0.5383215501489612</v>
      </c>
      <c r="E155" s="120">
        <f t="shared" si="90"/>
        <v>0.14243456293407597</v>
      </c>
      <c r="F155" s="19">
        <f t="shared" si="91"/>
        <v>124459.97799999977</v>
      </c>
      <c r="G155" s="24">
        <f>SUM(G156:G157)</f>
        <v>998264.5899999999</v>
      </c>
      <c r="H155" s="225">
        <f>G155/G153</f>
        <v>0.4871160516939371</v>
      </c>
      <c r="I155" s="120">
        <f t="shared" si="92"/>
        <v>0.11080026088073525</v>
      </c>
      <c r="J155" s="19">
        <f t="shared" si="93"/>
        <v>110607.97700000019</v>
      </c>
      <c r="K155" s="25">
        <f>SUM(K156:K157)</f>
        <v>1108872.567</v>
      </c>
      <c r="L155" s="20"/>
      <c r="M155" s="120">
        <f t="shared" si="94"/>
        <v>-0.014752431872543603</v>
      </c>
      <c r="N155" s="19">
        <f t="shared" si="95"/>
        <v>-16358.56700000004</v>
      </c>
      <c r="O155" s="25">
        <f>SUM(O156:O157)</f>
        <v>1092514</v>
      </c>
      <c r="P155" s="20"/>
      <c r="Q155" s="121">
        <f t="shared" si="96"/>
        <v>0.07949413064742254</v>
      </c>
      <c r="R155" s="121"/>
      <c r="S155" s="121">
        <v>0.08</v>
      </c>
      <c r="T155" s="25">
        <f aca="true" t="shared" si="108" ref="T155:AB155">SUM(T156:T157)</f>
        <v>1174452.55</v>
      </c>
      <c r="U155" s="25">
        <f t="shared" si="108"/>
        <v>1262536.4912500002</v>
      </c>
      <c r="V155" s="25">
        <f t="shared" si="108"/>
        <v>1363539.4105500001</v>
      </c>
      <c r="W155" s="25">
        <f t="shared" si="108"/>
        <v>1472622.5633940003</v>
      </c>
      <c r="X155" s="25">
        <f t="shared" si="108"/>
        <v>1590432.3684655202</v>
      </c>
      <c r="Y155" s="25">
        <f t="shared" si="108"/>
        <v>1717666.957942762</v>
      </c>
      <c r="Z155" s="25">
        <f t="shared" si="108"/>
        <v>1855080.3145781828</v>
      </c>
      <c r="AA155" s="25">
        <f t="shared" si="108"/>
        <v>2003486.7397444374</v>
      </c>
      <c r="AB155" s="25">
        <f t="shared" si="108"/>
        <v>2163765.6789239924</v>
      </c>
    </row>
    <row r="156" spans="1:28" ht="15">
      <c r="A156" s="34" t="s">
        <v>422</v>
      </c>
      <c r="B156" s="29" t="s">
        <v>423</v>
      </c>
      <c r="C156" s="122">
        <v>838523.6680000001</v>
      </c>
      <c r="D156" s="123">
        <f>C156/C155</f>
        <v>0.9596237608322442</v>
      </c>
      <c r="E156" s="120">
        <f t="shared" si="90"/>
        <v>0.1428829321010887</v>
      </c>
      <c r="F156" s="19">
        <f t="shared" si="91"/>
        <v>119810.72031999985</v>
      </c>
      <c r="G156" s="122">
        <v>958334.3883199999</v>
      </c>
      <c r="H156" s="123">
        <f>G156/G155</f>
        <v>0.96000038258394</v>
      </c>
      <c r="I156" s="120">
        <f t="shared" si="92"/>
        <v>0.15708314395761147</v>
      </c>
      <c r="J156" s="19">
        <f t="shared" si="93"/>
        <v>150538.17868000013</v>
      </c>
      <c r="K156" s="63">
        <v>1108872.567</v>
      </c>
      <c r="L156" s="123"/>
      <c r="M156" s="120">
        <f t="shared" si="94"/>
        <v>-0.04522482428767671</v>
      </c>
      <c r="N156" s="19">
        <f t="shared" si="95"/>
        <v>-50148.56700000004</v>
      </c>
      <c r="O156" s="37">
        <v>1058724</v>
      </c>
      <c r="P156" s="123"/>
      <c r="Q156" s="121">
        <f t="shared" si="96"/>
        <v>0.08491375059034116</v>
      </c>
      <c r="R156" s="121">
        <v>0.075</v>
      </c>
      <c r="S156" s="121">
        <v>0.08</v>
      </c>
      <c r="T156" s="137">
        <f>(O156*R156)+O156</f>
        <v>1138128.3</v>
      </c>
      <c r="U156" s="137">
        <f>(T156*R156)+T156</f>
        <v>1223487.9225</v>
      </c>
      <c r="V156" s="137">
        <f>(U156*S156)+U156</f>
        <v>1321366.9563000002</v>
      </c>
      <c r="W156" s="137">
        <f>(V156*S156)+V156</f>
        <v>1427076.3128040002</v>
      </c>
      <c r="X156" s="137">
        <f>(W156*S156)+W156</f>
        <v>1541242.4178283203</v>
      </c>
      <c r="Y156" s="137">
        <f>(X156*S156)+X156</f>
        <v>1664541.8112545859</v>
      </c>
      <c r="Z156" s="137">
        <f>(Y156*S156)+Y156</f>
        <v>1797705.1561549527</v>
      </c>
      <c r="AA156" s="137">
        <f>(Z156*S156)+Z156</f>
        <v>1941521.568647349</v>
      </c>
      <c r="AB156" s="61">
        <f>(AA156*S156)+AA156</f>
        <v>2096843.294139137</v>
      </c>
    </row>
    <row r="157" spans="1:28" ht="15">
      <c r="A157" s="34" t="s">
        <v>424</v>
      </c>
      <c r="B157" s="29" t="s">
        <v>425</v>
      </c>
      <c r="C157" s="122">
        <v>35280.944</v>
      </c>
      <c r="D157" s="123">
        <f>C157/C155</f>
        <v>0.040376239167755734</v>
      </c>
      <c r="E157" s="120">
        <f t="shared" si="90"/>
        <v>0.13177815423532868</v>
      </c>
      <c r="F157" s="19">
        <f t="shared" si="91"/>
        <v>4649.257679999995</v>
      </c>
      <c r="G157" s="122">
        <v>39930.20168</v>
      </c>
      <c r="H157" s="123">
        <f>G157/G155</f>
        <v>0.03999961741606001</v>
      </c>
      <c r="I157" s="120">
        <f t="shared" si="92"/>
        <v>-1</v>
      </c>
      <c r="J157" s="19">
        <f t="shared" si="93"/>
        <v>-39930.20168</v>
      </c>
      <c r="K157" s="63">
        <v>0</v>
      </c>
      <c r="L157" s="123"/>
      <c r="M157" s="120" t="e">
        <f t="shared" si="94"/>
        <v>#DIV/0!</v>
      </c>
      <c r="N157" s="19">
        <f t="shared" si="95"/>
        <v>33790</v>
      </c>
      <c r="O157" s="37">
        <v>33790</v>
      </c>
      <c r="P157" s="123"/>
      <c r="Q157" s="121" t="e">
        <f t="shared" si="96"/>
        <v>#DIV/0!</v>
      </c>
      <c r="R157" s="121">
        <v>0.075</v>
      </c>
      <c r="S157" s="121">
        <v>0.08</v>
      </c>
      <c r="T157" s="137">
        <f>(O157*R157)+O157</f>
        <v>36324.25</v>
      </c>
      <c r="U157" s="137">
        <f>(T157*R157)+T157</f>
        <v>39048.56875</v>
      </c>
      <c r="V157" s="137">
        <f>(U157*S157)+U157</f>
        <v>42172.454249999995</v>
      </c>
      <c r="W157" s="137">
        <f>(V157*S157)+V157</f>
        <v>45546.250589999996</v>
      </c>
      <c r="X157" s="137">
        <f>(W157*S157)+W157</f>
        <v>49189.950637199996</v>
      </c>
      <c r="Y157" s="137">
        <f>(X157*S157)+X157</f>
        <v>53125.146688176</v>
      </c>
      <c r="Z157" s="137">
        <f>(Y157*S157)+Y157</f>
        <v>57375.15842323008</v>
      </c>
      <c r="AA157" s="137">
        <f>(Z157*S157)+Z157</f>
        <v>61965.17109708849</v>
      </c>
      <c r="AB157" s="61">
        <f>(AA157*S157)+AA157</f>
        <v>66922.38478485557</v>
      </c>
    </row>
    <row r="158" spans="1:28" ht="15">
      <c r="A158" s="33" t="s">
        <v>426</v>
      </c>
      <c r="B158" s="56" t="s">
        <v>427</v>
      </c>
      <c r="C158" s="24">
        <f>SUM(C159:C160)</f>
        <v>176506.897</v>
      </c>
      <c r="D158" s="225">
        <f>C158/C153</f>
        <v>0.10873994609337563</v>
      </c>
      <c r="E158" s="120">
        <f t="shared" si="90"/>
        <v>0.6349817027263247</v>
      </c>
      <c r="F158" s="19">
        <f t="shared" si="91"/>
        <v>112078.65000000002</v>
      </c>
      <c r="G158" s="24">
        <f>SUM(G159:G160)</f>
        <v>288585.547</v>
      </c>
      <c r="H158" s="225">
        <f>G158/G153</f>
        <v>0.14081903098513707</v>
      </c>
      <c r="I158" s="120">
        <f t="shared" si="92"/>
        <v>0.08237922254644303</v>
      </c>
      <c r="J158" s="19">
        <f t="shared" si="93"/>
        <v>23773.45299999998</v>
      </c>
      <c r="K158" s="25">
        <f>SUM(K159:K160)</f>
        <v>312359</v>
      </c>
      <c r="L158" s="20"/>
      <c r="M158" s="120">
        <f t="shared" si="94"/>
        <v>0</v>
      </c>
      <c r="N158" s="19">
        <f t="shared" si="95"/>
        <v>0</v>
      </c>
      <c r="O158" s="25">
        <f>SUM(O159:O160)</f>
        <v>312359</v>
      </c>
      <c r="P158" s="20"/>
      <c r="Q158" s="121">
        <f t="shared" si="96"/>
        <v>0.2391203084242559</v>
      </c>
      <c r="R158" s="121"/>
      <c r="S158" s="121">
        <v>0.08</v>
      </c>
      <c r="T158" s="25">
        <f aca="true" t="shared" si="109" ref="T158:AB158">SUM(T159:T160)</f>
        <v>335785.925</v>
      </c>
      <c r="U158" s="25">
        <f t="shared" si="109"/>
        <v>360969.869375</v>
      </c>
      <c r="V158" s="25">
        <f t="shared" si="109"/>
        <v>389847.458925</v>
      </c>
      <c r="W158" s="25">
        <f t="shared" si="109"/>
        <v>421035.25563900004</v>
      </c>
      <c r="X158" s="25">
        <f t="shared" si="109"/>
        <v>454718.07609012</v>
      </c>
      <c r="Y158" s="25">
        <f t="shared" si="109"/>
        <v>491095.52217732964</v>
      </c>
      <c r="Z158" s="25">
        <f t="shared" si="109"/>
        <v>530383.1639515159</v>
      </c>
      <c r="AA158" s="25">
        <f t="shared" si="109"/>
        <v>572813.8170676373</v>
      </c>
      <c r="AB158" s="25">
        <f t="shared" si="109"/>
        <v>618638.9224330483</v>
      </c>
    </row>
    <row r="159" spans="1:28" ht="15">
      <c r="A159" s="34" t="s">
        <v>428</v>
      </c>
      <c r="B159" s="57" t="s">
        <v>429</v>
      </c>
      <c r="C159" s="122">
        <v>176506.897</v>
      </c>
      <c r="D159" s="123">
        <f>C159/C158</f>
        <v>1</v>
      </c>
      <c r="E159" s="120">
        <f t="shared" si="90"/>
        <v>0.6349817027263247</v>
      </c>
      <c r="F159" s="19">
        <f t="shared" si="91"/>
        <v>112078.65000000002</v>
      </c>
      <c r="G159" s="122">
        <v>288585.547</v>
      </c>
      <c r="H159" s="123">
        <f>G159/G158</f>
        <v>1</v>
      </c>
      <c r="I159" s="120">
        <f t="shared" si="92"/>
        <v>-0.24038815429658378</v>
      </c>
      <c r="J159" s="19">
        <f t="shared" si="93"/>
        <v>-69372.54700000002</v>
      </c>
      <c r="K159" s="63">
        <v>219213</v>
      </c>
      <c r="L159" s="123"/>
      <c r="M159" s="120">
        <f t="shared" si="94"/>
        <v>0</v>
      </c>
      <c r="N159" s="19">
        <f t="shared" si="95"/>
        <v>0</v>
      </c>
      <c r="O159" s="37">
        <v>219213</v>
      </c>
      <c r="P159" s="123"/>
      <c r="Q159" s="121">
        <f t="shared" si="96"/>
        <v>0.13153118280991363</v>
      </c>
      <c r="R159" s="121">
        <v>0.075</v>
      </c>
      <c r="S159" s="121">
        <v>0.08</v>
      </c>
      <c r="T159" s="137">
        <f>(O159*R159)+O159</f>
        <v>235653.975</v>
      </c>
      <c r="U159" s="137">
        <f>(T159*R159)+T159</f>
        <v>253328.023125</v>
      </c>
      <c r="V159" s="137">
        <f>(U159*S159)+U159</f>
        <v>273594.264975</v>
      </c>
      <c r="W159" s="137">
        <f>(V159*S159)+V159</f>
        <v>295481.806173</v>
      </c>
      <c r="X159" s="137">
        <f>(W159*S159)+W159</f>
        <v>319120.35066684004</v>
      </c>
      <c r="Y159" s="137">
        <f>(X159*S159)+X159</f>
        <v>344649.9787201872</v>
      </c>
      <c r="Z159" s="137">
        <f>(Y159*S159)+Y159</f>
        <v>372221.9770178022</v>
      </c>
      <c r="AA159" s="137">
        <f>(Z159*S159)+Z159</f>
        <v>401999.7351792264</v>
      </c>
      <c r="AB159" s="61">
        <f>(AA159*S159)+AA159</f>
        <v>434159.7139935645</v>
      </c>
    </row>
    <row r="160" spans="1:28" ht="15">
      <c r="A160" s="34" t="s">
        <v>430</v>
      </c>
      <c r="B160" s="29" t="s">
        <v>366</v>
      </c>
      <c r="C160" s="122">
        <v>0</v>
      </c>
      <c r="D160" s="123"/>
      <c r="E160" s="120" t="e">
        <f t="shared" si="90"/>
        <v>#DIV/0!</v>
      </c>
      <c r="F160" s="19">
        <f t="shared" si="91"/>
        <v>0</v>
      </c>
      <c r="G160" s="122">
        <v>0</v>
      </c>
      <c r="H160" s="123"/>
      <c r="I160" s="120" t="e">
        <f t="shared" si="92"/>
        <v>#DIV/0!</v>
      </c>
      <c r="J160" s="19">
        <f t="shared" si="93"/>
        <v>93146</v>
      </c>
      <c r="K160" s="63">
        <v>93146</v>
      </c>
      <c r="L160" s="123"/>
      <c r="M160" s="120">
        <f t="shared" si="94"/>
        <v>0</v>
      </c>
      <c r="N160" s="19">
        <f t="shared" si="95"/>
        <v>0</v>
      </c>
      <c r="O160" s="37">
        <v>93146</v>
      </c>
      <c r="P160" s="123"/>
      <c r="Q160" s="121" t="e">
        <f t="shared" si="96"/>
        <v>#DIV/0!</v>
      </c>
      <c r="R160" s="121">
        <v>0.075</v>
      </c>
      <c r="S160" s="121">
        <v>0.08</v>
      </c>
      <c r="T160" s="137">
        <f>(O160*R160)+O160</f>
        <v>100131.95</v>
      </c>
      <c r="U160" s="137">
        <f>(T160*R160)+T160</f>
        <v>107641.84625</v>
      </c>
      <c r="V160" s="137">
        <f>(U160*S160)+U160</f>
        <v>116253.19395</v>
      </c>
      <c r="W160" s="137">
        <f>(V160*S160)+V160</f>
        <v>125553.449466</v>
      </c>
      <c r="X160" s="137">
        <f>(W160*S160)+W160</f>
        <v>135597.72542328</v>
      </c>
      <c r="Y160" s="137">
        <f>(X160*S160)+X160</f>
        <v>146445.5434571424</v>
      </c>
      <c r="Z160" s="137">
        <f>(Y160*S160)+Y160</f>
        <v>158161.1869337138</v>
      </c>
      <c r="AA160" s="137">
        <f>(Z160*S160)+Z160</f>
        <v>170814.0818884109</v>
      </c>
      <c r="AB160" s="61">
        <f>(AA160*S160)+AA160</f>
        <v>184479.20843948377</v>
      </c>
    </row>
    <row r="161" spans="1:28" ht="15.75">
      <c r="A161" s="33" t="s">
        <v>431</v>
      </c>
      <c r="B161" s="23" t="s">
        <v>432</v>
      </c>
      <c r="C161" s="24">
        <f>SUM(C162+C166)</f>
        <v>480837</v>
      </c>
      <c r="D161" s="225">
        <f>C161/C153</f>
        <v>0.29622745823751273</v>
      </c>
      <c r="E161" s="120">
        <f t="shared" si="90"/>
        <v>0.3836623637532053</v>
      </c>
      <c r="F161" s="19">
        <f t="shared" si="91"/>
        <v>184479.05999999994</v>
      </c>
      <c r="G161" s="24">
        <f>SUM(G162+G166)</f>
        <v>665316.0599999999</v>
      </c>
      <c r="H161" s="225">
        <f>G161/G153</f>
        <v>0.3246495323206512</v>
      </c>
      <c r="I161" s="120">
        <f t="shared" si="92"/>
        <v>0.24438354456677325</v>
      </c>
      <c r="J161" s="19">
        <f t="shared" si="93"/>
        <v>162592.29700000002</v>
      </c>
      <c r="K161" s="25">
        <f>SUM(K162+K166)</f>
        <v>827908.357</v>
      </c>
      <c r="L161" s="20"/>
      <c r="M161" s="120">
        <f t="shared" si="94"/>
        <v>-0.22105750648921152</v>
      </c>
      <c r="N161" s="19">
        <f t="shared" si="95"/>
        <v>-183015.35699999996</v>
      </c>
      <c r="O161" s="25">
        <f>SUM(O162+O166)</f>
        <v>644893</v>
      </c>
      <c r="P161" s="20"/>
      <c r="Q161" s="121">
        <f t="shared" si="96"/>
        <v>0.13566280061025568</v>
      </c>
      <c r="R161" s="121">
        <v>0.075</v>
      </c>
      <c r="S161" s="121">
        <v>0.08</v>
      </c>
      <c r="T161" s="61">
        <f>(O161*R161)+O161</f>
        <v>693259.975</v>
      </c>
      <c r="U161" s="61">
        <f>(T161*R161)+T161</f>
        <v>745254.473125</v>
      </c>
      <c r="V161" s="25">
        <f aca="true" t="shared" si="110" ref="V161:AB161">SUM(V162+V166)</f>
        <v>804874.8309749999</v>
      </c>
      <c r="W161" s="25">
        <f t="shared" si="110"/>
        <v>869264.8174529999</v>
      </c>
      <c r="X161" s="25">
        <f t="shared" si="110"/>
        <v>938806.0028492399</v>
      </c>
      <c r="Y161" s="25">
        <f t="shared" si="110"/>
        <v>1013910.4830771792</v>
      </c>
      <c r="Z161" s="25">
        <f t="shared" si="110"/>
        <v>1095023.3217233536</v>
      </c>
      <c r="AA161" s="25">
        <f t="shared" si="110"/>
        <v>1182625.1874612218</v>
      </c>
      <c r="AB161" s="25">
        <f t="shared" si="110"/>
        <v>1277235.2024581195</v>
      </c>
    </row>
    <row r="162" spans="1:28" ht="15.75">
      <c r="A162" s="34" t="s">
        <v>433</v>
      </c>
      <c r="B162" s="23" t="s">
        <v>434</v>
      </c>
      <c r="C162" s="24">
        <f>SUM(C163:C165)</f>
        <v>448582</v>
      </c>
      <c r="D162" s="20">
        <f>C162/C161</f>
        <v>0.9329190557299043</v>
      </c>
      <c r="E162" s="120">
        <f t="shared" si="90"/>
        <v>0.053308469800393166</v>
      </c>
      <c r="F162" s="19">
        <f t="shared" si="91"/>
        <v>23913.219999999972</v>
      </c>
      <c r="G162" s="24">
        <f>SUM(G163:G165)</f>
        <v>472495.22</v>
      </c>
      <c r="H162" s="20">
        <f>G162/G161</f>
        <v>0.7101815939930866</v>
      </c>
      <c r="I162" s="120">
        <f t="shared" si="92"/>
        <v>0.5894113701298396</v>
      </c>
      <c r="J162" s="19">
        <f t="shared" si="93"/>
        <v>278494.05499999993</v>
      </c>
      <c r="K162" s="25">
        <f>SUM(K163:K165)</f>
        <v>750989.2749999999</v>
      </c>
      <c r="L162" s="20"/>
      <c r="M162" s="120">
        <f t="shared" si="94"/>
        <v>-0.21516855217406394</v>
      </c>
      <c r="N162" s="19">
        <f t="shared" si="95"/>
        <v>-161589.2749999999</v>
      </c>
      <c r="O162" s="25">
        <f>SUM(O163:O165)</f>
        <v>589400</v>
      </c>
      <c r="P162" s="20"/>
      <c r="Q162" s="121">
        <f t="shared" si="96"/>
        <v>0.14251709591872294</v>
      </c>
      <c r="R162" s="121"/>
      <c r="S162" s="121">
        <v>0.08</v>
      </c>
      <c r="T162" s="25">
        <f aca="true" t="shared" si="111" ref="T162:AB162">SUM(T163:T165)</f>
        <v>633605</v>
      </c>
      <c r="U162" s="25">
        <f t="shared" si="111"/>
        <v>681125.3749999999</v>
      </c>
      <c r="V162" s="25">
        <f t="shared" si="111"/>
        <v>735615.4049999999</v>
      </c>
      <c r="W162" s="25">
        <f t="shared" si="111"/>
        <v>794464.6373999999</v>
      </c>
      <c r="X162" s="25">
        <f t="shared" si="111"/>
        <v>858021.8083919999</v>
      </c>
      <c r="Y162" s="25">
        <f t="shared" si="111"/>
        <v>926663.5530633599</v>
      </c>
      <c r="Z162" s="25">
        <f t="shared" si="111"/>
        <v>1000796.6373084288</v>
      </c>
      <c r="AA162" s="25">
        <f t="shared" si="111"/>
        <v>1080860.368293103</v>
      </c>
      <c r="AB162" s="25">
        <f t="shared" si="111"/>
        <v>1167329.1977565512</v>
      </c>
    </row>
    <row r="163" spans="1:28" ht="15">
      <c r="A163" s="34" t="s">
        <v>435</v>
      </c>
      <c r="B163" s="29" t="s">
        <v>436</v>
      </c>
      <c r="C163" s="122">
        <v>0</v>
      </c>
      <c r="D163" s="123">
        <f>C163/C162</f>
        <v>0</v>
      </c>
      <c r="E163" s="120" t="e">
        <f t="shared" si="90"/>
        <v>#DIV/0!</v>
      </c>
      <c r="F163" s="19">
        <f t="shared" si="91"/>
        <v>171375.444</v>
      </c>
      <c r="G163" s="122">
        <v>171375.444</v>
      </c>
      <c r="H163" s="123">
        <f>G163/G162</f>
        <v>0.362703021630568</v>
      </c>
      <c r="I163" s="120">
        <f t="shared" si="92"/>
        <v>1.640852781685572</v>
      </c>
      <c r="J163" s="19">
        <f t="shared" si="93"/>
        <v>281201.87399999995</v>
      </c>
      <c r="K163" s="63">
        <v>452577.31799999997</v>
      </c>
      <c r="L163" s="123"/>
      <c r="M163" s="120">
        <f t="shared" si="94"/>
        <v>-1</v>
      </c>
      <c r="N163" s="19">
        <f t="shared" si="95"/>
        <v>-452577.31799999997</v>
      </c>
      <c r="O163" s="63">
        <v>0</v>
      </c>
      <c r="P163" s="123"/>
      <c r="Q163" s="121" t="e">
        <f t="shared" si="96"/>
        <v>#DIV/0!</v>
      </c>
      <c r="R163" s="121">
        <v>0.075</v>
      </c>
      <c r="S163" s="121">
        <v>0.08</v>
      </c>
      <c r="T163" s="137">
        <f>(O163*R163)+O163</f>
        <v>0</v>
      </c>
      <c r="U163" s="137">
        <f aca="true" t="shared" si="112" ref="U163:V165">(T163*R163)+T163</f>
        <v>0</v>
      </c>
      <c r="V163" s="137">
        <f t="shared" si="112"/>
        <v>0</v>
      </c>
      <c r="W163" s="137">
        <f>(V163*S163)+V163</f>
        <v>0</v>
      </c>
      <c r="X163" s="137">
        <f>(W163*S163)+W163</f>
        <v>0</v>
      </c>
      <c r="Y163" s="137">
        <f>(X163*S163)+X163</f>
        <v>0</v>
      </c>
      <c r="Z163" s="137">
        <f>(Y163*S163)+Y163</f>
        <v>0</v>
      </c>
      <c r="AA163" s="137">
        <f>(Z163*S163)+Z163</f>
        <v>0</v>
      </c>
      <c r="AB163" s="61">
        <f>(AA163*S163)+AA163</f>
        <v>0</v>
      </c>
    </row>
    <row r="164" spans="1:28" ht="15">
      <c r="A164" s="34" t="s">
        <v>437</v>
      </c>
      <c r="B164" s="29" t="s">
        <v>438</v>
      </c>
      <c r="C164" s="122">
        <v>448582</v>
      </c>
      <c r="D164" s="123">
        <f>C164/C162</f>
        <v>1</v>
      </c>
      <c r="E164" s="120">
        <f t="shared" si="90"/>
        <v>-0.32872969490527926</v>
      </c>
      <c r="F164" s="19">
        <f t="shared" si="91"/>
        <v>-147462.224</v>
      </c>
      <c r="G164" s="122">
        <v>301119.776</v>
      </c>
      <c r="H164" s="123">
        <f>G164/G162</f>
        <v>0.637296978369432</v>
      </c>
      <c r="I164" s="120">
        <f t="shared" si="92"/>
        <v>-0.008992498054993248</v>
      </c>
      <c r="J164" s="19">
        <f t="shared" si="93"/>
        <v>-2707.8190000000177</v>
      </c>
      <c r="K164" s="63">
        <v>298411.957</v>
      </c>
      <c r="L164" s="123"/>
      <c r="M164" s="120">
        <f t="shared" si="94"/>
        <v>0.885098726121085</v>
      </c>
      <c r="N164" s="19">
        <f t="shared" si="95"/>
        <v>264124.043</v>
      </c>
      <c r="O164" s="61">
        <v>562536</v>
      </c>
      <c r="P164" s="123"/>
      <c r="Q164" s="121">
        <f t="shared" si="96"/>
        <v>0.1824588443869375</v>
      </c>
      <c r="R164" s="121">
        <v>0.075</v>
      </c>
      <c r="S164" s="121">
        <v>0.08</v>
      </c>
      <c r="T164" s="137">
        <f>(O164*R164)+O164</f>
        <v>604726.2</v>
      </c>
      <c r="U164" s="137">
        <f t="shared" si="112"/>
        <v>650080.6649999999</v>
      </c>
      <c r="V164" s="137">
        <f t="shared" si="112"/>
        <v>702087.1181999999</v>
      </c>
      <c r="W164" s="137">
        <f>(V164*S164)+V164</f>
        <v>758254.0876559999</v>
      </c>
      <c r="X164" s="137">
        <f>(W164*S164)+W164</f>
        <v>818914.4146684799</v>
      </c>
      <c r="Y164" s="137">
        <f>(X164*S164)+X164</f>
        <v>884427.5678419584</v>
      </c>
      <c r="Z164" s="137">
        <f>(Y164*S164)+Y164</f>
        <v>955181.773269315</v>
      </c>
      <c r="AA164" s="137">
        <f>(Z164*S164)+Z164</f>
        <v>1031596.3151308602</v>
      </c>
      <c r="AB164" s="61">
        <f>(AA164*S164)+AA164</f>
        <v>1114124.020341329</v>
      </c>
    </row>
    <row r="165" spans="1:28" ht="15">
      <c r="A165" s="34" t="s">
        <v>439</v>
      </c>
      <c r="B165" s="29" t="s">
        <v>440</v>
      </c>
      <c r="C165" s="122">
        <v>0</v>
      </c>
      <c r="D165" s="123"/>
      <c r="E165" s="120" t="e">
        <f t="shared" si="90"/>
        <v>#DIV/0!</v>
      </c>
      <c r="F165" s="19">
        <f t="shared" si="91"/>
        <v>0</v>
      </c>
      <c r="G165" s="122">
        <v>0</v>
      </c>
      <c r="H165" s="123"/>
      <c r="I165" s="120" t="e">
        <f t="shared" si="92"/>
        <v>#DIV/0!</v>
      </c>
      <c r="J165" s="19">
        <f t="shared" si="93"/>
        <v>0</v>
      </c>
      <c r="K165" s="63">
        <v>0</v>
      </c>
      <c r="L165" s="123"/>
      <c r="M165" s="120" t="e">
        <f t="shared" si="94"/>
        <v>#DIV/0!</v>
      </c>
      <c r="N165" s="19">
        <f t="shared" si="95"/>
        <v>26864</v>
      </c>
      <c r="O165" s="61">
        <v>26864</v>
      </c>
      <c r="P165" s="123"/>
      <c r="Q165" s="121" t="e">
        <f t="shared" si="96"/>
        <v>#DIV/0!</v>
      </c>
      <c r="R165" s="121">
        <v>0.075</v>
      </c>
      <c r="S165" s="121">
        <v>0.08</v>
      </c>
      <c r="T165" s="137">
        <f>(O165*R165)+O165</f>
        <v>28878.8</v>
      </c>
      <c r="U165" s="137">
        <f t="shared" si="112"/>
        <v>31044.71</v>
      </c>
      <c r="V165" s="137">
        <f t="shared" si="112"/>
        <v>33528.2868</v>
      </c>
      <c r="W165" s="137">
        <f>(V165*S165)+V165</f>
        <v>36210.549744</v>
      </c>
      <c r="X165" s="137">
        <f>(W165*S165)+W165</f>
        <v>39107.39372352001</v>
      </c>
      <c r="Y165" s="137">
        <f>(X165*S165)+X165</f>
        <v>42235.98522140161</v>
      </c>
      <c r="Z165" s="137">
        <f>(Y165*S165)+Y165</f>
        <v>45614.86403911374</v>
      </c>
      <c r="AA165" s="137">
        <f>(Z165*S165)+Z165</f>
        <v>49264.05316224284</v>
      </c>
      <c r="AB165" s="61">
        <f>(AA165*S165)+AA165</f>
        <v>53205.177415222264</v>
      </c>
    </row>
    <row r="166" spans="1:28" ht="15.75">
      <c r="A166" s="34" t="s">
        <v>441</v>
      </c>
      <c r="B166" s="23" t="s">
        <v>442</v>
      </c>
      <c r="C166" s="24">
        <f>SUM(C167:C168)</f>
        <v>32255</v>
      </c>
      <c r="D166" s="20">
        <f>C166/C161</f>
        <v>0.06708094427009569</v>
      </c>
      <c r="E166" s="120">
        <f t="shared" si="90"/>
        <v>4.978013951325376</v>
      </c>
      <c r="F166" s="19">
        <f t="shared" si="91"/>
        <v>160565.84</v>
      </c>
      <c r="G166" s="24">
        <f>SUM(G167:G168)</f>
        <v>192820.84</v>
      </c>
      <c r="H166" s="20">
        <f>G166/G161</f>
        <v>0.2898184060069135</v>
      </c>
      <c r="I166" s="120">
        <f t="shared" si="92"/>
        <v>-0.6010852250202829</v>
      </c>
      <c r="J166" s="19">
        <f t="shared" si="93"/>
        <v>-115901.75799999999</v>
      </c>
      <c r="K166" s="25">
        <f>SUM(K167:K168)</f>
        <v>76919.08200000001</v>
      </c>
      <c r="L166" s="20"/>
      <c r="M166" s="120">
        <f t="shared" si="94"/>
        <v>-0.2785535323991517</v>
      </c>
      <c r="N166" s="19">
        <f t="shared" si="95"/>
        <v>-21426.08200000001</v>
      </c>
      <c r="O166" s="25">
        <f>SUM(O167:O168)</f>
        <v>55493</v>
      </c>
      <c r="P166" s="20"/>
      <c r="Q166" s="121">
        <f t="shared" si="96"/>
        <v>1.3661250646353136</v>
      </c>
      <c r="R166" s="121"/>
      <c r="S166" s="121">
        <v>0.08</v>
      </c>
      <c r="T166" s="25">
        <f aca="true" t="shared" si="113" ref="T166:AB166">SUM(T167:T168)</f>
        <v>59654.975</v>
      </c>
      <c r="U166" s="25">
        <f t="shared" si="113"/>
        <v>64129.098125000004</v>
      </c>
      <c r="V166" s="25">
        <f t="shared" si="113"/>
        <v>69259.425975</v>
      </c>
      <c r="W166" s="25">
        <f t="shared" si="113"/>
        <v>74800.180053</v>
      </c>
      <c r="X166" s="25">
        <f t="shared" si="113"/>
        <v>80784.19445724</v>
      </c>
      <c r="Y166" s="25">
        <f t="shared" si="113"/>
        <v>87246.9300138192</v>
      </c>
      <c r="Z166" s="25">
        <f t="shared" si="113"/>
        <v>94226.68441492473</v>
      </c>
      <c r="AA166" s="25">
        <f t="shared" si="113"/>
        <v>101764.8191681187</v>
      </c>
      <c r="AB166" s="25">
        <f t="shared" si="113"/>
        <v>109906.00470156819</v>
      </c>
    </row>
    <row r="167" spans="1:28" ht="15.75" thickBot="1">
      <c r="A167" s="39" t="s">
        <v>443</v>
      </c>
      <c r="B167" s="44" t="s">
        <v>444</v>
      </c>
      <c r="C167" s="122">
        <v>0</v>
      </c>
      <c r="D167" s="123"/>
      <c r="E167" s="120" t="e">
        <f t="shared" si="90"/>
        <v>#DIV/0!</v>
      </c>
      <c r="F167" s="19">
        <f t="shared" si="91"/>
        <v>0</v>
      </c>
      <c r="G167" s="122">
        <v>0</v>
      </c>
      <c r="H167" s="123"/>
      <c r="I167" s="120" t="e">
        <f t="shared" si="92"/>
        <v>#DIV/0!</v>
      </c>
      <c r="J167" s="19">
        <f t="shared" si="93"/>
        <v>10492.641</v>
      </c>
      <c r="K167" s="63">
        <v>10492.641</v>
      </c>
      <c r="L167" s="123"/>
      <c r="M167" s="120">
        <f t="shared" si="94"/>
        <v>3.4214455636227825E-05</v>
      </c>
      <c r="N167" s="19">
        <f t="shared" si="95"/>
        <v>0.35900000000037835</v>
      </c>
      <c r="O167" s="61">
        <v>10493</v>
      </c>
      <c r="P167" s="123"/>
      <c r="Q167" s="121" t="e">
        <f t="shared" si="96"/>
        <v>#DIV/0!</v>
      </c>
      <c r="R167" s="121">
        <v>0.075</v>
      </c>
      <c r="S167" s="121">
        <v>0.08</v>
      </c>
      <c r="T167" s="137">
        <f>(O167*R167)+O167</f>
        <v>11279.975</v>
      </c>
      <c r="U167" s="137">
        <f aca="true" t="shared" si="114" ref="U167:U178">(T167*R167)+T167</f>
        <v>12125.973125</v>
      </c>
      <c r="V167" s="137">
        <f>(U167*S167)+U167</f>
        <v>13096.050975</v>
      </c>
      <c r="W167" s="137">
        <f>(V167*S167)+V167</f>
        <v>14143.735053</v>
      </c>
      <c r="X167" s="137">
        <f>(W167*S167)+W167</f>
        <v>15275.23385724</v>
      </c>
      <c r="Y167" s="137">
        <f>(X167*S167)+X167</f>
        <v>16497.2525658192</v>
      </c>
      <c r="Z167" s="137">
        <f>(Y167*S167)+Y167</f>
        <v>17817.032771084734</v>
      </c>
      <c r="AA167" s="137">
        <f>(Z167*S167)+Z167</f>
        <v>19242.395392771512</v>
      </c>
      <c r="AB167" s="61">
        <f>(AA167*S167)+AA167</f>
        <v>20781.787024193232</v>
      </c>
    </row>
    <row r="168" spans="1:28" ht="15">
      <c r="A168" s="34" t="s">
        <v>445</v>
      </c>
      <c r="B168" s="29" t="s">
        <v>446</v>
      </c>
      <c r="C168" s="122">
        <v>32255</v>
      </c>
      <c r="D168" s="123">
        <f>C168/C166</f>
        <v>1</v>
      </c>
      <c r="E168" s="120">
        <f t="shared" si="90"/>
        <v>4.978013951325376</v>
      </c>
      <c r="F168" s="19">
        <f t="shared" si="91"/>
        <v>160565.84</v>
      </c>
      <c r="G168" s="122">
        <v>192820.84</v>
      </c>
      <c r="H168" s="123">
        <f>G168/G166</f>
        <v>1</v>
      </c>
      <c r="I168" s="120">
        <f t="shared" si="92"/>
        <v>-0.6555017548932989</v>
      </c>
      <c r="J168" s="19">
        <f t="shared" si="93"/>
        <v>-126394.39899999999</v>
      </c>
      <c r="K168" s="63">
        <v>66426.441</v>
      </c>
      <c r="L168" s="123"/>
      <c r="M168" s="120">
        <f t="shared" si="94"/>
        <v>-0.3225589189702336</v>
      </c>
      <c r="N168" s="19">
        <f t="shared" si="95"/>
        <v>-21426.441000000006</v>
      </c>
      <c r="O168" s="61">
        <v>45000</v>
      </c>
      <c r="P168" s="123"/>
      <c r="Q168" s="121">
        <f t="shared" si="96"/>
        <v>1.3333177591539476</v>
      </c>
      <c r="R168" s="121">
        <v>0.075</v>
      </c>
      <c r="S168" s="121">
        <v>0.08</v>
      </c>
      <c r="T168" s="137">
        <f>(O168*R168)+O168</f>
        <v>48375</v>
      </c>
      <c r="U168" s="137">
        <f t="shared" si="114"/>
        <v>52003.125</v>
      </c>
      <c r="V168" s="137">
        <f>(U168*S168)+U168</f>
        <v>56163.375</v>
      </c>
      <c r="W168" s="137">
        <f>(V168*S168)+V168</f>
        <v>60656.445</v>
      </c>
      <c r="X168" s="137">
        <f>(W168*S168)+W168</f>
        <v>65508.9606</v>
      </c>
      <c r="Y168" s="137">
        <f>(X168*S168)+X168</f>
        <v>70749.677448</v>
      </c>
      <c r="Z168" s="137">
        <f>(Y168*S168)+Y168</f>
        <v>76409.65164384</v>
      </c>
      <c r="AA168" s="137">
        <f>(Z168*S168)+Z168</f>
        <v>82522.4237753472</v>
      </c>
      <c r="AB168" s="61">
        <f>(AA168*S168)+AA168</f>
        <v>89124.21767737497</v>
      </c>
    </row>
    <row r="169" spans="1:28" ht="15">
      <c r="A169" s="33" t="s">
        <v>447</v>
      </c>
      <c r="B169" s="58" t="s">
        <v>448</v>
      </c>
      <c r="C169" s="24">
        <f>SUM(C170+C171+C175+C174)</f>
        <v>170468</v>
      </c>
      <c r="D169" s="227">
        <f>C169/C152</f>
        <v>0.09503866422215233</v>
      </c>
      <c r="E169" s="120">
        <f t="shared" si="90"/>
        <v>0.245900187483868</v>
      </c>
      <c r="F169" s="19">
        <f t="shared" si="91"/>
        <v>41918.11316000001</v>
      </c>
      <c r="G169" s="24">
        <f>SUM(G170+G171+G175+G174)</f>
        <v>212386.11316</v>
      </c>
      <c r="H169" s="227">
        <f>G169/G152</f>
        <v>0.09390459024099344</v>
      </c>
      <c r="I169" s="120">
        <f t="shared" si="92"/>
        <v>-0.0536593517835815</v>
      </c>
      <c r="J169" s="19">
        <f t="shared" si="93"/>
        <v>-11396.501159999985</v>
      </c>
      <c r="K169" s="25">
        <f>SUM(K170+K171+K175+K174)</f>
        <v>200989.61200000002</v>
      </c>
      <c r="L169" s="20"/>
      <c r="M169" s="120">
        <f t="shared" si="94"/>
        <v>-0.22849246557080782</v>
      </c>
      <c r="N169" s="19">
        <f t="shared" si="95"/>
        <v>-45924.61200000002</v>
      </c>
      <c r="O169" s="25">
        <f>SUM(O170+O171+O175+O174)</f>
        <v>155065</v>
      </c>
      <c r="P169" s="20"/>
      <c r="Q169" s="121">
        <f t="shared" si="96"/>
        <v>-0.012083876623507109</v>
      </c>
      <c r="R169" s="121"/>
      <c r="S169" s="121">
        <v>0.08</v>
      </c>
      <c r="T169" s="25">
        <f aca="true" t="shared" si="115" ref="T169:AB169">SUM(T170+T171+T175+T174)</f>
        <v>166694.875</v>
      </c>
      <c r="U169" s="25">
        <f t="shared" si="115"/>
        <v>179196.99062499998</v>
      </c>
      <c r="V169" s="25">
        <f t="shared" si="115"/>
        <v>193532.749875</v>
      </c>
      <c r="W169" s="25">
        <f t="shared" si="115"/>
        <v>209015.36986500002</v>
      </c>
      <c r="X169" s="25">
        <f t="shared" si="115"/>
        <v>225736.5994542</v>
      </c>
      <c r="Y169" s="25">
        <f t="shared" si="115"/>
        <v>243795.52741053601</v>
      </c>
      <c r="Z169" s="25">
        <f t="shared" si="115"/>
        <v>263299.16960337886</v>
      </c>
      <c r="AA169" s="25">
        <f t="shared" si="115"/>
        <v>284363.1031716492</v>
      </c>
      <c r="AB169" s="25">
        <f t="shared" si="115"/>
        <v>307112.15142538113</v>
      </c>
    </row>
    <row r="170" spans="1:28" ht="15">
      <c r="A170" s="34" t="s">
        <v>449</v>
      </c>
      <c r="B170" s="29" t="s">
        <v>450</v>
      </c>
      <c r="C170" s="122">
        <v>0</v>
      </c>
      <c r="D170" s="226">
        <f>C170/C169</f>
        <v>0</v>
      </c>
      <c r="E170" s="120" t="e">
        <f t="shared" si="90"/>
        <v>#DIV/0!</v>
      </c>
      <c r="F170" s="19">
        <f t="shared" si="91"/>
        <v>61990.478</v>
      </c>
      <c r="G170" s="122">
        <v>61990.478</v>
      </c>
      <c r="H170" s="226">
        <f>G170/G169</f>
        <v>0.29187632410457925</v>
      </c>
      <c r="I170" s="120">
        <f t="shared" si="92"/>
        <v>-0.8574998566715359</v>
      </c>
      <c r="J170" s="19">
        <f t="shared" si="93"/>
        <v>-53156.826</v>
      </c>
      <c r="K170" s="63">
        <v>8833.652</v>
      </c>
      <c r="L170" s="123"/>
      <c r="M170" s="120">
        <f t="shared" si="94"/>
        <v>0.4143640704886269</v>
      </c>
      <c r="N170" s="19">
        <f t="shared" si="95"/>
        <v>3660.348</v>
      </c>
      <c r="O170" s="135">
        <v>12494</v>
      </c>
      <c r="P170" s="123"/>
      <c r="Q170" s="121" t="e">
        <f t="shared" si="96"/>
        <v>#DIV/0!</v>
      </c>
      <c r="R170" s="121">
        <v>0.075</v>
      </c>
      <c r="S170" s="121">
        <v>0.08</v>
      </c>
      <c r="T170" s="137">
        <f>(O170*R170)+O170</f>
        <v>13431.05</v>
      </c>
      <c r="U170" s="137">
        <f t="shared" si="114"/>
        <v>14438.37875</v>
      </c>
      <c r="V170" s="137">
        <f>(U170*S170)+U170</f>
        <v>15593.44905</v>
      </c>
      <c r="W170" s="137">
        <f>(V170*S170)+V170</f>
        <v>16840.924973999998</v>
      </c>
      <c r="X170" s="137">
        <f>(W170*S170)+W170</f>
        <v>18188.19897192</v>
      </c>
      <c r="Y170" s="137">
        <f>(X170*S170)+X170</f>
        <v>19643.2548896736</v>
      </c>
      <c r="Z170" s="137">
        <f>(Y170*S170)+Y170</f>
        <v>21214.71528084749</v>
      </c>
      <c r="AA170" s="137">
        <f>(Z170*S170)+Z170</f>
        <v>22911.89250331529</v>
      </c>
      <c r="AB170" s="61">
        <f>(AA170*S170)+AA170</f>
        <v>24744.843903580513</v>
      </c>
    </row>
    <row r="171" spans="1:28" ht="15.75">
      <c r="A171" s="33" t="s">
        <v>451</v>
      </c>
      <c r="B171" s="23" t="s">
        <v>452</v>
      </c>
      <c r="C171" s="24">
        <f>SUM(C172:C173)</f>
        <v>26735</v>
      </c>
      <c r="D171" s="225">
        <f>C171/C169</f>
        <v>0.15683295398549874</v>
      </c>
      <c r="E171" s="120">
        <f t="shared" si="90"/>
        <v>2.0664108846081914</v>
      </c>
      <c r="F171" s="19">
        <f t="shared" si="91"/>
        <v>55245.494999999995</v>
      </c>
      <c r="G171" s="24">
        <f>SUM(G172:G173)</f>
        <v>81980.495</v>
      </c>
      <c r="H171" s="225">
        <f>G171/G169</f>
        <v>0.3859974354266769</v>
      </c>
      <c r="I171" s="120">
        <f t="shared" si="92"/>
        <v>0.10698618006636829</v>
      </c>
      <c r="J171" s="19">
        <f t="shared" si="93"/>
        <v>8770.779999999999</v>
      </c>
      <c r="K171" s="25">
        <f>SUM(K172:K173)</f>
        <v>90751.275</v>
      </c>
      <c r="L171" s="20"/>
      <c r="M171" s="120">
        <f t="shared" si="94"/>
        <v>0.1536477035722088</v>
      </c>
      <c r="N171" s="19">
        <f t="shared" si="95"/>
        <v>13943.725000000006</v>
      </c>
      <c r="O171" s="25">
        <f>SUM(O172:O173)</f>
        <v>104695</v>
      </c>
      <c r="P171" s="20"/>
      <c r="Q171" s="121">
        <f t="shared" si="96"/>
        <v>0.7756815894155894</v>
      </c>
      <c r="R171" s="121"/>
      <c r="S171" s="121">
        <v>0.08</v>
      </c>
      <c r="T171" s="25">
        <f aca="true" t="shared" si="116" ref="T171:AB171">SUM(T172:T173)</f>
        <v>112547.125</v>
      </c>
      <c r="U171" s="25">
        <f t="shared" si="116"/>
        <v>120988.159375</v>
      </c>
      <c r="V171" s="25">
        <f t="shared" si="116"/>
        <v>130667.212125</v>
      </c>
      <c r="W171" s="25">
        <f t="shared" si="116"/>
        <v>141120.589095</v>
      </c>
      <c r="X171" s="25">
        <f t="shared" si="116"/>
        <v>152410.2362226</v>
      </c>
      <c r="Y171" s="25">
        <f t="shared" si="116"/>
        <v>164603.055120408</v>
      </c>
      <c r="Z171" s="25">
        <f t="shared" si="116"/>
        <v>177771.29953004065</v>
      </c>
      <c r="AA171" s="25">
        <f t="shared" si="116"/>
        <v>191993.0034924439</v>
      </c>
      <c r="AB171" s="25">
        <f t="shared" si="116"/>
        <v>207352.44377183943</v>
      </c>
    </row>
    <row r="172" spans="1:28" ht="15">
      <c r="A172" s="34" t="s">
        <v>453</v>
      </c>
      <c r="B172" s="29" t="s">
        <v>423</v>
      </c>
      <c r="C172" s="122">
        <v>11716</v>
      </c>
      <c r="D172" s="123">
        <f>C172/C171</f>
        <v>0.4382270432017954</v>
      </c>
      <c r="E172" s="120">
        <f t="shared" si="90"/>
        <v>5.653592949812222</v>
      </c>
      <c r="F172" s="19">
        <f t="shared" si="91"/>
        <v>66237.495</v>
      </c>
      <c r="G172" s="122">
        <v>77953.495</v>
      </c>
      <c r="H172" s="123">
        <f>G172/G171</f>
        <v>0.9508785595890827</v>
      </c>
      <c r="I172" s="120">
        <f t="shared" si="92"/>
        <v>0.12021675230854001</v>
      </c>
      <c r="J172" s="19">
        <f t="shared" si="93"/>
        <v>9371.316000000006</v>
      </c>
      <c r="K172" s="63">
        <v>87324.811</v>
      </c>
      <c r="L172" s="123"/>
      <c r="M172" s="120">
        <f t="shared" si="94"/>
        <v>0.19891470477960715</v>
      </c>
      <c r="N172" s="19">
        <f t="shared" si="95"/>
        <v>17370.189</v>
      </c>
      <c r="O172" s="61">
        <v>104695</v>
      </c>
      <c r="P172" s="123"/>
      <c r="Q172" s="121">
        <f t="shared" si="96"/>
        <v>1.9909081356334566</v>
      </c>
      <c r="R172" s="121">
        <v>0.075</v>
      </c>
      <c r="S172" s="121">
        <v>0.08</v>
      </c>
      <c r="T172" s="137">
        <f>(O172*R172)+O172</f>
        <v>112547.125</v>
      </c>
      <c r="U172" s="137">
        <f t="shared" si="114"/>
        <v>120988.159375</v>
      </c>
      <c r="V172" s="137">
        <f>(U172*S172)+U172</f>
        <v>130667.212125</v>
      </c>
      <c r="W172" s="137">
        <f>(V172*S172)+V172</f>
        <v>141120.589095</v>
      </c>
      <c r="X172" s="137">
        <f>(W172*S172)+W172</f>
        <v>152410.2362226</v>
      </c>
      <c r="Y172" s="137">
        <f>(X172*S172)+X172</f>
        <v>164603.055120408</v>
      </c>
      <c r="Z172" s="137">
        <f>(Y172*S172)+Y172</f>
        <v>177771.29953004065</v>
      </c>
      <c r="AA172" s="137">
        <f>(Z172*S172)+Z172</f>
        <v>191993.0034924439</v>
      </c>
      <c r="AB172" s="61">
        <f>(AA172*S172)+AA172</f>
        <v>207352.44377183943</v>
      </c>
    </row>
    <row r="173" spans="1:28" ht="15">
      <c r="A173" s="34" t="s">
        <v>454</v>
      </c>
      <c r="B173" s="29" t="s">
        <v>425</v>
      </c>
      <c r="C173" s="122">
        <v>15019</v>
      </c>
      <c r="D173" s="123">
        <f>C173/C171</f>
        <v>0.5617729567982046</v>
      </c>
      <c r="E173" s="120">
        <f t="shared" si="90"/>
        <v>-0.7318729609161728</v>
      </c>
      <c r="F173" s="19">
        <f t="shared" si="91"/>
        <v>-10992</v>
      </c>
      <c r="G173" s="122">
        <v>4027</v>
      </c>
      <c r="H173" s="123">
        <f>G173/G171</f>
        <v>0.04912144041091726</v>
      </c>
      <c r="I173" s="120">
        <f t="shared" si="92"/>
        <v>-0.14912739011671217</v>
      </c>
      <c r="J173" s="19">
        <f t="shared" si="93"/>
        <v>-600.5360000000001</v>
      </c>
      <c r="K173" s="63">
        <v>3426.464</v>
      </c>
      <c r="L173" s="123"/>
      <c r="M173" s="120">
        <f t="shared" si="94"/>
        <v>-1</v>
      </c>
      <c r="N173" s="19">
        <f t="shared" si="95"/>
        <v>-3426.464</v>
      </c>
      <c r="O173" s="63">
        <v>0</v>
      </c>
      <c r="P173" s="123"/>
      <c r="Q173" s="121">
        <f t="shared" si="96"/>
        <v>-0.6270001170109617</v>
      </c>
      <c r="R173" s="121">
        <v>0.075</v>
      </c>
      <c r="S173" s="121">
        <v>0.08</v>
      </c>
      <c r="T173" s="137">
        <f>(O173*R173)+O173</f>
        <v>0</v>
      </c>
      <c r="U173" s="137">
        <f t="shared" si="114"/>
        <v>0</v>
      </c>
      <c r="V173" s="137">
        <f>(U173*S173)+U173</f>
        <v>0</v>
      </c>
      <c r="W173" s="137">
        <f>(V173*S173)+V173</f>
        <v>0</v>
      </c>
      <c r="X173" s="137">
        <f>(W173*S173)+W173</f>
        <v>0</v>
      </c>
      <c r="Y173" s="137">
        <f>(X173*S173)+X173</f>
        <v>0</v>
      </c>
      <c r="Z173" s="137">
        <f>(Y173*S173)+Y173</f>
        <v>0</v>
      </c>
      <c r="AA173" s="137">
        <f>(Z173*S173)+Z173</f>
        <v>0</v>
      </c>
      <c r="AB173" s="61">
        <f>(AA173*S173)+AA173</f>
        <v>0</v>
      </c>
    </row>
    <row r="174" spans="1:28" ht="15">
      <c r="A174" s="33" t="s">
        <v>455</v>
      </c>
      <c r="B174" s="56" t="s">
        <v>427</v>
      </c>
      <c r="C174" s="24">
        <v>0</v>
      </c>
      <c r="D174" s="225">
        <f>C174/C169</f>
        <v>0</v>
      </c>
      <c r="E174" s="120" t="e">
        <f t="shared" si="90"/>
        <v>#DIV/0!</v>
      </c>
      <c r="F174" s="19">
        <f t="shared" si="91"/>
        <v>31824</v>
      </c>
      <c r="G174" s="24">
        <v>31824</v>
      </c>
      <c r="H174" s="225">
        <f>G174/G169</f>
        <v>0.14984030512402452</v>
      </c>
      <c r="I174" s="120">
        <f t="shared" si="92"/>
        <v>-0.12530332453494208</v>
      </c>
      <c r="J174" s="19">
        <f t="shared" si="93"/>
        <v>-3987.6529999999984</v>
      </c>
      <c r="K174" s="25">
        <v>27836.347</v>
      </c>
      <c r="L174" s="20"/>
      <c r="M174" s="120">
        <f t="shared" si="94"/>
        <v>-1</v>
      </c>
      <c r="N174" s="19">
        <f t="shared" si="95"/>
        <v>-27836.347</v>
      </c>
      <c r="O174" s="25">
        <v>0</v>
      </c>
      <c r="P174" s="20"/>
      <c r="Q174" s="121" t="e">
        <f t="shared" si="96"/>
        <v>#DIV/0!</v>
      </c>
      <c r="R174" s="121">
        <v>0.075</v>
      </c>
      <c r="S174" s="121">
        <v>0.08</v>
      </c>
      <c r="T174" s="137">
        <f>(O174*R174)+O174</f>
        <v>0</v>
      </c>
      <c r="U174" s="137">
        <f t="shared" si="114"/>
        <v>0</v>
      </c>
      <c r="V174" s="137">
        <f>(U174*S174)+U174</f>
        <v>0</v>
      </c>
      <c r="W174" s="137">
        <f>(V174*S174)+V174</f>
        <v>0</v>
      </c>
      <c r="X174" s="137">
        <f>(W174*S174)+W174</f>
        <v>0</v>
      </c>
      <c r="Y174" s="137">
        <f>(X174*S174)+X174</f>
        <v>0</v>
      </c>
      <c r="Z174" s="137">
        <f>(Y174*S174)+Y174</f>
        <v>0</v>
      </c>
      <c r="AA174" s="137">
        <f>(Z174*S174)+Z174</f>
        <v>0</v>
      </c>
      <c r="AB174" s="61">
        <f>(AA174*S174)+AA174</f>
        <v>0</v>
      </c>
    </row>
    <row r="175" spans="1:28" ht="15">
      <c r="A175" s="33" t="s">
        <v>456</v>
      </c>
      <c r="B175" s="56" t="s">
        <v>457</v>
      </c>
      <c r="C175" s="24">
        <f>SUM(C176:C178)</f>
        <v>143733</v>
      </c>
      <c r="D175" s="225">
        <f>C175/C169</f>
        <v>0.8431670460145012</v>
      </c>
      <c r="E175" s="120">
        <f t="shared" si="90"/>
        <v>-0.745422831500073</v>
      </c>
      <c r="F175" s="19">
        <f t="shared" si="91"/>
        <v>-107141.85984</v>
      </c>
      <c r="G175" s="24">
        <f>SUM(G176:G178)</f>
        <v>36591.140159999995</v>
      </c>
      <c r="H175" s="225">
        <f>G175/G169</f>
        <v>0.17228593534471928</v>
      </c>
      <c r="I175" s="120">
        <f t="shared" si="92"/>
        <v>1.0105505780446284</v>
      </c>
      <c r="J175" s="19">
        <f t="shared" si="93"/>
        <v>36977.19784000001</v>
      </c>
      <c r="K175" s="25">
        <f>SUM(K176:K178)</f>
        <v>73568.338</v>
      </c>
      <c r="L175" s="20"/>
      <c r="M175" s="120">
        <f t="shared" si="94"/>
        <v>-0.4851589552016249</v>
      </c>
      <c r="N175" s="19">
        <f t="shared" si="95"/>
        <v>-35692.338</v>
      </c>
      <c r="O175" s="25">
        <f>SUM(O176:O178)</f>
        <v>37876</v>
      </c>
      <c r="P175" s="20"/>
      <c r="Q175" s="121">
        <f t="shared" si="96"/>
        <v>-0.07334373621902317</v>
      </c>
      <c r="R175" s="121"/>
      <c r="S175" s="121">
        <v>0.08</v>
      </c>
      <c r="T175" s="25">
        <f aca="true" t="shared" si="117" ref="T175:AB175">SUM(T176:T178)</f>
        <v>40716.7</v>
      </c>
      <c r="U175" s="25">
        <f t="shared" si="117"/>
        <v>43770.4525</v>
      </c>
      <c r="V175" s="25">
        <f t="shared" si="117"/>
        <v>47272.0887</v>
      </c>
      <c r="W175" s="25">
        <f t="shared" si="117"/>
        <v>51053.855796</v>
      </c>
      <c r="X175" s="25">
        <f t="shared" si="117"/>
        <v>55138.16425968</v>
      </c>
      <c r="Y175" s="25">
        <f t="shared" si="117"/>
        <v>59549.2174004544</v>
      </c>
      <c r="Z175" s="25">
        <f t="shared" si="117"/>
        <v>64313.15479249075</v>
      </c>
      <c r="AA175" s="25">
        <f t="shared" si="117"/>
        <v>69458.20717589001</v>
      </c>
      <c r="AB175" s="25">
        <f t="shared" si="117"/>
        <v>75014.86374996121</v>
      </c>
    </row>
    <row r="176" spans="1:28" ht="15">
      <c r="A176" s="34" t="s">
        <v>458</v>
      </c>
      <c r="B176" s="29" t="s">
        <v>419</v>
      </c>
      <c r="C176" s="122">
        <v>25581</v>
      </c>
      <c r="D176" s="123">
        <f>C176/C175</f>
        <v>0.17797583018513494</v>
      </c>
      <c r="E176" s="120">
        <f t="shared" si="90"/>
        <v>-0.3765326848051288</v>
      </c>
      <c r="F176" s="19">
        <f t="shared" si="91"/>
        <v>-9632.082610000001</v>
      </c>
      <c r="G176" s="122">
        <v>15948.917389999999</v>
      </c>
      <c r="H176" s="123">
        <f>G176/G175</f>
        <v>0.43586828178244996</v>
      </c>
      <c r="I176" s="120">
        <f t="shared" si="92"/>
        <v>2.0909239664699277</v>
      </c>
      <c r="J176" s="19">
        <f t="shared" si="93"/>
        <v>33347.97361</v>
      </c>
      <c r="K176" s="63">
        <v>49296.891</v>
      </c>
      <c r="L176" s="123"/>
      <c r="M176" s="120">
        <f t="shared" si="94"/>
        <v>-1</v>
      </c>
      <c r="N176" s="19">
        <f t="shared" si="95"/>
        <v>-49296.891</v>
      </c>
      <c r="O176" s="63">
        <v>0</v>
      </c>
      <c r="P176" s="123"/>
      <c r="Q176" s="121">
        <f t="shared" si="96"/>
        <v>0.2381304272215997</v>
      </c>
      <c r="R176" s="121">
        <v>0.075</v>
      </c>
      <c r="S176" s="121">
        <v>0.08</v>
      </c>
      <c r="T176" s="137">
        <f>(O176*R176)+O176</f>
        <v>0</v>
      </c>
      <c r="U176" s="137">
        <f t="shared" si="114"/>
        <v>0</v>
      </c>
      <c r="V176" s="137">
        <f>(U176*S176)+U176</f>
        <v>0</v>
      </c>
      <c r="W176" s="137">
        <f>(V176*S176)+V176</f>
        <v>0</v>
      </c>
      <c r="X176" s="137">
        <f>(W176*S176)+W176</f>
        <v>0</v>
      </c>
      <c r="Y176" s="137">
        <f>(X176*S176)+X176</f>
        <v>0</v>
      </c>
      <c r="Z176" s="137">
        <f>(Y176*S176)+Y176</f>
        <v>0</v>
      </c>
      <c r="AA176" s="137">
        <f>(Z176*S176)+Z176</f>
        <v>0</v>
      </c>
      <c r="AB176" s="61">
        <f>(AA176*S176)+AA176</f>
        <v>0</v>
      </c>
    </row>
    <row r="177" spans="1:28" ht="15">
      <c r="A177" s="34" t="s">
        <v>459</v>
      </c>
      <c r="B177" s="57" t="s">
        <v>429</v>
      </c>
      <c r="C177" s="122">
        <v>31598</v>
      </c>
      <c r="D177" s="123">
        <f>C177/C175</f>
        <v>0.21983817216644752</v>
      </c>
      <c r="E177" s="120">
        <f t="shared" si="90"/>
        <v>-0.950251851382999</v>
      </c>
      <c r="F177" s="19">
        <f t="shared" si="91"/>
        <v>-30026.058</v>
      </c>
      <c r="G177" s="122">
        <v>1571.942</v>
      </c>
      <c r="H177" s="123">
        <f>G177/G175</f>
        <v>0.04295963430290663</v>
      </c>
      <c r="I177" s="120">
        <f t="shared" si="92"/>
        <v>3.20718258052778</v>
      </c>
      <c r="J177" s="19">
        <f t="shared" si="93"/>
        <v>5041.505</v>
      </c>
      <c r="K177" s="63">
        <v>6613.447</v>
      </c>
      <c r="L177" s="123"/>
      <c r="M177" s="120">
        <f t="shared" si="94"/>
        <v>4.727119307072393</v>
      </c>
      <c r="N177" s="19">
        <f t="shared" si="95"/>
        <v>31262.553</v>
      </c>
      <c r="O177" s="61">
        <v>37876</v>
      </c>
      <c r="P177" s="123"/>
      <c r="Q177" s="121">
        <f t="shared" si="96"/>
        <v>2.328016678739058</v>
      </c>
      <c r="R177" s="121">
        <v>0.075</v>
      </c>
      <c r="S177" s="121">
        <v>0.08</v>
      </c>
      <c r="T177" s="137">
        <f>(O177*R177)+O177</f>
        <v>40716.7</v>
      </c>
      <c r="U177" s="137">
        <f t="shared" si="114"/>
        <v>43770.4525</v>
      </c>
      <c r="V177" s="137">
        <f>(U177*S177)+U177</f>
        <v>47272.0887</v>
      </c>
      <c r="W177" s="137">
        <f>(V177*S177)+V177</f>
        <v>51053.855796</v>
      </c>
      <c r="X177" s="137">
        <f>(W177*S177)+W177</f>
        <v>55138.16425968</v>
      </c>
      <c r="Y177" s="137">
        <f>(X177*S177)+X177</f>
        <v>59549.2174004544</v>
      </c>
      <c r="Z177" s="137">
        <f>(Y177*S177)+Y177</f>
        <v>64313.15479249075</v>
      </c>
      <c r="AA177" s="137">
        <f>(Z177*S177)+Z177</f>
        <v>69458.20717589001</v>
      </c>
      <c r="AB177" s="61">
        <f>(AA177*S177)+AA177</f>
        <v>75014.86374996121</v>
      </c>
    </row>
    <row r="178" spans="1:28" ht="15">
      <c r="A178" s="34" t="s">
        <v>460</v>
      </c>
      <c r="B178" s="29" t="s">
        <v>461</v>
      </c>
      <c r="C178" s="122">
        <v>86554</v>
      </c>
      <c r="D178" s="123">
        <f>C178/C175</f>
        <v>0.6021859976484175</v>
      </c>
      <c r="E178" s="120">
        <f t="shared" si="90"/>
        <v>-0.7796718722416064</v>
      </c>
      <c r="F178" s="19">
        <f t="shared" si="91"/>
        <v>-67483.71923</v>
      </c>
      <c r="G178" s="122">
        <v>19070.28077</v>
      </c>
      <c r="H178" s="123">
        <f>G178/G175</f>
        <v>0.5211720839146435</v>
      </c>
      <c r="I178" s="120">
        <f t="shared" si="92"/>
        <v>-0.0740566322558659</v>
      </c>
      <c r="J178" s="19">
        <f t="shared" si="93"/>
        <v>-1412.2807700000012</v>
      </c>
      <c r="K178" s="63">
        <v>17658</v>
      </c>
      <c r="L178" s="123"/>
      <c r="M178" s="120">
        <f t="shared" si="94"/>
        <v>-1</v>
      </c>
      <c r="N178" s="19">
        <f t="shared" si="95"/>
        <v>-17658</v>
      </c>
      <c r="O178" s="31">
        <v>0</v>
      </c>
      <c r="P178" s="123"/>
      <c r="Q178" s="121">
        <f t="shared" si="96"/>
        <v>-0.6179095014991575</v>
      </c>
      <c r="R178" s="121">
        <v>0.075</v>
      </c>
      <c r="S178" s="121">
        <v>0.08</v>
      </c>
      <c r="T178" s="61">
        <f>(O178*R178)+O178</f>
        <v>0</v>
      </c>
      <c r="U178" s="137">
        <f t="shared" si="114"/>
        <v>0</v>
      </c>
      <c r="V178" s="137">
        <f>(U178*S178)+U178</f>
        <v>0</v>
      </c>
      <c r="W178" s="137">
        <f>(V178*S178)+V178</f>
        <v>0</v>
      </c>
      <c r="X178" s="137">
        <f>(W178*S178)+W178</f>
        <v>0</v>
      </c>
      <c r="Y178" s="137">
        <f>(X178*S178)+X178</f>
        <v>0</v>
      </c>
      <c r="Z178" s="137">
        <f>(Y178*S178)+Y178</f>
        <v>0</v>
      </c>
      <c r="AA178" s="137">
        <f>(Z178*S178)+Z178</f>
        <v>0</v>
      </c>
      <c r="AB178" s="61">
        <f>(AA178*S178)+AA178</f>
        <v>0</v>
      </c>
    </row>
    <row r="179" spans="1:28" ht="15.75">
      <c r="A179" s="34" t="s">
        <v>462</v>
      </c>
      <c r="B179" s="23" t="s">
        <v>463</v>
      </c>
      <c r="C179" s="24">
        <f>SUM(C180+C184)</f>
        <v>753683.9419999999</v>
      </c>
      <c r="D179" s="20"/>
      <c r="E179" s="120">
        <f t="shared" si="90"/>
        <v>-1</v>
      </c>
      <c r="F179" s="19">
        <f t="shared" si="91"/>
        <v>-753683.9419999999</v>
      </c>
      <c r="G179" s="24">
        <f>SUM(G180+G184)</f>
        <v>0</v>
      </c>
      <c r="H179" s="20"/>
      <c r="I179" s="120" t="e">
        <f t="shared" si="92"/>
        <v>#DIV/0!</v>
      </c>
      <c r="J179" s="19">
        <f t="shared" si="93"/>
        <v>15000</v>
      </c>
      <c r="K179" s="25">
        <f>SUM(K180+K184)</f>
        <v>15000</v>
      </c>
      <c r="L179" s="20"/>
      <c r="M179" s="120">
        <f t="shared" si="94"/>
        <v>-1</v>
      </c>
      <c r="N179" s="19">
        <f t="shared" si="95"/>
        <v>-15000</v>
      </c>
      <c r="O179" s="129">
        <v>0</v>
      </c>
      <c r="P179" s="20"/>
      <c r="Q179" s="121" t="e">
        <f t="shared" si="96"/>
        <v>#DIV/0!</v>
      </c>
      <c r="R179" s="121"/>
      <c r="S179" s="121">
        <v>0.08</v>
      </c>
      <c r="T179" s="129">
        <v>0</v>
      </c>
      <c r="U179" s="129">
        <v>0</v>
      </c>
      <c r="V179" s="129">
        <v>0</v>
      </c>
      <c r="W179" s="129">
        <v>0</v>
      </c>
      <c r="X179" s="129">
        <v>0</v>
      </c>
      <c r="Y179" s="129">
        <v>0</v>
      </c>
      <c r="Z179" s="25">
        <v>0</v>
      </c>
      <c r="AA179" s="129">
        <v>0</v>
      </c>
      <c r="AB179" s="129">
        <v>0</v>
      </c>
    </row>
    <row r="180" spans="1:28" ht="15.75">
      <c r="A180" s="34" t="s">
        <v>464</v>
      </c>
      <c r="B180" s="23" t="s">
        <v>465</v>
      </c>
      <c r="C180" s="24">
        <f>SUM(C181)</f>
        <v>0</v>
      </c>
      <c r="D180" s="20"/>
      <c r="E180" s="120" t="e">
        <f t="shared" si="90"/>
        <v>#DIV/0!</v>
      </c>
      <c r="F180" s="19">
        <f t="shared" si="91"/>
        <v>0</v>
      </c>
      <c r="G180" s="24">
        <f>SUM(G181)</f>
        <v>0</v>
      </c>
      <c r="H180" s="20"/>
      <c r="I180" s="120" t="e">
        <f t="shared" si="92"/>
        <v>#DIV/0!</v>
      </c>
      <c r="J180" s="19">
        <f t="shared" si="93"/>
        <v>0</v>
      </c>
      <c r="K180" s="25">
        <f>SUM(K181)</f>
        <v>0</v>
      </c>
      <c r="L180" s="20"/>
      <c r="M180" s="120" t="e">
        <f t="shared" si="94"/>
        <v>#DIV/0!</v>
      </c>
      <c r="N180" s="19">
        <f t="shared" si="95"/>
        <v>0</v>
      </c>
      <c r="O180" s="129">
        <f>SUM(O181)</f>
        <v>0</v>
      </c>
      <c r="P180" s="20"/>
      <c r="Q180" s="121" t="e">
        <f t="shared" si="96"/>
        <v>#DIV/0!</v>
      </c>
      <c r="R180" s="121"/>
      <c r="S180" s="121">
        <v>0.08</v>
      </c>
      <c r="T180" s="129">
        <f aca="true" t="shared" si="118" ref="T180:AB180">SUM(T181)</f>
        <v>0</v>
      </c>
      <c r="U180" s="129">
        <f t="shared" si="118"/>
        <v>0</v>
      </c>
      <c r="V180" s="129">
        <f t="shared" si="118"/>
        <v>0</v>
      </c>
      <c r="W180" s="129">
        <f t="shared" si="118"/>
        <v>0</v>
      </c>
      <c r="X180" s="129">
        <f t="shared" si="118"/>
        <v>0</v>
      </c>
      <c r="Y180" s="129">
        <f t="shared" si="118"/>
        <v>0</v>
      </c>
      <c r="Z180" s="25">
        <f t="shared" si="118"/>
        <v>0</v>
      </c>
      <c r="AA180" s="129">
        <f t="shared" si="118"/>
        <v>0</v>
      </c>
      <c r="AB180" s="129">
        <f t="shared" si="118"/>
        <v>0</v>
      </c>
    </row>
    <row r="181" spans="1:28" ht="15.75">
      <c r="A181" s="34" t="s">
        <v>466</v>
      </c>
      <c r="B181" s="23" t="s">
        <v>467</v>
      </c>
      <c r="C181" s="24">
        <f>SUM(C182:C183)</f>
        <v>0</v>
      </c>
      <c r="D181" s="20"/>
      <c r="E181" s="120" t="e">
        <f t="shared" si="90"/>
        <v>#DIV/0!</v>
      </c>
      <c r="F181" s="19">
        <f t="shared" si="91"/>
        <v>0</v>
      </c>
      <c r="G181" s="24">
        <f>SUM(G182:G183)</f>
        <v>0</v>
      </c>
      <c r="H181" s="20"/>
      <c r="I181" s="120" t="e">
        <f t="shared" si="92"/>
        <v>#DIV/0!</v>
      </c>
      <c r="J181" s="19">
        <f t="shared" si="93"/>
        <v>0</v>
      </c>
      <c r="K181" s="25">
        <f>SUM(K182:K183)</f>
        <v>0</v>
      </c>
      <c r="L181" s="20"/>
      <c r="M181" s="120" t="e">
        <f t="shared" si="94"/>
        <v>#DIV/0!</v>
      </c>
      <c r="N181" s="19">
        <f t="shared" si="95"/>
        <v>0</v>
      </c>
      <c r="O181" s="129">
        <f>SUM(O182:O183)</f>
        <v>0</v>
      </c>
      <c r="P181" s="20"/>
      <c r="Q181" s="121" t="e">
        <f t="shared" si="96"/>
        <v>#DIV/0!</v>
      </c>
      <c r="R181" s="121"/>
      <c r="S181" s="121">
        <v>0.08</v>
      </c>
      <c r="T181" s="129">
        <f aca="true" t="shared" si="119" ref="T181:AB181">SUM(T182:T183)</f>
        <v>0</v>
      </c>
      <c r="U181" s="129">
        <f t="shared" si="119"/>
        <v>0</v>
      </c>
      <c r="V181" s="129">
        <f t="shared" si="119"/>
        <v>0</v>
      </c>
      <c r="W181" s="129">
        <f t="shared" si="119"/>
        <v>0</v>
      </c>
      <c r="X181" s="129">
        <f t="shared" si="119"/>
        <v>0</v>
      </c>
      <c r="Y181" s="129">
        <f t="shared" si="119"/>
        <v>0</v>
      </c>
      <c r="Z181" s="25">
        <f t="shared" si="119"/>
        <v>0</v>
      </c>
      <c r="AA181" s="129">
        <f t="shared" si="119"/>
        <v>0</v>
      </c>
      <c r="AB181" s="129">
        <f t="shared" si="119"/>
        <v>0</v>
      </c>
    </row>
    <row r="182" spans="1:28" ht="15">
      <c r="A182" s="34" t="s">
        <v>468</v>
      </c>
      <c r="B182" s="29" t="s">
        <v>469</v>
      </c>
      <c r="C182" s="122">
        <v>0</v>
      </c>
      <c r="D182" s="123"/>
      <c r="E182" s="120" t="e">
        <f t="shared" si="90"/>
        <v>#DIV/0!</v>
      </c>
      <c r="F182" s="19">
        <f t="shared" si="91"/>
        <v>0</v>
      </c>
      <c r="G182" s="122">
        <v>0</v>
      </c>
      <c r="H182" s="123"/>
      <c r="I182" s="120" t="e">
        <f t="shared" si="92"/>
        <v>#DIV/0!</v>
      </c>
      <c r="J182" s="19">
        <f t="shared" si="93"/>
        <v>0</v>
      </c>
      <c r="K182" s="63">
        <v>0</v>
      </c>
      <c r="L182" s="123"/>
      <c r="M182" s="120" t="e">
        <f t="shared" si="94"/>
        <v>#DIV/0!</v>
      </c>
      <c r="N182" s="19">
        <f t="shared" si="95"/>
        <v>0</v>
      </c>
      <c r="O182" s="31">
        <v>0</v>
      </c>
      <c r="P182" s="123"/>
      <c r="Q182" s="121" t="e">
        <f t="shared" si="96"/>
        <v>#DIV/0!</v>
      </c>
      <c r="R182" s="121">
        <v>0</v>
      </c>
      <c r="S182" s="121">
        <v>0.08</v>
      </c>
      <c r="T182" s="61">
        <f>(O182*R182)+O182</f>
        <v>0</v>
      </c>
      <c r="U182" s="61">
        <f>(T182*R182)+T182</f>
        <v>0</v>
      </c>
      <c r="V182" s="137">
        <f>(U182*R182)+U182</f>
        <v>0</v>
      </c>
      <c r="W182" s="137">
        <f>(V182*S182)+V182</f>
        <v>0</v>
      </c>
      <c r="X182" s="137">
        <f>(W182*S182)+W182</f>
        <v>0</v>
      </c>
      <c r="Y182" s="137">
        <f>(X182*S182)+X182</f>
        <v>0</v>
      </c>
      <c r="Z182" s="137">
        <f>(Y182*S182)+Y182</f>
        <v>0</v>
      </c>
      <c r="AA182" s="137">
        <f>(Z182*S182)+Z182</f>
        <v>0</v>
      </c>
      <c r="AB182" s="61">
        <f>(AA182*S182)+AA182</f>
        <v>0</v>
      </c>
    </row>
    <row r="183" spans="1:28" ht="15">
      <c r="A183" s="34" t="s">
        <v>470</v>
      </c>
      <c r="B183" s="29" t="s">
        <v>471</v>
      </c>
      <c r="C183" s="122">
        <v>0</v>
      </c>
      <c r="D183" s="123"/>
      <c r="E183" s="120" t="e">
        <f t="shared" si="90"/>
        <v>#DIV/0!</v>
      </c>
      <c r="F183" s="19">
        <f t="shared" si="91"/>
        <v>0</v>
      </c>
      <c r="G183" s="122">
        <v>0</v>
      </c>
      <c r="H183" s="123"/>
      <c r="I183" s="120" t="e">
        <f t="shared" si="92"/>
        <v>#DIV/0!</v>
      </c>
      <c r="J183" s="19">
        <f t="shared" si="93"/>
        <v>0</v>
      </c>
      <c r="K183" s="63">
        <v>0</v>
      </c>
      <c r="L183" s="123"/>
      <c r="M183" s="120" t="e">
        <f t="shared" si="94"/>
        <v>#DIV/0!</v>
      </c>
      <c r="N183" s="19">
        <f t="shared" si="95"/>
        <v>0</v>
      </c>
      <c r="O183" s="31">
        <v>0</v>
      </c>
      <c r="P183" s="123"/>
      <c r="Q183" s="121" t="e">
        <f t="shared" si="96"/>
        <v>#DIV/0!</v>
      </c>
      <c r="R183" s="121">
        <v>0</v>
      </c>
      <c r="S183" s="121">
        <v>0.08</v>
      </c>
      <c r="T183" s="61">
        <f>(O183*R183)+O183</f>
        <v>0</v>
      </c>
      <c r="U183" s="61">
        <f>(T183*R183)+T183</f>
        <v>0</v>
      </c>
      <c r="V183" s="137">
        <f>(U183*R183)+U183</f>
        <v>0</v>
      </c>
      <c r="W183" s="137">
        <f>(V183*S183)+V183</f>
        <v>0</v>
      </c>
      <c r="X183" s="137">
        <f>(W183*S183)+W183</f>
        <v>0</v>
      </c>
      <c r="Y183" s="137">
        <f>(X183*S183)+X183</f>
        <v>0</v>
      </c>
      <c r="Z183" s="137">
        <f>(Y183*S183)+Y183</f>
        <v>0</v>
      </c>
      <c r="AA183" s="137">
        <f>(Z183*S183)+Z183</f>
        <v>0</v>
      </c>
      <c r="AB183" s="61">
        <f>(AA183*S183)+AA183</f>
        <v>0</v>
      </c>
    </row>
    <row r="184" spans="1:28" ht="15.75">
      <c r="A184" s="33" t="s">
        <v>472</v>
      </c>
      <c r="B184" s="23" t="s">
        <v>463</v>
      </c>
      <c r="C184" s="24">
        <f>SUM(C185)</f>
        <v>753683.9419999999</v>
      </c>
      <c r="D184" s="20">
        <f>C184/C151</f>
        <v>0.2719162872268172</v>
      </c>
      <c r="E184" s="120">
        <f t="shared" si="90"/>
        <v>-1</v>
      </c>
      <c r="F184" s="19">
        <f t="shared" si="91"/>
        <v>-753683.9419999999</v>
      </c>
      <c r="G184" s="24">
        <f>SUM(G185)</f>
        <v>0</v>
      </c>
      <c r="H184" s="20">
        <f>G184/G151</f>
        <v>0</v>
      </c>
      <c r="I184" s="120" t="e">
        <f t="shared" si="92"/>
        <v>#DIV/0!</v>
      </c>
      <c r="J184" s="19">
        <f t="shared" si="93"/>
        <v>15000</v>
      </c>
      <c r="K184" s="25">
        <f>SUM(K185)</f>
        <v>15000</v>
      </c>
      <c r="L184" s="20"/>
      <c r="M184" s="120">
        <f t="shared" si="94"/>
        <v>-1</v>
      </c>
      <c r="N184" s="19">
        <f t="shared" si="95"/>
        <v>-15000</v>
      </c>
      <c r="O184" s="129">
        <f>SUM(O185)</f>
        <v>0</v>
      </c>
      <c r="P184" s="20"/>
      <c r="Q184" s="121" t="e">
        <f t="shared" si="96"/>
        <v>#DIV/0!</v>
      </c>
      <c r="R184" s="121"/>
      <c r="S184" s="121">
        <v>0.08</v>
      </c>
      <c r="T184" s="129">
        <f aca="true" t="shared" si="120" ref="T184:AB185">SUM(T185)</f>
        <v>0</v>
      </c>
      <c r="U184" s="129">
        <f t="shared" si="120"/>
        <v>0</v>
      </c>
      <c r="V184" s="129">
        <f t="shared" si="120"/>
        <v>0</v>
      </c>
      <c r="W184" s="129">
        <f t="shared" si="120"/>
        <v>0</v>
      </c>
      <c r="X184" s="129">
        <f t="shared" si="120"/>
        <v>0</v>
      </c>
      <c r="Y184" s="129">
        <f t="shared" si="120"/>
        <v>0</v>
      </c>
      <c r="Z184" s="25">
        <f t="shared" si="120"/>
        <v>0</v>
      </c>
      <c r="AA184" s="129">
        <f t="shared" si="120"/>
        <v>0</v>
      </c>
      <c r="AB184" s="129">
        <f t="shared" si="120"/>
        <v>0</v>
      </c>
    </row>
    <row r="185" spans="1:28" ht="15.75">
      <c r="A185" s="33" t="s">
        <v>473</v>
      </c>
      <c r="B185" s="42" t="s">
        <v>382</v>
      </c>
      <c r="C185" s="24">
        <f>SUM(C186)</f>
        <v>753683.9419999999</v>
      </c>
      <c r="D185" s="20">
        <f>C185/C184</f>
        <v>1</v>
      </c>
      <c r="E185" s="120">
        <f t="shared" si="90"/>
        <v>-1</v>
      </c>
      <c r="F185" s="19">
        <f t="shared" si="91"/>
        <v>-753683.9419999999</v>
      </c>
      <c r="G185" s="24">
        <f>SUM(G186)</f>
        <v>0</v>
      </c>
      <c r="H185" s="20"/>
      <c r="I185" s="120" t="e">
        <f t="shared" si="92"/>
        <v>#DIV/0!</v>
      </c>
      <c r="J185" s="19">
        <f t="shared" si="93"/>
        <v>15000</v>
      </c>
      <c r="K185" s="25">
        <f>SUM(K186)</f>
        <v>15000</v>
      </c>
      <c r="L185" s="20"/>
      <c r="M185" s="120">
        <f t="shared" si="94"/>
        <v>-1</v>
      </c>
      <c r="N185" s="19">
        <f t="shared" si="95"/>
        <v>-15000</v>
      </c>
      <c r="O185" s="129">
        <f>SUM(O186)</f>
        <v>0</v>
      </c>
      <c r="P185" s="20"/>
      <c r="Q185" s="121" t="e">
        <f t="shared" si="96"/>
        <v>#DIV/0!</v>
      </c>
      <c r="R185" s="121"/>
      <c r="S185" s="121">
        <v>0.08</v>
      </c>
      <c r="T185" s="129">
        <f t="shared" si="120"/>
        <v>0</v>
      </c>
      <c r="U185" s="129">
        <f t="shared" si="120"/>
        <v>0</v>
      </c>
      <c r="V185" s="129">
        <f t="shared" si="120"/>
        <v>0</v>
      </c>
      <c r="W185" s="129">
        <f t="shared" si="120"/>
        <v>0</v>
      </c>
      <c r="X185" s="129">
        <f t="shared" si="120"/>
        <v>0</v>
      </c>
      <c r="Y185" s="129">
        <f t="shared" si="120"/>
        <v>0</v>
      </c>
      <c r="Z185" s="25">
        <f t="shared" si="120"/>
        <v>0</v>
      </c>
      <c r="AA185" s="129">
        <f t="shared" si="120"/>
        <v>0</v>
      </c>
      <c r="AB185" s="129">
        <f t="shared" si="120"/>
        <v>0</v>
      </c>
    </row>
    <row r="186" spans="1:28" ht="15">
      <c r="A186" s="34" t="s">
        <v>474</v>
      </c>
      <c r="B186" s="59" t="s">
        <v>475</v>
      </c>
      <c r="C186" s="122">
        <v>753683.9419999999</v>
      </c>
      <c r="D186" s="123">
        <f>C186/C185</f>
        <v>1</v>
      </c>
      <c r="E186" s="120">
        <f t="shared" si="90"/>
        <v>-1</v>
      </c>
      <c r="F186" s="19">
        <f t="shared" si="91"/>
        <v>-753683.9419999999</v>
      </c>
      <c r="G186" s="122">
        <v>0</v>
      </c>
      <c r="H186" s="123"/>
      <c r="I186" s="120" t="e">
        <f t="shared" si="92"/>
        <v>#DIV/0!</v>
      </c>
      <c r="J186" s="19">
        <f t="shared" si="93"/>
        <v>15000</v>
      </c>
      <c r="K186" s="63">
        <v>15000</v>
      </c>
      <c r="L186" s="123"/>
      <c r="M186" s="120">
        <f t="shared" si="94"/>
        <v>-1</v>
      </c>
      <c r="N186" s="19">
        <f t="shared" si="95"/>
        <v>-15000</v>
      </c>
      <c r="O186" s="31">
        <v>0</v>
      </c>
      <c r="P186" s="123"/>
      <c r="Q186" s="121" t="e">
        <f t="shared" si="96"/>
        <v>#DIV/0!</v>
      </c>
      <c r="R186" s="121"/>
      <c r="S186" s="121">
        <v>0.08</v>
      </c>
      <c r="T186" s="61">
        <f>(O186*R186)+O186</f>
        <v>0</v>
      </c>
      <c r="U186" s="61">
        <f>(T186*R186)+T186</f>
        <v>0</v>
      </c>
      <c r="V186" s="137">
        <f>(U186*R186)+U186</f>
        <v>0</v>
      </c>
      <c r="W186" s="137">
        <f>(V186*S186)+V186</f>
        <v>0</v>
      </c>
      <c r="X186" s="137">
        <f>(W186*S186)+W186</f>
        <v>0</v>
      </c>
      <c r="Y186" s="137">
        <f>(X186*S186)+X186</f>
        <v>0</v>
      </c>
      <c r="Z186" s="137">
        <f>(Y186*S186)+Y186</f>
        <v>0</v>
      </c>
      <c r="AA186" s="137">
        <f>(Z186*S186)+Z186</f>
        <v>0</v>
      </c>
      <c r="AB186" s="61">
        <f>(AA186*S186)+AA186</f>
        <v>0</v>
      </c>
    </row>
    <row r="187" spans="1:28" ht="15.75">
      <c r="A187" s="54" t="s">
        <v>476</v>
      </c>
      <c r="B187" s="27" t="s">
        <v>477</v>
      </c>
      <c r="C187" s="24">
        <f>SUM(C188)</f>
        <v>4584.002</v>
      </c>
      <c r="D187" s="20">
        <f>C187/C151</f>
        <v>0.0016538295895924828</v>
      </c>
      <c r="E187" s="120">
        <f t="shared" si="90"/>
        <v>-0.9681247957570699</v>
      </c>
      <c r="F187" s="19">
        <f t="shared" si="91"/>
        <v>-4437.886</v>
      </c>
      <c r="G187" s="24">
        <f>SUM(G188)</f>
        <v>146.116</v>
      </c>
      <c r="H187" s="20">
        <f>G187/G151</f>
        <v>5.352504687587664E-05</v>
      </c>
      <c r="I187" s="120">
        <f t="shared" si="92"/>
        <v>28.656382600125923</v>
      </c>
      <c r="J187" s="19">
        <f t="shared" si="93"/>
        <v>4187.156</v>
      </c>
      <c r="K187" s="25">
        <f>SUM(K188)</f>
        <v>4333.272</v>
      </c>
      <c r="L187" s="20"/>
      <c r="M187" s="120">
        <f t="shared" si="94"/>
        <v>-1</v>
      </c>
      <c r="N187" s="19">
        <f t="shared" si="95"/>
        <v>-4333.272</v>
      </c>
      <c r="O187" s="25">
        <f>SUM(O188)</f>
        <v>0</v>
      </c>
      <c r="P187" s="20"/>
      <c r="Q187" s="121">
        <f t="shared" si="96"/>
        <v>8.896085934789618</v>
      </c>
      <c r="R187" s="121"/>
      <c r="S187" s="121">
        <v>0.08</v>
      </c>
      <c r="T187" s="25">
        <f aca="true" t="shared" si="121" ref="T187:AB187">SUM(T188)</f>
        <v>0</v>
      </c>
      <c r="U187" s="25">
        <f t="shared" si="121"/>
        <v>0</v>
      </c>
      <c r="V187" s="25">
        <f t="shared" si="121"/>
        <v>0</v>
      </c>
      <c r="W187" s="25">
        <f t="shared" si="121"/>
        <v>0</v>
      </c>
      <c r="X187" s="25">
        <f t="shared" si="121"/>
        <v>0</v>
      </c>
      <c r="Y187" s="25">
        <f t="shared" si="121"/>
        <v>0</v>
      </c>
      <c r="Z187" s="25">
        <f t="shared" si="121"/>
        <v>0</v>
      </c>
      <c r="AA187" s="25">
        <f t="shared" si="121"/>
        <v>0</v>
      </c>
      <c r="AB187" s="25">
        <f t="shared" si="121"/>
        <v>0</v>
      </c>
    </row>
    <row r="188" spans="1:28" ht="15">
      <c r="A188" s="34" t="s">
        <v>478</v>
      </c>
      <c r="B188" s="29" t="s">
        <v>479</v>
      </c>
      <c r="C188" s="122">
        <v>4584.002</v>
      </c>
      <c r="D188" s="123">
        <f>C188/C187</f>
        <v>1</v>
      </c>
      <c r="E188" s="120">
        <f t="shared" si="90"/>
        <v>-0.9681247957570699</v>
      </c>
      <c r="F188" s="19">
        <f t="shared" si="91"/>
        <v>-4437.886</v>
      </c>
      <c r="G188" s="122">
        <v>146.116</v>
      </c>
      <c r="H188" s="123">
        <f>G188/G187</f>
        <v>1</v>
      </c>
      <c r="I188" s="120">
        <f t="shared" si="92"/>
        <v>28.656382600125923</v>
      </c>
      <c r="J188" s="19">
        <f t="shared" si="93"/>
        <v>4187.156</v>
      </c>
      <c r="K188" s="63">
        <v>4333.272</v>
      </c>
      <c r="L188" s="123"/>
      <c r="M188" s="120">
        <f t="shared" si="94"/>
        <v>-1</v>
      </c>
      <c r="N188" s="19">
        <f t="shared" si="95"/>
        <v>-4333.272</v>
      </c>
      <c r="O188" s="63">
        <v>0</v>
      </c>
      <c r="P188" s="123"/>
      <c r="Q188" s="121">
        <f t="shared" si="96"/>
        <v>8.896085934789618</v>
      </c>
      <c r="R188" s="121">
        <v>0.06</v>
      </c>
      <c r="S188" s="121">
        <v>0.08</v>
      </c>
      <c r="T188" s="61">
        <f>(O188*R188)+O188</f>
        <v>0</v>
      </c>
      <c r="U188" s="61">
        <f>(T188*R188)+T188</f>
        <v>0</v>
      </c>
      <c r="V188" s="137">
        <f>(U188*R188)+U188</f>
        <v>0</v>
      </c>
      <c r="W188" s="137">
        <f>(V188*S188)+V188</f>
        <v>0</v>
      </c>
      <c r="X188" s="137">
        <f>(W188*S188)+W188</f>
        <v>0</v>
      </c>
      <c r="Y188" s="137">
        <f>(X188*S188)+X188</f>
        <v>0</v>
      </c>
      <c r="Z188" s="137">
        <f>(Y188*S188)+Y188</f>
        <v>0</v>
      </c>
      <c r="AA188" s="137">
        <f>(Z188*S188)+Z188</f>
        <v>0</v>
      </c>
      <c r="AB188" s="61">
        <f>(AA188*S188)+AA188</f>
        <v>0</v>
      </c>
    </row>
    <row r="189" spans="1:28" ht="15.75">
      <c r="A189" s="54" t="s">
        <v>480</v>
      </c>
      <c r="B189" s="27" t="s">
        <v>481</v>
      </c>
      <c r="C189" s="24">
        <f>SUM(C190:C192)</f>
        <v>4731</v>
      </c>
      <c r="D189" s="20">
        <f>C189/C151</f>
        <v>0.0017068639560720166</v>
      </c>
      <c r="E189" s="120">
        <f t="shared" si="90"/>
        <v>-0.9982770259987318</v>
      </c>
      <c r="F189" s="19">
        <f t="shared" si="91"/>
        <v>-4722.84861</v>
      </c>
      <c r="G189" s="24">
        <f>SUM(G190:G192)</f>
        <v>8.151390000000001</v>
      </c>
      <c r="H189" s="20">
        <f>G189/G151</f>
        <v>2.9860079105200803E-06</v>
      </c>
      <c r="I189" s="120">
        <f t="shared" si="92"/>
        <v>7364.974514776008</v>
      </c>
      <c r="J189" s="19">
        <f t="shared" si="93"/>
        <v>60034.77961000001</v>
      </c>
      <c r="K189" s="25">
        <f>SUM(K190:K192)</f>
        <v>60042.93100000001</v>
      </c>
      <c r="L189" s="20"/>
      <c r="M189" s="120">
        <f t="shared" si="94"/>
        <v>1.1491777440753026E-06</v>
      </c>
      <c r="N189" s="19">
        <f t="shared" si="95"/>
        <v>0.0689999999885913</v>
      </c>
      <c r="O189" s="25">
        <f>SUM(O190:O192)</f>
        <v>60043</v>
      </c>
      <c r="P189" s="20"/>
      <c r="Q189" s="121">
        <f t="shared" si="96"/>
        <v>2454.658746299729</v>
      </c>
      <c r="R189" s="121"/>
      <c r="S189" s="121">
        <v>0.08</v>
      </c>
      <c r="T189" s="25">
        <f aca="true" t="shared" si="122" ref="T189:AB189">SUM(T190:T192)</f>
        <v>63645.58</v>
      </c>
      <c r="U189" s="25">
        <f t="shared" si="122"/>
        <v>67464.31480000001</v>
      </c>
      <c r="V189" s="25">
        <f t="shared" si="122"/>
        <v>72861.45998400002</v>
      </c>
      <c r="W189" s="25">
        <f t="shared" si="122"/>
        <v>78690.37678272002</v>
      </c>
      <c r="X189" s="25">
        <f t="shared" si="122"/>
        <v>84985.60692533762</v>
      </c>
      <c r="Y189" s="25">
        <f t="shared" si="122"/>
        <v>91784.45547936462</v>
      </c>
      <c r="Z189" s="25">
        <f t="shared" si="122"/>
        <v>99127.2119177138</v>
      </c>
      <c r="AA189" s="25">
        <f t="shared" si="122"/>
        <v>107057.3888711309</v>
      </c>
      <c r="AB189" s="25">
        <f t="shared" si="122"/>
        <v>115621.97998082137</v>
      </c>
    </row>
    <row r="190" spans="1:28" ht="15">
      <c r="A190" s="34" t="s">
        <v>482</v>
      </c>
      <c r="B190" s="29" t="s">
        <v>483</v>
      </c>
      <c r="C190" s="122">
        <v>0</v>
      </c>
      <c r="D190" s="123">
        <f>C190/C189</f>
        <v>0</v>
      </c>
      <c r="E190" s="120" t="e">
        <f t="shared" si="90"/>
        <v>#DIV/0!</v>
      </c>
      <c r="F190" s="19">
        <f t="shared" si="91"/>
        <v>0</v>
      </c>
      <c r="G190" s="122">
        <v>0</v>
      </c>
      <c r="H190" s="123">
        <f>G190/G189</f>
        <v>0</v>
      </c>
      <c r="I190" s="120" t="e">
        <f t="shared" si="92"/>
        <v>#DIV/0!</v>
      </c>
      <c r="J190" s="19">
        <f t="shared" si="93"/>
        <v>5458.494</v>
      </c>
      <c r="K190" s="63">
        <v>5458.494</v>
      </c>
      <c r="L190" s="123"/>
      <c r="M190" s="120">
        <f t="shared" si="94"/>
        <v>9.999920490889979</v>
      </c>
      <c r="N190" s="19">
        <f t="shared" si="95"/>
        <v>54584.506</v>
      </c>
      <c r="O190" s="61">
        <v>60043</v>
      </c>
      <c r="P190" s="123"/>
      <c r="Q190" s="121" t="e">
        <f t="shared" si="96"/>
        <v>#DIV/0!</v>
      </c>
      <c r="R190" s="121">
        <v>0.06</v>
      </c>
      <c r="S190" s="121">
        <v>0.08</v>
      </c>
      <c r="T190" s="137">
        <f>(O190*R190)+O190</f>
        <v>63645.58</v>
      </c>
      <c r="U190" s="137">
        <f aca="true" t="shared" si="123" ref="U190:V192">(T190*R190)+T190</f>
        <v>67464.31480000001</v>
      </c>
      <c r="V190" s="137">
        <f t="shared" si="123"/>
        <v>72861.45998400002</v>
      </c>
      <c r="W190" s="137">
        <f>(V190*S190)+V190</f>
        <v>78690.37678272002</v>
      </c>
      <c r="X190" s="137">
        <f>(W190*S190)+W190</f>
        <v>84985.60692533762</v>
      </c>
      <c r="Y190" s="137">
        <f>(X190*S190)+X190</f>
        <v>91784.45547936462</v>
      </c>
      <c r="Z190" s="137">
        <f>(Y190*S190)+Y190</f>
        <v>99127.2119177138</v>
      </c>
      <c r="AA190" s="137">
        <f>(Z190*S190)+Z190</f>
        <v>107057.3888711309</v>
      </c>
      <c r="AB190" s="61">
        <f>(AA190*S190)+AA190</f>
        <v>115621.97998082137</v>
      </c>
    </row>
    <row r="191" spans="1:28" ht="15">
      <c r="A191" s="34" t="s">
        <v>484</v>
      </c>
      <c r="B191" s="29" t="s">
        <v>485</v>
      </c>
      <c r="C191" s="122">
        <v>4731</v>
      </c>
      <c r="D191" s="123">
        <f>C191/C189</f>
        <v>1</v>
      </c>
      <c r="E191" s="120">
        <f t="shared" si="90"/>
        <v>-1</v>
      </c>
      <c r="F191" s="19">
        <f t="shared" si="91"/>
        <v>-4731</v>
      </c>
      <c r="G191" s="122">
        <v>0</v>
      </c>
      <c r="H191" s="123">
        <f>G191/G189</f>
        <v>0</v>
      </c>
      <c r="I191" s="120" t="e">
        <f t="shared" si="92"/>
        <v>#DIV/0!</v>
      </c>
      <c r="J191" s="19">
        <f t="shared" si="93"/>
        <v>54584.43700000001</v>
      </c>
      <c r="K191" s="63">
        <v>54584.43700000001</v>
      </c>
      <c r="L191" s="123"/>
      <c r="M191" s="120">
        <f t="shared" si="94"/>
        <v>-1</v>
      </c>
      <c r="N191" s="19">
        <f t="shared" si="95"/>
        <v>-54584.43700000001</v>
      </c>
      <c r="O191" s="63">
        <v>0</v>
      </c>
      <c r="P191" s="123"/>
      <c r="Q191" s="121" t="e">
        <f t="shared" si="96"/>
        <v>#DIV/0!</v>
      </c>
      <c r="R191" s="121">
        <v>0.06</v>
      </c>
      <c r="S191" s="121">
        <v>0.08</v>
      </c>
      <c r="T191" s="137">
        <f>(O191*R191)+O191</f>
        <v>0</v>
      </c>
      <c r="U191" s="137">
        <f t="shared" si="123"/>
        <v>0</v>
      </c>
      <c r="V191" s="137">
        <f t="shared" si="123"/>
        <v>0</v>
      </c>
      <c r="W191" s="137">
        <f>(V191*S191)+V191</f>
        <v>0</v>
      </c>
      <c r="X191" s="137">
        <f>(W191*S191)+W191</f>
        <v>0</v>
      </c>
      <c r="Y191" s="137">
        <f>(X191*S191)+X191</f>
        <v>0</v>
      </c>
      <c r="Z191" s="137">
        <f>(Y191*S191)+Y191</f>
        <v>0</v>
      </c>
      <c r="AA191" s="137">
        <f>(Z191*S191)+Z191</f>
        <v>0</v>
      </c>
      <c r="AB191" s="61">
        <f>(AA191*S191)+AA191</f>
        <v>0</v>
      </c>
    </row>
    <row r="192" spans="1:28" ht="14.25">
      <c r="A192" s="34"/>
      <c r="B192" s="60" t="s">
        <v>486</v>
      </c>
      <c r="C192" s="122">
        <v>0</v>
      </c>
      <c r="D192" s="123">
        <f>C192/C189</f>
        <v>0</v>
      </c>
      <c r="E192" s="120" t="e">
        <f t="shared" si="90"/>
        <v>#DIV/0!</v>
      </c>
      <c r="F192" s="19">
        <f t="shared" si="91"/>
        <v>8.151390000000001</v>
      </c>
      <c r="G192" s="122">
        <v>8.151390000000001</v>
      </c>
      <c r="H192" s="123">
        <f>G192/G189</f>
        <v>1</v>
      </c>
      <c r="I192" s="120">
        <f t="shared" si="92"/>
        <v>-1</v>
      </c>
      <c r="J192" s="19">
        <f t="shared" si="93"/>
        <v>-8.151390000000001</v>
      </c>
      <c r="K192" s="63">
        <v>0</v>
      </c>
      <c r="L192" s="123"/>
      <c r="M192" s="120" t="e">
        <f t="shared" si="94"/>
        <v>#DIV/0!</v>
      </c>
      <c r="N192" s="19">
        <f t="shared" si="95"/>
        <v>0</v>
      </c>
      <c r="O192" s="63">
        <v>0</v>
      </c>
      <c r="P192" s="123"/>
      <c r="Q192" s="121" t="e">
        <f t="shared" si="96"/>
        <v>#DIV/0!</v>
      </c>
      <c r="R192" s="121">
        <v>0.06</v>
      </c>
      <c r="S192" s="121">
        <v>0.08</v>
      </c>
      <c r="T192" s="137">
        <f>(O192*R192)+O192</f>
        <v>0</v>
      </c>
      <c r="U192" s="137">
        <f t="shared" si="123"/>
        <v>0</v>
      </c>
      <c r="V192" s="137">
        <f t="shared" si="123"/>
        <v>0</v>
      </c>
      <c r="W192" s="137">
        <f>(V192*S192)+V192</f>
        <v>0</v>
      </c>
      <c r="X192" s="137">
        <f>(W192*S192)+W192</f>
        <v>0</v>
      </c>
      <c r="Y192" s="137">
        <f>(X192*S192)+X192</f>
        <v>0</v>
      </c>
      <c r="Z192" s="137">
        <f>(Y192*S192)+Y192</f>
        <v>0</v>
      </c>
      <c r="AA192" s="137">
        <f>(Z192*S192)+Z192</f>
        <v>0</v>
      </c>
      <c r="AB192" s="61">
        <f>(AA192*S192)+AA192</f>
        <v>0</v>
      </c>
    </row>
    <row r="193" spans="1:28" ht="15.75">
      <c r="A193" s="54" t="s">
        <v>487</v>
      </c>
      <c r="B193" s="27" t="s">
        <v>488</v>
      </c>
      <c r="C193" s="24">
        <f>SUM(C194:C197)</f>
        <v>50943.070999999996</v>
      </c>
      <c r="D193" s="20">
        <f>C193/C151</f>
        <v>0.01837938949514217</v>
      </c>
      <c r="E193" s="120">
        <f t="shared" si="90"/>
        <v>0.31277883051063027</v>
      </c>
      <c r="F193" s="19">
        <f t="shared" si="91"/>
        <v>15933.914170000004</v>
      </c>
      <c r="G193" s="24">
        <f>SUM(G194:G197)</f>
        <v>66876.98517</v>
      </c>
      <c r="H193" s="20">
        <f>G193/G151</f>
        <v>0.024498301117889597</v>
      </c>
      <c r="I193" s="120">
        <f t="shared" si="92"/>
        <v>0.7679926016318059</v>
      </c>
      <c r="J193" s="19">
        <f t="shared" si="93"/>
        <v>51361.02983</v>
      </c>
      <c r="K193" s="25">
        <f>SUM(K194:K197)</f>
        <v>118238.015</v>
      </c>
      <c r="L193" s="20"/>
      <c r="M193" s="120">
        <f t="shared" si="94"/>
        <v>0.021786436451931346</v>
      </c>
      <c r="N193" s="19">
        <f t="shared" si="95"/>
        <v>2575.9850000000006</v>
      </c>
      <c r="O193" s="25">
        <f>SUM(O194:O197)</f>
        <v>120814</v>
      </c>
      <c r="P193" s="20"/>
      <c r="Q193" s="121">
        <f t="shared" si="96"/>
        <v>0.36751928953145585</v>
      </c>
      <c r="R193" s="121"/>
      <c r="S193" s="121">
        <v>0.08</v>
      </c>
      <c r="T193" s="25">
        <f aca="true" t="shared" si="124" ref="T193:AB193">SUM(T194:T197)</f>
        <v>128062.84</v>
      </c>
      <c r="U193" s="25">
        <f t="shared" si="124"/>
        <v>135746.6104</v>
      </c>
      <c r="V193" s="25">
        <f t="shared" si="124"/>
        <v>146606.339232</v>
      </c>
      <c r="W193" s="25">
        <f t="shared" si="124"/>
        <v>158334.84637056</v>
      </c>
      <c r="X193" s="25">
        <f t="shared" si="124"/>
        <v>171001.6340802048</v>
      </c>
      <c r="Y193" s="25">
        <f t="shared" si="124"/>
        <v>184681.76480662118</v>
      </c>
      <c r="Z193" s="25">
        <f t="shared" si="124"/>
        <v>199456.3059911509</v>
      </c>
      <c r="AA193" s="25">
        <f t="shared" si="124"/>
        <v>215412.81047044296</v>
      </c>
      <c r="AB193" s="25">
        <f t="shared" si="124"/>
        <v>232645.8353080784</v>
      </c>
    </row>
    <row r="194" spans="1:28" ht="15">
      <c r="A194" s="34" t="s">
        <v>489</v>
      </c>
      <c r="B194" s="29" t="s">
        <v>490</v>
      </c>
      <c r="C194" s="132">
        <v>1604.216</v>
      </c>
      <c r="D194" s="133">
        <f>C194/C193</f>
        <v>0.03149036696276124</v>
      </c>
      <c r="E194" s="120">
        <f t="shared" si="90"/>
        <v>1.09061061602677</v>
      </c>
      <c r="F194" s="19">
        <f t="shared" si="91"/>
        <v>1749.5750000000003</v>
      </c>
      <c r="G194" s="132">
        <v>3353.791</v>
      </c>
      <c r="H194" s="133">
        <f>G194/G193</f>
        <v>0.05014865714228488</v>
      </c>
      <c r="I194" s="120">
        <f t="shared" si="92"/>
        <v>-0.5368366722911476</v>
      </c>
      <c r="J194" s="19">
        <f t="shared" si="93"/>
        <v>-1800.4380000000003</v>
      </c>
      <c r="K194" s="63">
        <v>1553.3529999999998</v>
      </c>
      <c r="L194" s="133"/>
      <c r="M194" s="120">
        <f t="shared" si="94"/>
        <v>-0.10709285011198344</v>
      </c>
      <c r="N194" s="19">
        <f t="shared" si="95"/>
        <v>-166.35299999999984</v>
      </c>
      <c r="O194" s="61">
        <v>1387</v>
      </c>
      <c r="P194" s="133"/>
      <c r="Q194" s="121">
        <f t="shared" si="96"/>
        <v>0.1488936978745463</v>
      </c>
      <c r="R194" s="121">
        <v>0.06</v>
      </c>
      <c r="S194" s="121">
        <v>0.08</v>
      </c>
      <c r="T194" s="137">
        <f>(O194*R194)+O194</f>
        <v>1470.22</v>
      </c>
      <c r="U194" s="137">
        <f aca="true" t="shared" si="125" ref="U194:V197">(T194*R194)+T194</f>
        <v>1558.4332</v>
      </c>
      <c r="V194" s="137">
        <f t="shared" si="125"/>
        <v>1683.1078559999999</v>
      </c>
      <c r="W194" s="137">
        <f>(V194*S194)+V194</f>
        <v>1817.75648448</v>
      </c>
      <c r="X194" s="137">
        <f>(W194*S194)+W194</f>
        <v>1963.1770032384</v>
      </c>
      <c r="Y194" s="137">
        <f>(X194*S194)+X194</f>
        <v>2120.231163497472</v>
      </c>
      <c r="Z194" s="137">
        <f>(Y194*S194)+Y194</f>
        <v>2289.84965657727</v>
      </c>
      <c r="AA194" s="137">
        <f>(Z194*S194)+Z194</f>
        <v>2473.0376291034513</v>
      </c>
      <c r="AB194" s="61">
        <f>(AA194*S194)+AA194</f>
        <v>2670.8806394317276</v>
      </c>
    </row>
    <row r="195" spans="1:28" ht="15">
      <c r="A195" s="34" t="s">
        <v>491</v>
      </c>
      <c r="B195" s="29" t="s">
        <v>492</v>
      </c>
      <c r="C195" s="132">
        <v>8016.855</v>
      </c>
      <c r="D195" s="133">
        <f>C195/C193</f>
        <v>0.15736889909915325</v>
      </c>
      <c r="E195" s="120">
        <f t="shared" si="90"/>
        <v>0.5376756845421302</v>
      </c>
      <c r="F195" s="19">
        <f t="shared" si="91"/>
        <v>4310.467999999999</v>
      </c>
      <c r="G195" s="132">
        <v>12327.322999999999</v>
      </c>
      <c r="H195" s="133">
        <f>G195/G193</f>
        <v>0.18432833012230115</v>
      </c>
      <c r="I195" s="120">
        <f t="shared" si="92"/>
        <v>0.8488922534113856</v>
      </c>
      <c r="J195" s="19">
        <f t="shared" si="93"/>
        <v>10464.569000000001</v>
      </c>
      <c r="K195" s="63">
        <v>22791.892</v>
      </c>
      <c r="L195" s="133"/>
      <c r="M195" s="120">
        <f t="shared" si="94"/>
        <v>-0.18905372138478016</v>
      </c>
      <c r="N195" s="19">
        <f t="shared" si="95"/>
        <v>-4308.892</v>
      </c>
      <c r="O195" s="61">
        <v>18483</v>
      </c>
      <c r="P195" s="133"/>
      <c r="Q195" s="121">
        <f t="shared" si="96"/>
        <v>0.3991714055229119</v>
      </c>
      <c r="R195" s="121">
        <v>0.06</v>
      </c>
      <c r="S195" s="121">
        <v>0.08</v>
      </c>
      <c r="T195" s="137">
        <f>(O195*R195)+O195</f>
        <v>19591.98</v>
      </c>
      <c r="U195" s="137">
        <f t="shared" si="125"/>
        <v>20767.4988</v>
      </c>
      <c r="V195" s="137">
        <f t="shared" si="125"/>
        <v>22428.898704000003</v>
      </c>
      <c r="W195" s="137">
        <f>(V195*S195)+V195</f>
        <v>24223.210600320002</v>
      </c>
      <c r="X195" s="137">
        <f>(W195*S195)+W195</f>
        <v>26161.067448345602</v>
      </c>
      <c r="Y195" s="137">
        <f>(X195*S195)+X195</f>
        <v>28253.95284421325</v>
      </c>
      <c r="Z195" s="137">
        <f>(Y195*S195)+Y195</f>
        <v>30514.26907175031</v>
      </c>
      <c r="AA195" s="137">
        <f>(Z195*S195)+Z195</f>
        <v>32955.410597490336</v>
      </c>
      <c r="AB195" s="61">
        <f>(AA195*S195)+AA195</f>
        <v>35591.84344528956</v>
      </c>
    </row>
    <row r="196" spans="1:28" ht="15">
      <c r="A196" s="34" t="s">
        <v>493</v>
      </c>
      <c r="B196" s="29" t="s">
        <v>494</v>
      </c>
      <c r="C196" s="132">
        <v>39895</v>
      </c>
      <c r="D196" s="133">
        <f>C196/C193</f>
        <v>0.7831290736280897</v>
      </c>
      <c r="E196" s="120">
        <f aca="true" t="shared" si="126" ref="E196:E259">G196/C196-1</f>
        <v>0.27096713873919054</v>
      </c>
      <c r="F196" s="19">
        <f aca="true" t="shared" si="127" ref="F196:F259">G196-C196</f>
        <v>10810.234000000004</v>
      </c>
      <c r="G196" s="132">
        <v>50705.234000000004</v>
      </c>
      <c r="H196" s="133">
        <f>G196/G193</f>
        <v>0.7581865999358117</v>
      </c>
      <c r="I196" s="120">
        <f aca="true" t="shared" si="128" ref="I196:I259">K196/G196-1</f>
        <v>0.8517372388026057</v>
      </c>
      <c r="J196" s="19">
        <f aca="true" t="shared" si="129" ref="J196:J259">K196-G196</f>
        <v>43187.536</v>
      </c>
      <c r="K196" s="63">
        <v>93892.77</v>
      </c>
      <c r="L196" s="133"/>
      <c r="M196" s="120">
        <f aca="true" t="shared" si="130" ref="M196:M259">O196/K196-1</f>
        <v>0.07509875361010221</v>
      </c>
      <c r="N196" s="19">
        <f aca="true" t="shared" si="131" ref="N196:N259">O196-K196</f>
        <v>7051.229999999996</v>
      </c>
      <c r="O196" s="61">
        <v>100944</v>
      </c>
      <c r="P196" s="133"/>
      <c r="Q196" s="121">
        <f t="shared" si="96"/>
        <v>0.39926771038396613</v>
      </c>
      <c r="R196" s="121">
        <v>0.06</v>
      </c>
      <c r="S196" s="121">
        <v>0.08</v>
      </c>
      <c r="T196" s="137">
        <f>(O196*R196)+O196</f>
        <v>107000.64</v>
      </c>
      <c r="U196" s="137">
        <f t="shared" si="125"/>
        <v>113420.6784</v>
      </c>
      <c r="V196" s="137">
        <f t="shared" si="125"/>
        <v>122494.332672</v>
      </c>
      <c r="W196" s="137">
        <f>(V196*S196)+V196</f>
        <v>132293.87928576</v>
      </c>
      <c r="X196" s="137">
        <f>(W196*S196)+W196</f>
        <v>142877.3896286208</v>
      </c>
      <c r="Y196" s="137">
        <f>(X196*S196)+X196</f>
        <v>154307.58079891047</v>
      </c>
      <c r="Z196" s="137">
        <f>(Y196*S196)+Y196</f>
        <v>166652.1872628233</v>
      </c>
      <c r="AA196" s="137">
        <f>(Z196*S196)+Z196</f>
        <v>179984.36224384917</v>
      </c>
      <c r="AB196" s="61">
        <f>(AA196*S196)+AA196</f>
        <v>194383.11122335712</v>
      </c>
    </row>
    <row r="197" spans="1:28" ht="14.25">
      <c r="A197" s="34"/>
      <c r="B197" s="60" t="s">
        <v>486</v>
      </c>
      <c r="C197" s="132">
        <v>1427</v>
      </c>
      <c r="D197" s="133">
        <f>C197/C193</f>
        <v>0.02801166030999584</v>
      </c>
      <c r="E197" s="120">
        <f t="shared" si="126"/>
        <v>-0.656175774351787</v>
      </c>
      <c r="F197" s="19">
        <f t="shared" si="127"/>
        <v>-936.36283</v>
      </c>
      <c r="G197" s="132">
        <v>490.63716999999997</v>
      </c>
      <c r="H197" s="133">
        <f>G197/G193</f>
        <v>0.007336412799602282</v>
      </c>
      <c r="I197" s="120">
        <f t="shared" si="128"/>
        <v>-1</v>
      </c>
      <c r="J197" s="19">
        <f t="shared" si="129"/>
        <v>-490.63716999999997</v>
      </c>
      <c r="K197" s="136">
        <v>0</v>
      </c>
      <c r="L197" s="133"/>
      <c r="M197" s="120" t="e">
        <f t="shared" si="130"/>
        <v>#DIV/0!</v>
      </c>
      <c r="N197" s="19">
        <f t="shared" si="131"/>
        <v>0</v>
      </c>
      <c r="O197" s="136">
        <v>0</v>
      </c>
      <c r="P197" s="133"/>
      <c r="Q197" s="121" t="e">
        <f aca="true" t="shared" si="132" ref="Q197:Q260">SUM(E197+I197+M197)/3</f>
        <v>#DIV/0!</v>
      </c>
      <c r="R197" s="121">
        <v>0.06</v>
      </c>
      <c r="S197" s="121">
        <v>0.08</v>
      </c>
      <c r="T197" s="137">
        <f>(O197*R197)+O197</f>
        <v>0</v>
      </c>
      <c r="U197" s="137">
        <f t="shared" si="125"/>
        <v>0</v>
      </c>
      <c r="V197" s="137">
        <f t="shared" si="125"/>
        <v>0</v>
      </c>
      <c r="W197" s="137">
        <f>(V197*S197)+V197</f>
        <v>0</v>
      </c>
      <c r="X197" s="137">
        <f>(W197*S197)+W197</f>
        <v>0</v>
      </c>
      <c r="Y197" s="137">
        <f>(X197*S197)+X197</f>
        <v>0</v>
      </c>
      <c r="Z197" s="137">
        <f>(Y197*S197)+Y197</f>
        <v>0</v>
      </c>
      <c r="AA197" s="137">
        <f>(Z197*S197)+Z197</f>
        <v>0</v>
      </c>
      <c r="AB197" s="61">
        <f>(AA197*S197)+AA197</f>
        <v>0</v>
      </c>
    </row>
    <row r="198" spans="1:28" ht="15.75">
      <c r="A198" s="54" t="s">
        <v>495</v>
      </c>
      <c r="B198" s="27" t="s">
        <v>496</v>
      </c>
      <c r="C198" s="24">
        <f>SUM(C199:C200)</f>
        <v>11855.537</v>
      </c>
      <c r="D198" s="20">
        <f>C198/C151</f>
        <v>0.00427727516068023</v>
      </c>
      <c r="E198" s="120">
        <f t="shared" si="126"/>
        <v>-0.9931387772650029</v>
      </c>
      <c r="F198" s="19">
        <f t="shared" si="127"/>
        <v>-11774.19352</v>
      </c>
      <c r="G198" s="24">
        <f>SUM(G199:G200)</f>
        <v>81.34348</v>
      </c>
      <c r="H198" s="20">
        <f>G198/G151</f>
        <v>2.979765104469691E-05</v>
      </c>
      <c r="I198" s="120">
        <f t="shared" si="128"/>
        <v>67.56119261187251</v>
      </c>
      <c r="J198" s="19">
        <f t="shared" si="129"/>
        <v>5495.66252</v>
      </c>
      <c r="K198" s="25">
        <f>SUM(K199:K200)</f>
        <v>5577.005999999999</v>
      </c>
      <c r="L198" s="20"/>
      <c r="M198" s="120">
        <f t="shared" si="130"/>
        <v>4.379230361236837</v>
      </c>
      <c r="N198" s="19">
        <f t="shared" si="131"/>
        <v>24422.994</v>
      </c>
      <c r="O198" s="25">
        <f>SUM(O199:O200)</f>
        <v>30000</v>
      </c>
      <c r="P198" s="20"/>
      <c r="Q198" s="121">
        <f t="shared" si="132"/>
        <v>23.649094731948114</v>
      </c>
      <c r="R198" s="121"/>
      <c r="S198" s="121">
        <v>0.08</v>
      </c>
      <c r="T198" s="25">
        <f aca="true" t="shared" si="133" ref="T198:AB198">SUM(T199:T200)</f>
        <v>31800</v>
      </c>
      <c r="U198" s="25">
        <f t="shared" si="133"/>
        <v>33708</v>
      </c>
      <c r="V198" s="25">
        <f t="shared" si="133"/>
        <v>36404.64</v>
      </c>
      <c r="W198" s="25">
        <f t="shared" si="133"/>
        <v>39317.0112</v>
      </c>
      <c r="X198" s="25">
        <f t="shared" si="133"/>
        <v>42462.372096</v>
      </c>
      <c r="Y198" s="25">
        <f t="shared" si="133"/>
        <v>45859.36186368</v>
      </c>
      <c r="Z198" s="25">
        <f t="shared" si="133"/>
        <v>49528.1108127744</v>
      </c>
      <c r="AA198" s="25">
        <f t="shared" si="133"/>
        <v>53490.359677796354</v>
      </c>
      <c r="AB198" s="25">
        <f t="shared" si="133"/>
        <v>57769.58845202006</v>
      </c>
    </row>
    <row r="199" spans="1:28" ht="15">
      <c r="A199" s="34" t="s">
        <v>497</v>
      </c>
      <c r="B199" s="29" t="s">
        <v>498</v>
      </c>
      <c r="C199" s="122">
        <v>6485.537</v>
      </c>
      <c r="D199" s="123">
        <f>C199/C198</f>
        <v>0.5470470886304012</v>
      </c>
      <c r="E199" s="120">
        <f t="shared" si="126"/>
        <v>-0.9998192902145189</v>
      </c>
      <c r="F199" s="19">
        <f t="shared" si="127"/>
        <v>-6484.365000000001</v>
      </c>
      <c r="G199" s="122">
        <v>1.172</v>
      </c>
      <c r="H199" s="123">
        <f>G199/G198</f>
        <v>0.01440803860370862</v>
      </c>
      <c r="I199" s="120">
        <f t="shared" si="128"/>
        <v>4757.537542662116</v>
      </c>
      <c r="J199" s="19">
        <f t="shared" si="129"/>
        <v>5575.834</v>
      </c>
      <c r="K199" s="63">
        <v>5577.005999999999</v>
      </c>
      <c r="L199" s="123"/>
      <c r="M199" s="120">
        <f t="shared" si="130"/>
        <v>4.379230361236837</v>
      </c>
      <c r="N199" s="19">
        <f t="shared" si="131"/>
        <v>24422.994</v>
      </c>
      <c r="O199" s="61">
        <v>30000</v>
      </c>
      <c r="P199" s="123"/>
      <c r="Q199" s="121">
        <f t="shared" si="132"/>
        <v>1586.972317911046</v>
      </c>
      <c r="R199" s="121">
        <v>0.06</v>
      </c>
      <c r="S199" s="121">
        <v>0.08</v>
      </c>
      <c r="T199" s="137">
        <f>(O199*R199)+O199</f>
        <v>31800</v>
      </c>
      <c r="U199" s="137">
        <f>(T199*R199)+T199</f>
        <v>33708</v>
      </c>
      <c r="V199" s="137">
        <f>(U199*S199)+U199</f>
        <v>36404.64</v>
      </c>
      <c r="W199" s="137">
        <f>(V199*S199)+V199</f>
        <v>39317.0112</v>
      </c>
      <c r="X199" s="137">
        <f>(W199*S199)+W199</f>
        <v>42462.372096</v>
      </c>
      <c r="Y199" s="137">
        <f>(X199*S199)+X199</f>
        <v>45859.36186368</v>
      </c>
      <c r="Z199" s="137">
        <f>(Y199*S199)+Y199</f>
        <v>49528.1108127744</v>
      </c>
      <c r="AA199" s="137">
        <f>(Z199*S199)+Z199</f>
        <v>53490.359677796354</v>
      </c>
      <c r="AB199" s="61">
        <f>(AA199*S199)+AA199</f>
        <v>57769.58845202006</v>
      </c>
    </row>
    <row r="200" spans="1:28" ht="14.25">
      <c r="A200" s="34"/>
      <c r="B200" s="60" t="s">
        <v>486</v>
      </c>
      <c r="C200" s="122">
        <v>5370</v>
      </c>
      <c r="D200" s="123">
        <f>C200/C199</f>
        <v>0.8279962013939631</v>
      </c>
      <c r="E200" s="120">
        <f t="shared" si="126"/>
        <v>-0.9850704878957169</v>
      </c>
      <c r="F200" s="19">
        <f t="shared" si="127"/>
        <v>-5289.82852</v>
      </c>
      <c r="G200" s="122">
        <v>80.17148</v>
      </c>
      <c r="H200" s="123">
        <f>G200/G199</f>
        <v>68.40569965870307</v>
      </c>
      <c r="I200" s="120">
        <f t="shared" si="128"/>
        <v>-1</v>
      </c>
      <c r="J200" s="19">
        <f t="shared" si="129"/>
        <v>-80.17148</v>
      </c>
      <c r="K200" s="63">
        <v>0</v>
      </c>
      <c r="L200" s="123"/>
      <c r="M200" s="120" t="e">
        <f t="shared" si="130"/>
        <v>#DIV/0!</v>
      </c>
      <c r="N200" s="19">
        <f t="shared" si="131"/>
        <v>0</v>
      </c>
      <c r="O200" s="63">
        <v>0</v>
      </c>
      <c r="P200" s="123"/>
      <c r="Q200" s="121" t="e">
        <f t="shared" si="132"/>
        <v>#DIV/0!</v>
      </c>
      <c r="R200" s="121">
        <v>0.06</v>
      </c>
      <c r="S200" s="121">
        <v>0.08</v>
      </c>
      <c r="T200" s="137">
        <f>(O200*R200)+O200</f>
        <v>0</v>
      </c>
      <c r="U200" s="137">
        <f>(T200*R200)+T200</f>
        <v>0</v>
      </c>
      <c r="V200" s="137">
        <f>(U200*S200)+U200</f>
        <v>0</v>
      </c>
      <c r="W200" s="137">
        <f>(V200*S200)+V200</f>
        <v>0</v>
      </c>
      <c r="X200" s="137">
        <f>(W200*S200)+W200</f>
        <v>0</v>
      </c>
      <c r="Y200" s="137">
        <f>(X200*S200)+X200</f>
        <v>0</v>
      </c>
      <c r="Z200" s="137">
        <f>(Y200*S200)+Y200</f>
        <v>0</v>
      </c>
      <c r="AA200" s="137">
        <f>(Z200*S200)+Z200</f>
        <v>0</v>
      </c>
      <c r="AB200" s="61">
        <f>(AA200*S200)+AA200</f>
        <v>0</v>
      </c>
    </row>
    <row r="201" spans="1:28" ht="15.75">
      <c r="A201" s="54" t="s">
        <v>499</v>
      </c>
      <c r="B201" s="27" t="s">
        <v>500</v>
      </c>
      <c r="C201" s="24">
        <f>SUM(C202:C206)</f>
        <v>66803.086</v>
      </c>
      <c r="D201" s="20">
        <f>C201/C151</f>
        <v>0.02410141188919449</v>
      </c>
      <c r="E201" s="120">
        <f t="shared" si="126"/>
        <v>3.7074283214999983</v>
      </c>
      <c r="F201" s="19">
        <f t="shared" si="127"/>
        <v>247667.653</v>
      </c>
      <c r="G201" s="24">
        <f>SUM(G202:G206)</f>
        <v>314470.739</v>
      </c>
      <c r="H201" s="20">
        <f>G201/G151</f>
        <v>0.1151965633200099</v>
      </c>
      <c r="I201" s="120">
        <f t="shared" si="128"/>
        <v>-0.6031956024054754</v>
      </c>
      <c r="J201" s="19">
        <f t="shared" si="129"/>
        <v>-189687.36685000002</v>
      </c>
      <c r="K201" s="25">
        <f>SUM(K202:K206)</f>
        <v>124783.37214999998</v>
      </c>
      <c r="L201" s="20"/>
      <c r="M201" s="120">
        <f t="shared" si="130"/>
        <v>-1</v>
      </c>
      <c r="N201" s="19">
        <f t="shared" si="131"/>
        <v>-124783.37214999998</v>
      </c>
      <c r="O201" s="25">
        <f>SUM(O202:O206)</f>
        <v>0</v>
      </c>
      <c r="P201" s="20"/>
      <c r="Q201" s="121">
        <f t="shared" si="132"/>
        <v>0.701410906364841</v>
      </c>
      <c r="R201" s="121"/>
      <c r="S201" s="121">
        <v>0.08</v>
      </c>
      <c r="T201" s="25">
        <f aca="true" t="shared" si="134" ref="T201:AB201">SUM(T202:T206)</f>
        <v>0</v>
      </c>
      <c r="U201" s="25">
        <f t="shared" si="134"/>
        <v>0</v>
      </c>
      <c r="V201" s="25">
        <f t="shared" si="134"/>
        <v>0</v>
      </c>
      <c r="W201" s="25">
        <f t="shared" si="134"/>
        <v>0</v>
      </c>
      <c r="X201" s="25">
        <f t="shared" si="134"/>
        <v>0</v>
      </c>
      <c r="Y201" s="25">
        <f t="shared" si="134"/>
        <v>0</v>
      </c>
      <c r="Z201" s="25">
        <f t="shared" si="134"/>
        <v>0</v>
      </c>
      <c r="AA201" s="25">
        <f t="shared" si="134"/>
        <v>0</v>
      </c>
      <c r="AB201" s="25">
        <f t="shared" si="134"/>
        <v>0</v>
      </c>
    </row>
    <row r="202" spans="1:28" ht="15">
      <c r="A202" s="54"/>
      <c r="B202" s="60" t="s">
        <v>501</v>
      </c>
      <c r="C202" s="61">
        <v>0</v>
      </c>
      <c r="D202" s="62">
        <f>C202/C201</f>
        <v>0</v>
      </c>
      <c r="E202" s="120" t="e">
        <f t="shared" si="126"/>
        <v>#DIV/0!</v>
      </c>
      <c r="F202" s="19">
        <f t="shared" si="127"/>
        <v>972</v>
      </c>
      <c r="G202" s="61">
        <v>972</v>
      </c>
      <c r="H202" s="62">
        <f>G202/G201</f>
        <v>0.0030909076090542085</v>
      </c>
      <c r="I202" s="120">
        <f t="shared" si="128"/>
        <v>-1</v>
      </c>
      <c r="J202" s="19">
        <f t="shared" si="129"/>
        <v>-972</v>
      </c>
      <c r="K202" s="63">
        <v>0</v>
      </c>
      <c r="L202" s="62"/>
      <c r="M202" s="120" t="e">
        <f t="shared" si="130"/>
        <v>#DIV/0!</v>
      </c>
      <c r="N202" s="19">
        <f t="shared" si="131"/>
        <v>0</v>
      </c>
      <c r="O202" s="63">
        <v>0</v>
      </c>
      <c r="P202" s="62"/>
      <c r="Q202" s="121" t="e">
        <f t="shared" si="132"/>
        <v>#DIV/0!</v>
      </c>
      <c r="R202" s="121">
        <v>0.06</v>
      </c>
      <c r="S202" s="121">
        <v>0.08</v>
      </c>
      <c r="T202" s="137">
        <f>(O202*R202)+O202</f>
        <v>0</v>
      </c>
      <c r="U202" s="137">
        <f aca="true" t="shared" si="135" ref="U202:V206">(T202*R202)+T202</f>
        <v>0</v>
      </c>
      <c r="V202" s="137">
        <f t="shared" si="135"/>
        <v>0</v>
      </c>
      <c r="W202" s="137">
        <f>(V202*S202)+V202</f>
        <v>0</v>
      </c>
      <c r="X202" s="137">
        <f>(W202*S202)+W202</f>
        <v>0</v>
      </c>
      <c r="Y202" s="137">
        <f>(X202*S202)+X202</f>
        <v>0</v>
      </c>
      <c r="Z202" s="137">
        <f>(Y202*S202)+Y202</f>
        <v>0</v>
      </c>
      <c r="AA202" s="137">
        <f>(Z202*S202)+Z202</f>
        <v>0</v>
      </c>
      <c r="AB202" s="61">
        <f>(AA202*S202)+AA202</f>
        <v>0</v>
      </c>
    </row>
    <row r="203" spans="1:28" ht="15">
      <c r="A203" s="34" t="s">
        <v>502</v>
      </c>
      <c r="B203" s="29" t="s">
        <v>503</v>
      </c>
      <c r="C203" s="122">
        <v>0</v>
      </c>
      <c r="D203" s="123">
        <f>C203/C201</f>
        <v>0</v>
      </c>
      <c r="E203" s="120" t="e">
        <f t="shared" si="126"/>
        <v>#DIV/0!</v>
      </c>
      <c r="F203" s="19">
        <f t="shared" si="127"/>
        <v>0</v>
      </c>
      <c r="G203" s="122">
        <v>0</v>
      </c>
      <c r="H203" s="123">
        <f>G203/G201</f>
        <v>0</v>
      </c>
      <c r="I203" s="120" t="e">
        <f t="shared" si="128"/>
        <v>#DIV/0!</v>
      </c>
      <c r="J203" s="19">
        <f t="shared" si="129"/>
        <v>0</v>
      </c>
      <c r="K203" s="63">
        <v>0</v>
      </c>
      <c r="L203" s="123"/>
      <c r="M203" s="120" t="e">
        <f t="shared" si="130"/>
        <v>#DIV/0!</v>
      </c>
      <c r="N203" s="19">
        <f t="shared" si="131"/>
        <v>0</v>
      </c>
      <c r="O203" s="63">
        <v>0</v>
      </c>
      <c r="P203" s="123"/>
      <c r="Q203" s="121" t="e">
        <f t="shared" si="132"/>
        <v>#DIV/0!</v>
      </c>
      <c r="R203" s="121">
        <v>0.06</v>
      </c>
      <c r="S203" s="121">
        <v>0.08</v>
      </c>
      <c r="T203" s="137">
        <f>(O203*R203)+O203</f>
        <v>0</v>
      </c>
      <c r="U203" s="137">
        <f t="shared" si="135"/>
        <v>0</v>
      </c>
      <c r="V203" s="137">
        <f t="shared" si="135"/>
        <v>0</v>
      </c>
      <c r="W203" s="137">
        <f>(V203*S203)+V203</f>
        <v>0</v>
      </c>
      <c r="X203" s="137">
        <f>(W203*S203)+W203</f>
        <v>0</v>
      </c>
      <c r="Y203" s="137">
        <f>(X203*S203)+X203</f>
        <v>0</v>
      </c>
      <c r="Z203" s="137">
        <f>(Y203*S203)+Y203</f>
        <v>0</v>
      </c>
      <c r="AA203" s="137">
        <f>(Z203*S203)+Z203</f>
        <v>0</v>
      </c>
      <c r="AB203" s="61">
        <f>(AA203*S203)+AA203</f>
        <v>0</v>
      </c>
    </row>
    <row r="204" spans="1:28" ht="15">
      <c r="A204" s="34" t="s">
        <v>504</v>
      </c>
      <c r="B204" s="29" t="s">
        <v>505</v>
      </c>
      <c r="C204" s="122">
        <v>36382.085999999996</v>
      </c>
      <c r="D204" s="123">
        <f>C204/C201</f>
        <v>0.5446168459942105</v>
      </c>
      <c r="E204" s="120">
        <f t="shared" si="126"/>
        <v>-0.9064446442130888</v>
      </c>
      <c r="F204" s="19">
        <f t="shared" si="127"/>
        <v>-32978.346999999994</v>
      </c>
      <c r="G204" s="122">
        <v>3403.7390000000005</v>
      </c>
      <c r="H204" s="123">
        <f>G204/G201</f>
        <v>0.01082370655795737</v>
      </c>
      <c r="I204" s="120">
        <f t="shared" si="128"/>
        <v>35.6606758479425</v>
      </c>
      <c r="J204" s="19">
        <f t="shared" si="129"/>
        <v>121379.63314999998</v>
      </c>
      <c r="K204" s="63">
        <v>124783.37214999998</v>
      </c>
      <c r="L204" s="123"/>
      <c r="M204" s="120">
        <f t="shared" si="130"/>
        <v>-1</v>
      </c>
      <c r="N204" s="19">
        <f t="shared" si="131"/>
        <v>-124783.37214999998</v>
      </c>
      <c r="O204" s="63">
        <v>0</v>
      </c>
      <c r="P204" s="123"/>
      <c r="Q204" s="121">
        <f t="shared" si="132"/>
        <v>11.251410401243136</v>
      </c>
      <c r="R204" s="121">
        <v>0.06</v>
      </c>
      <c r="S204" s="121">
        <v>0.08</v>
      </c>
      <c r="T204" s="137">
        <f>(O204*R204)+O204</f>
        <v>0</v>
      </c>
      <c r="U204" s="137">
        <f t="shared" si="135"/>
        <v>0</v>
      </c>
      <c r="V204" s="137">
        <f t="shared" si="135"/>
        <v>0</v>
      </c>
      <c r="W204" s="137">
        <f>(V204*S204)+V204</f>
        <v>0</v>
      </c>
      <c r="X204" s="137">
        <f>(W204*S204)+W204</f>
        <v>0</v>
      </c>
      <c r="Y204" s="137">
        <f>(X204*S204)+X204</f>
        <v>0</v>
      </c>
      <c r="Z204" s="137">
        <f>(Y204*S204)+Y204</f>
        <v>0</v>
      </c>
      <c r="AA204" s="137">
        <f>(Z204*S204)+Z204</f>
        <v>0</v>
      </c>
      <c r="AB204" s="61">
        <f>(AA204*S204)+AA204</f>
        <v>0</v>
      </c>
    </row>
    <row r="205" spans="1:28" ht="15">
      <c r="A205" s="34" t="s">
        <v>506</v>
      </c>
      <c r="B205" s="29" t="s">
        <v>507</v>
      </c>
      <c r="C205" s="122">
        <v>30421</v>
      </c>
      <c r="D205" s="123">
        <f>C205/C201</f>
        <v>0.45538315400578955</v>
      </c>
      <c r="E205" s="120">
        <f t="shared" si="126"/>
        <v>-1</v>
      </c>
      <c r="F205" s="19">
        <f t="shared" si="127"/>
        <v>-30421</v>
      </c>
      <c r="G205" s="122">
        <v>0</v>
      </c>
      <c r="H205" s="123">
        <f>G205/G201</f>
        <v>0</v>
      </c>
      <c r="I205" s="120" t="e">
        <f t="shared" si="128"/>
        <v>#DIV/0!</v>
      </c>
      <c r="J205" s="19">
        <f t="shared" si="129"/>
        <v>0</v>
      </c>
      <c r="K205" s="63">
        <v>0</v>
      </c>
      <c r="L205" s="123"/>
      <c r="M205" s="120" t="e">
        <f t="shared" si="130"/>
        <v>#DIV/0!</v>
      </c>
      <c r="N205" s="19">
        <f t="shared" si="131"/>
        <v>0</v>
      </c>
      <c r="O205" s="63">
        <v>0</v>
      </c>
      <c r="P205" s="123"/>
      <c r="Q205" s="121" t="e">
        <f t="shared" si="132"/>
        <v>#DIV/0!</v>
      </c>
      <c r="R205" s="121">
        <v>0.06</v>
      </c>
      <c r="S205" s="121">
        <v>0.08</v>
      </c>
      <c r="T205" s="137">
        <f>(O205*R205)+O205</f>
        <v>0</v>
      </c>
      <c r="U205" s="137">
        <f t="shared" si="135"/>
        <v>0</v>
      </c>
      <c r="V205" s="137">
        <f t="shared" si="135"/>
        <v>0</v>
      </c>
      <c r="W205" s="137">
        <f>(V205*S205)+V205</f>
        <v>0</v>
      </c>
      <c r="X205" s="137">
        <f>(W205*S205)+W205</f>
        <v>0</v>
      </c>
      <c r="Y205" s="137">
        <f>(X205*S205)+X205</f>
        <v>0</v>
      </c>
      <c r="Z205" s="137">
        <f>(Y205*S205)+Y205</f>
        <v>0</v>
      </c>
      <c r="AA205" s="137">
        <f>(Z205*S205)+Z205</f>
        <v>0</v>
      </c>
      <c r="AB205" s="61">
        <f>(AA205*S205)+AA205</f>
        <v>0</v>
      </c>
    </row>
    <row r="206" spans="1:28" ht="14.25">
      <c r="A206" s="34"/>
      <c r="B206" s="60" t="s">
        <v>508</v>
      </c>
      <c r="C206" s="122">
        <v>0</v>
      </c>
      <c r="D206" s="123">
        <f>C206/C201</f>
        <v>0</v>
      </c>
      <c r="E206" s="120" t="e">
        <f t="shared" si="126"/>
        <v>#DIV/0!</v>
      </c>
      <c r="F206" s="19">
        <f t="shared" si="127"/>
        <v>310095</v>
      </c>
      <c r="G206" s="122">
        <v>310095</v>
      </c>
      <c r="H206" s="123">
        <f>G206/G201</f>
        <v>0.9860853858329884</v>
      </c>
      <c r="I206" s="120">
        <f t="shared" si="128"/>
        <v>-1</v>
      </c>
      <c r="J206" s="19">
        <f t="shared" si="129"/>
        <v>-310095</v>
      </c>
      <c r="K206" s="63">
        <v>0</v>
      </c>
      <c r="L206" s="123"/>
      <c r="M206" s="120" t="e">
        <f t="shared" si="130"/>
        <v>#DIV/0!</v>
      </c>
      <c r="N206" s="19">
        <f t="shared" si="131"/>
        <v>0</v>
      </c>
      <c r="O206" s="63">
        <v>0</v>
      </c>
      <c r="P206" s="123"/>
      <c r="Q206" s="121" t="e">
        <f t="shared" si="132"/>
        <v>#DIV/0!</v>
      </c>
      <c r="R206" s="121">
        <v>0.06</v>
      </c>
      <c r="S206" s="121">
        <v>0.08</v>
      </c>
      <c r="T206" s="137">
        <f>(O206*R206)+O206</f>
        <v>0</v>
      </c>
      <c r="U206" s="137">
        <f t="shared" si="135"/>
        <v>0</v>
      </c>
      <c r="V206" s="137">
        <f t="shared" si="135"/>
        <v>0</v>
      </c>
      <c r="W206" s="137">
        <f>(V206*S206)+V206</f>
        <v>0</v>
      </c>
      <c r="X206" s="137">
        <f>(W206*S206)+W206</f>
        <v>0</v>
      </c>
      <c r="Y206" s="137">
        <f>(X206*S206)+X206</f>
        <v>0</v>
      </c>
      <c r="Z206" s="137">
        <f>(Y206*S206)+Y206</f>
        <v>0</v>
      </c>
      <c r="AA206" s="137">
        <f>(Z206*S206)+Z206</f>
        <v>0</v>
      </c>
      <c r="AB206" s="61">
        <f>(AA206*S206)+AA206</f>
        <v>0</v>
      </c>
    </row>
    <row r="207" spans="1:28" ht="15.75">
      <c r="A207" s="54" t="s">
        <v>509</v>
      </c>
      <c r="B207" s="27" t="s">
        <v>510</v>
      </c>
      <c r="C207" s="24">
        <f>SUM(C208:C211)</f>
        <v>83462</v>
      </c>
      <c r="D207" s="20">
        <f>C207/C151</f>
        <v>0.030111663390759384</v>
      </c>
      <c r="E207" s="120">
        <f t="shared" si="126"/>
        <v>0.03685003977858181</v>
      </c>
      <c r="F207" s="19">
        <f t="shared" si="127"/>
        <v>3075.578020000001</v>
      </c>
      <c r="G207" s="24">
        <f>SUM(G208:G211)</f>
        <v>86537.57802</v>
      </c>
      <c r="H207" s="20">
        <f>G207/G151</f>
        <v>0.03170034712177538</v>
      </c>
      <c r="I207" s="120">
        <f t="shared" si="128"/>
        <v>0.5656492139020464</v>
      </c>
      <c r="J207" s="19">
        <f t="shared" si="129"/>
        <v>48949.91298000001</v>
      </c>
      <c r="K207" s="25">
        <f>SUM(K208:K211)</f>
        <v>135487.491</v>
      </c>
      <c r="L207" s="20"/>
      <c r="M207" s="120">
        <f t="shared" si="130"/>
        <v>-0.24751724865877112</v>
      </c>
      <c r="N207" s="19">
        <f t="shared" si="131"/>
        <v>-33535.49100000001</v>
      </c>
      <c r="O207" s="25">
        <f>SUM(O208:O211)</f>
        <v>101952</v>
      </c>
      <c r="P207" s="20"/>
      <c r="Q207" s="121">
        <f t="shared" si="132"/>
        <v>0.11832733500728569</v>
      </c>
      <c r="R207" s="121"/>
      <c r="S207" s="121">
        <v>0.08</v>
      </c>
      <c r="T207" s="25">
        <f aca="true" t="shared" si="136" ref="T207:AB207">SUM(T208:T211)</f>
        <v>108069.12</v>
      </c>
      <c r="U207" s="25">
        <f t="shared" si="136"/>
        <v>114553.2672</v>
      </c>
      <c r="V207" s="25">
        <f t="shared" si="136"/>
        <v>123717.528576</v>
      </c>
      <c r="W207" s="25">
        <f t="shared" si="136"/>
        <v>133614.93086208</v>
      </c>
      <c r="X207" s="25">
        <f t="shared" si="136"/>
        <v>144304.12533104638</v>
      </c>
      <c r="Y207" s="25">
        <f t="shared" si="136"/>
        <v>155848.4553575301</v>
      </c>
      <c r="Z207" s="25">
        <f t="shared" si="136"/>
        <v>168316.33178613248</v>
      </c>
      <c r="AA207" s="25">
        <f t="shared" si="136"/>
        <v>181781.6383290231</v>
      </c>
      <c r="AB207" s="25">
        <f t="shared" si="136"/>
        <v>196324.16939534494</v>
      </c>
    </row>
    <row r="208" spans="1:28" ht="15">
      <c r="A208" s="34" t="s">
        <v>511</v>
      </c>
      <c r="B208" s="29" t="s">
        <v>512</v>
      </c>
      <c r="C208" s="122">
        <v>20000</v>
      </c>
      <c r="D208" s="123">
        <f>C208/C207</f>
        <v>0.23963001126261052</v>
      </c>
      <c r="E208" s="120">
        <f t="shared" si="126"/>
        <v>-0.6971797</v>
      </c>
      <c r="F208" s="19">
        <f t="shared" si="127"/>
        <v>-13943.594000000001</v>
      </c>
      <c r="G208" s="122">
        <v>6056.406</v>
      </c>
      <c r="H208" s="123">
        <f>G208/G207</f>
        <v>0.06998585052380693</v>
      </c>
      <c r="I208" s="120">
        <f t="shared" si="128"/>
        <v>-1</v>
      </c>
      <c r="J208" s="19">
        <f t="shared" si="129"/>
        <v>-6056.406</v>
      </c>
      <c r="K208" s="63">
        <v>0</v>
      </c>
      <c r="L208" s="123"/>
      <c r="M208" s="120" t="e">
        <f t="shared" si="130"/>
        <v>#DIV/0!</v>
      </c>
      <c r="N208" s="19">
        <f t="shared" si="131"/>
        <v>1952</v>
      </c>
      <c r="O208" s="61">
        <v>1952</v>
      </c>
      <c r="P208" s="123"/>
      <c r="Q208" s="121" t="e">
        <f t="shared" si="132"/>
        <v>#DIV/0!</v>
      </c>
      <c r="R208" s="121">
        <v>0.06</v>
      </c>
      <c r="S208" s="121">
        <v>0.08</v>
      </c>
      <c r="T208" s="137">
        <f>(O208*R208)+O208</f>
        <v>2069.12</v>
      </c>
      <c r="U208" s="137">
        <f aca="true" t="shared" si="137" ref="U208:V211">(T208*R208)+T208</f>
        <v>2193.2672</v>
      </c>
      <c r="V208" s="137">
        <f t="shared" si="137"/>
        <v>2368.7285759999995</v>
      </c>
      <c r="W208" s="137">
        <f>(V208*S208)+V208</f>
        <v>2558.2268620799996</v>
      </c>
      <c r="X208" s="137">
        <f>(W208*S208)+W208</f>
        <v>2762.8850110463995</v>
      </c>
      <c r="Y208" s="137">
        <f>(X208*S208)+X208</f>
        <v>2983.9158119301114</v>
      </c>
      <c r="Z208" s="137">
        <f>(Y208*S208)+Y208</f>
        <v>3222.62907688452</v>
      </c>
      <c r="AA208" s="137">
        <f>(Z208*S208)+Z208</f>
        <v>3480.439403035282</v>
      </c>
      <c r="AB208" s="61">
        <f>(AA208*S208)+AA208</f>
        <v>3758.8745552781043</v>
      </c>
    </row>
    <row r="209" spans="1:28" ht="15">
      <c r="A209" s="34" t="s">
        <v>513</v>
      </c>
      <c r="B209" s="29" t="s">
        <v>514</v>
      </c>
      <c r="C209" s="122">
        <v>57331</v>
      </c>
      <c r="D209" s="123">
        <f>C209/C207</f>
        <v>0.6869114087848363</v>
      </c>
      <c r="E209" s="120">
        <f t="shared" si="126"/>
        <v>0.3982975876925223</v>
      </c>
      <c r="F209" s="19">
        <f t="shared" si="127"/>
        <v>22834.799</v>
      </c>
      <c r="G209" s="122">
        <v>80165.799</v>
      </c>
      <c r="H209" s="123">
        <f>G209/G207</f>
        <v>0.9263698018157223</v>
      </c>
      <c r="I209" s="120">
        <f t="shared" si="128"/>
        <v>0.6900909451423294</v>
      </c>
      <c r="J209" s="19">
        <f t="shared" si="129"/>
        <v>55321.69200000001</v>
      </c>
      <c r="K209" s="63">
        <v>135487.491</v>
      </c>
      <c r="L209" s="123"/>
      <c r="M209" s="120">
        <f t="shared" si="130"/>
        <v>-0.26192448275538593</v>
      </c>
      <c r="N209" s="19">
        <f t="shared" si="131"/>
        <v>-35487.49100000001</v>
      </c>
      <c r="O209" s="61">
        <v>100000</v>
      </c>
      <c r="P209" s="123"/>
      <c r="Q209" s="121">
        <f t="shared" si="132"/>
        <v>0.27548801669315526</v>
      </c>
      <c r="R209" s="121">
        <v>0.06</v>
      </c>
      <c r="S209" s="121">
        <v>0.08</v>
      </c>
      <c r="T209" s="137">
        <f>(O209*R209)+O209</f>
        <v>106000</v>
      </c>
      <c r="U209" s="137">
        <f t="shared" si="137"/>
        <v>112360</v>
      </c>
      <c r="V209" s="137">
        <f t="shared" si="137"/>
        <v>121348.8</v>
      </c>
      <c r="W209" s="137">
        <f>(V209*S209)+V209</f>
        <v>131056.704</v>
      </c>
      <c r="X209" s="137">
        <f>(W209*S209)+W209</f>
        <v>141541.24031999998</v>
      </c>
      <c r="Y209" s="137">
        <f>(X209*S209)+X209</f>
        <v>152864.53954559998</v>
      </c>
      <c r="Z209" s="137">
        <f>(Y209*S209)+Y209</f>
        <v>165093.70270924797</v>
      </c>
      <c r="AA209" s="137">
        <f>(Z209*S209)+Z209</f>
        <v>178301.19892598782</v>
      </c>
      <c r="AB209" s="61">
        <f>(AA209*S209)+AA209</f>
        <v>192565.29484006684</v>
      </c>
    </row>
    <row r="210" spans="1:28" ht="15">
      <c r="A210" s="34" t="s">
        <v>515</v>
      </c>
      <c r="B210" s="29" t="s">
        <v>516</v>
      </c>
      <c r="C210" s="122">
        <v>0</v>
      </c>
      <c r="D210" s="123">
        <f>C210/C207</f>
        <v>0</v>
      </c>
      <c r="E210" s="120" t="e">
        <f t="shared" si="126"/>
        <v>#DIV/0!</v>
      </c>
      <c r="F210" s="19">
        <f t="shared" si="127"/>
        <v>0</v>
      </c>
      <c r="G210" s="122">
        <v>0</v>
      </c>
      <c r="H210" s="123">
        <f>G210/G207</f>
        <v>0</v>
      </c>
      <c r="I210" s="120" t="e">
        <f t="shared" si="128"/>
        <v>#DIV/0!</v>
      </c>
      <c r="J210" s="19">
        <f t="shared" si="129"/>
        <v>0</v>
      </c>
      <c r="K210" s="63">
        <v>0</v>
      </c>
      <c r="L210" s="123"/>
      <c r="M210" s="120" t="e">
        <f t="shared" si="130"/>
        <v>#DIV/0!</v>
      </c>
      <c r="N210" s="19">
        <f t="shared" si="131"/>
        <v>0</v>
      </c>
      <c r="O210" s="63">
        <v>0</v>
      </c>
      <c r="P210" s="123"/>
      <c r="Q210" s="121" t="e">
        <f t="shared" si="132"/>
        <v>#DIV/0!</v>
      </c>
      <c r="R210" s="121">
        <v>0.06</v>
      </c>
      <c r="S210" s="121">
        <v>0.08</v>
      </c>
      <c r="T210" s="137">
        <f>(O210*R210)+O210</f>
        <v>0</v>
      </c>
      <c r="U210" s="137">
        <f t="shared" si="137"/>
        <v>0</v>
      </c>
      <c r="V210" s="137">
        <f t="shared" si="137"/>
        <v>0</v>
      </c>
      <c r="W210" s="137">
        <f>(V210*S210)+V210</f>
        <v>0</v>
      </c>
      <c r="X210" s="137">
        <f>(W210*S210)+W210</f>
        <v>0</v>
      </c>
      <c r="Y210" s="137">
        <f>(X210*S210)+X210</f>
        <v>0</v>
      </c>
      <c r="Z210" s="137">
        <f>(Y210*S210)+Y210</f>
        <v>0</v>
      </c>
      <c r="AA210" s="137">
        <f>(Z210*S210)+Z210</f>
        <v>0</v>
      </c>
      <c r="AB210" s="61">
        <f>(AA210*S210)+AA210</f>
        <v>0</v>
      </c>
    </row>
    <row r="211" spans="1:28" ht="14.25">
      <c r="A211" s="34"/>
      <c r="B211" s="60" t="s">
        <v>486</v>
      </c>
      <c r="C211" s="122">
        <v>6131</v>
      </c>
      <c r="D211" s="123">
        <f>C211/C207</f>
        <v>0.07345857995255325</v>
      </c>
      <c r="E211" s="120">
        <f t="shared" si="126"/>
        <v>-0.9485609166530745</v>
      </c>
      <c r="F211" s="19">
        <f t="shared" si="127"/>
        <v>-5815.62698</v>
      </c>
      <c r="G211" s="122">
        <v>315.37302</v>
      </c>
      <c r="H211" s="123">
        <f>G211/G207</f>
        <v>0.0036443476604708426</v>
      </c>
      <c r="I211" s="120">
        <f t="shared" si="128"/>
        <v>-1</v>
      </c>
      <c r="J211" s="19">
        <f t="shared" si="129"/>
        <v>-315.37302</v>
      </c>
      <c r="K211" s="63">
        <v>0</v>
      </c>
      <c r="L211" s="123"/>
      <c r="M211" s="120" t="e">
        <f t="shared" si="130"/>
        <v>#DIV/0!</v>
      </c>
      <c r="N211" s="19">
        <f t="shared" si="131"/>
        <v>0</v>
      </c>
      <c r="O211" s="63">
        <v>0</v>
      </c>
      <c r="P211" s="123"/>
      <c r="Q211" s="121" t="e">
        <f t="shared" si="132"/>
        <v>#DIV/0!</v>
      </c>
      <c r="R211" s="121">
        <v>0.06</v>
      </c>
      <c r="S211" s="121">
        <v>0.08</v>
      </c>
      <c r="T211" s="137">
        <f>(O211*R211)+O211</f>
        <v>0</v>
      </c>
      <c r="U211" s="137">
        <f t="shared" si="137"/>
        <v>0</v>
      </c>
      <c r="V211" s="137">
        <f t="shared" si="137"/>
        <v>0</v>
      </c>
      <c r="W211" s="137">
        <f>(V211*S211)+V211</f>
        <v>0</v>
      </c>
      <c r="X211" s="137">
        <f>(W211*S211)+W211</f>
        <v>0</v>
      </c>
      <c r="Y211" s="137">
        <f>(X211*S211)+X211</f>
        <v>0</v>
      </c>
      <c r="Z211" s="137">
        <f>(Y211*S211)+Y211</f>
        <v>0</v>
      </c>
      <c r="AA211" s="137">
        <f>(Z211*S211)+Z211</f>
        <v>0</v>
      </c>
      <c r="AB211" s="61">
        <f>(AA211*S211)+AA211</f>
        <v>0</v>
      </c>
    </row>
    <row r="212" spans="1:28" ht="15.75">
      <c r="A212" s="54" t="s">
        <v>517</v>
      </c>
      <c r="B212" s="27" t="s">
        <v>518</v>
      </c>
      <c r="C212" s="24">
        <f>SUM(C213:C215)</f>
        <v>2017.2712600000002</v>
      </c>
      <c r="D212" s="20">
        <f>C212/C151</f>
        <v>0.0007277969992208797</v>
      </c>
      <c r="E212" s="120">
        <f t="shared" si="126"/>
        <v>-0.9906471130709511</v>
      </c>
      <c r="F212" s="19">
        <f t="shared" si="127"/>
        <v>-1998.4039500000001</v>
      </c>
      <c r="G212" s="24">
        <f>SUM(G213:G215)</f>
        <v>18.86731</v>
      </c>
      <c r="H212" s="20">
        <f>G212/G151</f>
        <v>6.911451532834843E-06</v>
      </c>
      <c r="I212" s="120">
        <f t="shared" si="128"/>
        <v>2.57766952469642</v>
      </c>
      <c r="J212" s="19">
        <f t="shared" si="129"/>
        <v>48.63369</v>
      </c>
      <c r="K212" s="25">
        <f>SUM(K213:K215)</f>
        <v>67.501</v>
      </c>
      <c r="L212" s="20"/>
      <c r="M212" s="120">
        <f t="shared" si="130"/>
        <v>-1</v>
      </c>
      <c r="N212" s="19">
        <f t="shared" si="131"/>
        <v>-67.501</v>
      </c>
      <c r="O212" s="25">
        <f>SUM(O213:O215)</f>
        <v>0</v>
      </c>
      <c r="P212" s="20"/>
      <c r="Q212" s="121">
        <f t="shared" si="132"/>
        <v>0.19567413720848958</v>
      </c>
      <c r="R212" s="121"/>
      <c r="S212" s="121">
        <v>0.08</v>
      </c>
      <c r="T212" s="25">
        <f aca="true" t="shared" si="138" ref="T212:AB212">SUM(T213:T215)</f>
        <v>0</v>
      </c>
      <c r="U212" s="25">
        <f t="shared" si="138"/>
        <v>0</v>
      </c>
      <c r="V212" s="25">
        <f t="shared" si="138"/>
        <v>0</v>
      </c>
      <c r="W212" s="25">
        <f t="shared" si="138"/>
        <v>0</v>
      </c>
      <c r="X212" s="25">
        <f t="shared" si="138"/>
        <v>0</v>
      </c>
      <c r="Y212" s="25">
        <f t="shared" si="138"/>
        <v>0</v>
      </c>
      <c r="Z212" s="25">
        <f t="shared" si="138"/>
        <v>0</v>
      </c>
      <c r="AA212" s="25">
        <f t="shared" si="138"/>
        <v>0</v>
      </c>
      <c r="AB212" s="25">
        <f t="shared" si="138"/>
        <v>0</v>
      </c>
    </row>
    <row r="213" spans="1:28" ht="15">
      <c r="A213" s="34" t="s">
        <v>519</v>
      </c>
      <c r="B213" s="29" t="s">
        <v>520</v>
      </c>
      <c r="C213" s="122">
        <v>0</v>
      </c>
      <c r="D213" s="123">
        <f>C213/C212</f>
        <v>0</v>
      </c>
      <c r="E213" s="120" t="e">
        <f t="shared" si="126"/>
        <v>#DIV/0!</v>
      </c>
      <c r="F213" s="19">
        <f t="shared" si="127"/>
        <v>0</v>
      </c>
      <c r="G213" s="122">
        <v>0</v>
      </c>
      <c r="H213" s="123">
        <f>G213/G212</f>
        <v>0</v>
      </c>
      <c r="I213" s="120" t="e">
        <f t="shared" si="128"/>
        <v>#DIV/0!</v>
      </c>
      <c r="J213" s="19">
        <f t="shared" si="129"/>
        <v>0</v>
      </c>
      <c r="K213" s="63">
        <v>0</v>
      </c>
      <c r="L213" s="123"/>
      <c r="M213" s="120" t="e">
        <f t="shared" si="130"/>
        <v>#DIV/0!</v>
      </c>
      <c r="N213" s="19">
        <f t="shared" si="131"/>
        <v>0</v>
      </c>
      <c r="O213" s="63">
        <v>0</v>
      </c>
      <c r="P213" s="123"/>
      <c r="Q213" s="121" t="e">
        <f t="shared" si="132"/>
        <v>#DIV/0!</v>
      </c>
      <c r="R213" s="121">
        <v>0.06</v>
      </c>
      <c r="S213" s="121">
        <v>0.08</v>
      </c>
      <c r="T213" s="137">
        <f>(O213*R213)+O213</f>
        <v>0</v>
      </c>
      <c r="U213" s="137">
        <f aca="true" t="shared" si="139" ref="U213:V215">(T213*R213)+T213</f>
        <v>0</v>
      </c>
      <c r="V213" s="137">
        <f t="shared" si="139"/>
        <v>0</v>
      </c>
      <c r="W213" s="137">
        <f>(V213*S213)+V213</f>
        <v>0</v>
      </c>
      <c r="X213" s="137">
        <f>(W213*S213)+W213</f>
        <v>0</v>
      </c>
      <c r="Y213" s="137">
        <f>(X213*S213)+X213</f>
        <v>0</v>
      </c>
      <c r="Z213" s="137">
        <f>(Y213*S213)+Y213</f>
        <v>0</v>
      </c>
      <c r="AA213" s="137">
        <f>(Z213*S213)+Z213</f>
        <v>0</v>
      </c>
      <c r="AB213" s="61">
        <f>(AA213*S213)+AA213</f>
        <v>0</v>
      </c>
    </row>
    <row r="214" spans="1:28" ht="15.75" thickBot="1">
      <c r="A214" s="39" t="s">
        <v>521</v>
      </c>
      <c r="B214" s="44" t="s">
        <v>522</v>
      </c>
      <c r="C214" s="122">
        <v>2017.2712600000002</v>
      </c>
      <c r="D214" s="123">
        <f>C214/C212</f>
        <v>1</v>
      </c>
      <c r="E214" s="120">
        <f t="shared" si="126"/>
        <v>-1</v>
      </c>
      <c r="F214" s="19">
        <f t="shared" si="127"/>
        <v>-2017.2712600000002</v>
      </c>
      <c r="G214" s="122">
        <v>0</v>
      </c>
      <c r="H214" s="123">
        <f>G214/G212</f>
        <v>0</v>
      </c>
      <c r="I214" s="120" t="e">
        <f t="shared" si="128"/>
        <v>#DIV/0!</v>
      </c>
      <c r="J214" s="19">
        <f t="shared" si="129"/>
        <v>67.501</v>
      </c>
      <c r="K214" s="63">
        <v>67.501</v>
      </c>
      <c r="L214" s="123"/>
      <c r="M214" s="120">
        <f t="shared" si="130"/>
        <v>-1</v>
      </c>
      <c r="N214" s="19">
        <f t="shared" si="131"/>
        <v>-67.501</v>
      </c>
      <c r="O214" s="63">
        <v>0</v>
      </c>
      <c r="P214" s="123"/>
      <c r="Q214" s="121" t="e">
        <f t="shared" si="132"/>
        <v>#DIV/0!</v>
      </c>
      <c r="R214" s="121">
        <v>0.06</v>
      </c>
      <c r="S214" s="121">
        <v>0.08</v>
      </c>
      <c r="T214" s="137">
        <f>(O214*R214)+O214</f>
        <v>0</v>
      </c>
      <c r="U214" s="137">
        <f t="shared" si="139"/>
        <v>0</v>
      </c>
      <c r="V214" s="137">
        <f t="shared" si="139"/>
        <v>0</v>
      </c>
      <c r="W214" s="137">
        <f>(V214*S214)+V214</f>
        <v>0</v>
      </c>
      <c r="X214" s="137">
        <f>(W214*S214)+W214</f>
        <v>0</v>
      </c>
      <c r="Y214" s="137">
        <f>(X214*S214)+X214</f>
        <v>0</v>
      </c>
      <c r="Z214" s="137">
        <f>(Y214*S214)+Y214</f>
        <v>0</v>
      </c>
      <c r="AA214" s="137">
        <f>(Z214*S214)+Z214</f>
        <v>0</v>
      </c>
      <c r="AB214" s="61">
        <f>(AA214*S214)+AA214</f>
        <v>0</v>
      </c>
    </row>
    <row r="215" spans="1:28" ht="14.25">
      <c r="A215" s="34"/>
      <c r="B215" s="60" t="s">
        <v>486</v>
      </c>
      <c r="C215" s="122">
        <v>0</v>
      </c>
      <c r="D215" s="123">
        <f>C215/C212</f>
        <v>0</v>
      </c>
      <c r="E215" s="120" t="e">
        <f t="shared" si="126"/>
        <v>#DIV/0!</v>
      </c>
      <c r="F215" s="19">
        <f t="shared" si="127"/>
        <v>18.86731</v>
      </c>
      <c r="G215" s="122">
        <v>18.86731</v>
      </c>
      <c r="H215" s="123">
        <f>G215/G212</f>
        <v>1</v>
      </c>
      <c r="I215" s="120">
        <f t="shared" si="128"/>
        <v>-1</v>
      </c>
      <c r="J215" s="19">
        <f t="shared" si="129"/>
        <v>-18.86731</v>
      </c>
      <c r="K215" s="63">
        <v>0</v>
      </c>
      <c r="L215" s="123"/>
      <c r="M215" s="120" t="e">
        <f t="shared" si="130"/>
        <v>#DIV/0!</v>
      </c>
      <c r="N215" s="19">
        <f t="shared" si="131"/>
        <v>0</v>
      </c>
      <c r="O215" s="63">
        <v>0</v>
      </c>
      <c r="P215" s="123"/>
      <c r="Q215" s="121" t="e">
        <f t="shared" si="132"/>
        <v>#DIV/0!</v>
      </c>
      <c r="R215" s="121">
        <v>0.06</v>
      </c>
      <c r="S215" s="121">
        <v>0.08</v>
      </c>
      <c r="T215" s="137">
        <f>(O215*R215)+O215</f>
        <v>0</v>
      </c>
      <c r="U215" s="137">
        <f t="shared" si="139"/>
        <v>0</v>
      </c>
      <c r="V215" s="137">
        <f t="shared" si="139"/>
        <v>0</v>
      </c>
      <c r="W215" s="137">
        <f>(V215*S215)+V215</f>
        <v>0</v>
      </c>
      <c r="X215" s="137">
        <f>(W215*S215)+W215</f>
        <v>0</v>
      </c>
      <c r="Y215" s="137">
        <f>(X215*S215)+X215</f>
        <v>0</v>
      </c>
      <c r="Z215" s="137">
        <f>(Y215*S215)+Y215</f>
        <v>0</v>
      </c>
      <c r="AA215" s="137">
        <f>(Z215*S215)+Z215</f>
        <v>0</v>
      </c>
      <c r="AB215" s="61">
        <f>(AA215*S215)+AA215</f>
        <v>0</v>
      </c>
    </row>
    <row r="216" spans="1:28" ht="15.75">
      <c r="A216" s="53">
        <v>1.4</v>
      </c>
      <c r="B216" s="234" t="s">
        <v>523</v>
      </c>
      <c r="C216" s="24">
        <f>SUM(C217+C245+C248+C287+C289+C293+C302)</f>
        <v>1613988.27962</v>
      </c>
      <c r="D216" s="20">
        <f>C216/C4</f>
        <v>0.11366869332522946</v>
      </c>
      <c r="E216" s="120">
        <f t="shared" si="126"/>
        <v>0.34375420192681116</v>
      </c>
      <c r="F216" s="19">
        <f t="shared" si="127"/>
        <v>554815.2529800001</v>
      </c>
      <c r="G216" s="24">
        <f>SUM(G217+G245+G248+G287+G289+G293+G302)</f>
        <v>2168803.5326</v>
      </c>
      <c r="H216" s="20">
        <f>G216/G4</f>
        <v>0.11898241788793078</v>
      </c>
      <c r="I216" s="120">
        <f t="shared" si="128"/>
        <v>-0.5838835100254115</v>
      </c>
      <c r="J216" s="19">
        <f t="shared" si="129"/>
        <v>-1266328.6191699998</v>
      </c>
      <c r="K216" s="25">
        <f>SUM(K217+K245+K248+K287+K289+K293+K302)</f>
        <v>902474.9134300001</v>
      </c>
      <c r="L216" s="20"/>
      <c r="M216" s="120">
        <f t="shared" si="130"/>
        <v>-0.7284556098422694</v>
      </c>
      <c r="N216" s="19">
        <f t="shared" si="131"/>
        <v>-657412.9134300001</v>
      </c>
      <c r="O216" s="25">
        <f>SUM(O217+O245+O248+O287+O289+O293+O302)</f>
        <v>245062</v>
      </c>
      <c r="P216" s="20"/>
      <c r="Q216" s="121">
        <f t="shared" si="132"/>
        <v>-0.32286163931362327</v>
      </c>
      <c r="R216" s="121"/>
      <c r="S216" s="121">
        <v>0.08</v>
      </c>
      <c r="T216" s="25">
        <f aca="true" t="shared" si="140" ref="T216:AB216">SUM(T217+T245+T248+T287+T289+T293+T302)</f>
        <v>245062</v>
      </c>
      <c r="U216" s="25">
        <f t="shared" si="140"/>
        <v>245062</v>
      </c>
      <c r="V216" s="25">
        <f t="shared" si="140"/>
        <v>245062</v>
      </c>
      <c r="W216" s="25">
        <f t="shared" si="140"/>
        <v>245062</v>
      </c>
      <c r="X216" s="25">
        <f t="shared" si="140"/>
        <v>245062</v>
      </c>
      <c r="Y216" s="25">
        <f t="shared" si="140"/>
        <v>245062</v>
      </c>
      <c r="Z216" s="25">
        <f t="shared" si="140"/>
        <v>245062</v>
      </c>
      <c r="AA216" s="25">
        <f t="shared" si="140"/>
        <v>245062</v>
      </c>
      <c r="AB216" s="25">
        <f t="shared" si="140"/>
        <v>245062</v>
      </c>
    </row>
    <row r="217" spans="1:28" ht="14.25">
      <c r="A217" s="64" t="s">
        <v>524</v>
      </c>
      <c r="B217" s="65" t="s">
        <v>525</v>
      </c>
      <c r="C217" s="24">
        <f>SUM(C218+C219+C223+C243)</f>
        <v>263754</v>
      </c>
      <c r="D217" s="232">
        <f>C217/C216</f>
        <v>0.1634175435661148</v>
      </c>
      <c r="E217" s="120">
        <f t="shared" si="126"/>
        <v>-0.3561930539062915</v>
      </c>
      <c r="F217" s="19">
        <f t="shared" si="127"/>
        <v>-93947.34274000002</v>
      </c>
      <c r="G217" s="24">
        <f>SUM(G218+G219+G223+G243)</f>
        <v>169806.65725999998</v>
      </c>
      <c r="H217" s="232">
        <f>G217/G216</f>
        <v>0.07829508515067418</v>
      </c>
      <c r="I217" s="120">
        <f t="shared" si="128"/>
        <v>0.8862923584295286</v>
      </c>
      <c r="J217" s="19">
        <f t="shared" si="129"/>
        <v>150498.34274000002</v>
      </c>
      <c r="K217" s="25">
        <f>SUM(K218+K219+K223+K243)</f>
        <v>320305</v>
      </c>
      <c r="L217" s="20"/>
      <c r="M217" s="120">
        <f t="shared" si="130"/>
        <v>-1</v>
      </c>
      <c r="N217" s="19">
        <f t="shared" si="131"/>
        <v>-320305</v>
      </c>
      <c r="O217" s="25">
        <f>SUM(O218+O219+O223+O243)</f>
        <v>0</v>
      </c>
      <c r="P217" s="20"/>
      <c r="Q217" s="121">
        <f t="shared" si="132"/>
        <v>-0.156633565158921</v>
      </c>
      <c r="R217" s="121"/>
      <c r="S217" s="121">
        <v>0.08</v>
      </c>
      <c r="T217" s="25">
        <f aca="true" t="shared" si="141" ref="T217:AB217">SUM(T218+T219+T223+T243)</f>
        <v>0</v>
      </c>
      <c r="U217" s="25">
        <f t="shared" si="141"/>
        <v>0</v>
      </c>
      <c r="V217" s="25">
        <f t="shared" si="141"/>
        <v>0</v>
      </c>
      <c r="W217" s="25">
        <f t="shared" si="141"/>
        <v>0</v>
      </c>
      <c r="X217" s="25">
        <f t="shared" si="141"/>
        <v>0</v>
      </c>
      <c r="Y217" s="25">
        <f t="shared" si="141"/>
        <v>0</v>
      </c>
      <c r="Z217" s="25">
        <f t="shared" si="141"/>
        <v>0</v>
      </c>
      <c r="AA217" s="25">
        <f t="shared" si="141"/>
        <v>0</v>
      </c>
      <c r="AB217" s="25">
        <f t="shared" si="141"/>
        <v>0</v>
      </c>
    </row>
    <row r="218" spans="1:28" ht="15">
      <c r="A218" s="34" t="s">
        <v>526</v>
      </c>
      <c r="B218" s="29" t="s">
        <v>527</v>
      </c>
      <c r="C218" s="37">
        <v>7503</v>
      </c>
      <c r="D218" s="38">
        <f>C218/C217</f>
        <v>0.028446961941809415</v>
      </c>
      <c r="E218" s="120">
        <f t="shared" si="126"/>
        <v>-1</v>
      </c>
      <c r="F218" s="19">
        <f t="shared" si="127"/>
        <v>-7503</v>
      </c>
      <c r="G218" s="37">
        <v>0</v>
      </c>
      <c r="H218" s="38">
        <f>G218/G217</f>
        <v>0</v>
      </c>
      <c r="I218" s="120" t="e">
        <f t="shared" si="128"/>
        <v>#DIV/0!</v>
      </c>
      <c r="J218" s="19">
        <f t="shared" si="129"/>
        <v>0</v>
      </c>
      <c r="K218" s="63">
        <v>0</v>
      </c>
      <c r="L218" s="38"/>
      <c r="M218" s="120" t="e">
        <f t="shared" si="130"/>
        <v>#DIV/0!</v>
      </c>
      <c r="N218" s="19">
        <f t="shared" si="131"/>
        <v>0</v>
      </c>
      <c r="O218" s="31">
        <v>0</v>
      </c>
      <c r="P218" s="38"/>
      <c r="Q218" s="121" t="e">
        <f t="shared" si="132"/>
        <v>#DIV/0!</v>
      </c>
      <c r="R218" s="121"/>
      <c r="S218" s="121">
        <v>0.08</v>
      </c>
      <c r="T218" s="61">
        <f>(O218*R218)+O218</f>
        <v>0</v>
      </c>
      <c r="U218" s="61">
        <f>(T218*R218)+T218</f>
        <v>0</v>
      </c>
      <c r="V218" s="61">
        <f>(U218*R218)+U218</f>
        <v>0</v>
      </c>
      <c r="W218" s="61">
        <f>(V218*R218)+V218</f>
        <v>0</v>
      </c>
      <c r="X218" s="61">
        <f>(W218*R218)+W218</f>
        <v>0</v>
      </c>
      <c r="Y218" s="61">
        <f>(X218*R218)+X218</f>
        <v>0</v>
      </c>
      <c r="Z218" s="61">
        <f>(Y218*R218)+Y218</f>
        <v>0</v>
      </c>
      <c r="AA218" s="61">
        <f>(Z218*R218)+Z218</f>
        <v>0</v>
      </c>
      <c r="AB218" s="61">
        <f>(AA218*R218)+AA218</f>
        <v>0</v>
      </c>
    </row>
    <row r="219" spans="1:28" ht="15.75">
      <c r="A219" s="34" t="s">
        <v>528</v>
      </c>
      <c r="B219" s="23" t="s">
        <v>529</v>
      </c>
      <c r="C219" s="24">
        <f>SUM(C221+C220)</f>
        <v>251267</v>
      </c>
      <c r="D219" s="225">
        <f>C219/C217</f>
        <v>0.9526566421741471</v>
      </c>
      <c r="E219" s="120">
        <f t="shared" si="126"/>
        <v>-0.9602016977955721</v>
      </c>
      <c r="F219" s="19">
        <f t="shared" si="127"/>
        <v>-241267</v>
      </c>
      <c r="G219" s="24">
        <f>SUM(G221+G220)</f>
        <v>10000</v>
      </c>
      <c r="H219" s="225">
        <f>G219/G217</f>
        <v>0.05889050618721308</v>
      </c>
      <c r="I219" s="120">
        <f t="shared" si="128"/>
        <v>3.5153999999999996</v>
      </c>
      <c r="J219" s="19">
        <f t="shared" si="129"/>
        <v>35154</v>
      </c>
      <c r="K219" s="25">
        <f>SUM(K221+K220)</f>
        <v>45154</v>
      </c>
      <c r="L219" s="20"/>
      <c r="M219" s="120">
        <f t="shared" si="130"/>
        <v>-1</v>
      </c>
      <c r="N219" s="19">
        <f t="shared" si="131"/>
        <v>-45154</v>
      </c>
      <c r="O219" s="25">
        <f>SUM(O221+O220)</f>
        <v>0</v>
      </c>
      <c r="P219" s="20"/>
      <c r="Q219" s="121">
        <f t="shared" si="132"/>
        <v>0.5183994340681425</v>
      </c>
      <c r="R219" s="121"/>
      <c r="S219" s="121">
        <v>0.08</v>
      </c>
      <c r="T219" s="25">
        <f aca="true" t="shared" si="142" ref="T219:AB219">SUM(T221+T220)</f>
        <v>0</v>
      </c>
      <c r="U219" s="25">
        <f t="shared" si="142"/>
        <v>0</v>
      </c>
      <c r="V219" s="25">
        <f t="shared" si="142"/>
        <v>0</v>
      </c>
      <c r="W219" s="25">
        <f t="shared" si="142"/>
        <v>0</v>
      </c>
      <c r="X219" s="25">
        <f t="shared" si="142"/>
        <v>0</v>
      </c>
      <c r="Y219" s="25">
        <f t="shared" si="142"/>
        <v>0</v>
      </c>
      <c r="Z219" s="25">
        <f t="shared" si="142"/>
        <v>0</v>
      </c>
      <c r="AA219" s="25">
        <f t="shared" si="142"/>
        <v>0</v>
      </c>
      <c r="AB219" s="25">
        <f t="shared" si="142"/>
        <v>0</v>
      </c>
    </row>
    <row r="220" spans="1:28" ht="14.25">
      <c r="A220" s="34"/>
      <c r="B220" s="60" t="s">
        <v>530</v>
      </c>
      <c r="C220" s="61">
        <v>251267</v>
      </c>
      <c r="D220" s="62">
        <f>C220/C219</f>
        <v>1</v>
      </c>
      <c r="E220" s="120">
        <f t="shared" si="126"/>
        <v>-0.9602016977955721</v>
      </c>
      <c r="F220" s="19">
        <f t="shared" si="127"/>
        <v>-241267</v>
      </c>
      <c r="G220" s="61">
        <v>10000</v>
      </c>
      <c r="H220" s="62">
        <f>G220/G219</f>
        <v>1</v>
      </c>
      <c r="I220" s="120">
        <f t="shared" si="128"/>
        <v>-1</v>
      </c>
      <c r="J220" s="19">
        <f t="shared" si="129"/>
        <v>-10000</v>
      </c>
      <c r="K220" s="63">
        <v>0</v>
      </c>
      <c r="L220" s="62"/>
      <c r="M220" s="120" t="e">
        <f t="shared" si="130"/>
        <v>#DIV/0!</v>
      </c>
      <c r="N220" s="19">
        <f t="shared" si="131"/>
        <v>0</v>
      </c>
      <c r="O220" s="63">
        <v>0</v>
      </c>
      <c r="P220" s="62"/>
      <c r="Q220" s="121" t="e">
        <f t="shared" si="132"/>
        <v>#DIV/0!</v>
      </c>
      <c r="R220" s="121">
        <v>0</v>
      </c>
      <c r="S220" s="121">
        <v>0.08</v>
      </c>
      <c r="T220" s="61">
        <f>(O220*R220)+O220</f>
        <v>0</v>
      </c>
      <c r="U220" s="61">
        <f>(T220*R220)+T220</f>
        <v>0</v>
      </c>
      <c r="V220" s="61">
        <f>(U220*R220)+U220</f>
        <v>0</v>
      </c>
      <c r="W220" s="61">
        <f>(V220*R220)+V220</f>
        <v>0</v>
      </c>
      <c r="X220" s="61">
        <f>(W220*R220)+W220</f>
        <v>0</v>
      </c>
      <c r="Y220" s="61">
        <f>(X220*R220)+X220</f>
        <v>0</v>
      </c>
      <c r="Z220" s="61">
        <f>(Y220*R220)+Y220</f>
        <v>0</v>
      </c>
      <c r="AA220" s="61">
        <f>(Z220*R220)+Z220</f>
        <v>0</v>
      </c>
      <c r="AB220" s="61">
        <f>(AA220*R220)+AA220</f>
        <v>0</v>
      </c>
    </row>
    <row r="221" spans="1:28" ht="15.75">
      <c r="A221" s="34" t="s">
        <v>531</v>
      </c>
      <c r="B221" s="23" t="s">
        <v>532</v>
      </c>
      <c r="C221" s="24">
        <f>SUM(C222)</f>
        <v>0</v>
      </c>
      <c r="D221" s="20"/>
      <c r="E221" s="120" t="e">
        <f t="shared" si="126"/>
        <v>#DIV/0!</v>
      </c>
      <c r="F221" s="19">
        <f t="shared" si="127"/>
        <v>0</v>
      </c>
      <c r="G221" s="24">
        <f>SUM(G222)</f>
        <v>0</v>
      </c>
      <c r="H221" s="20"/>
      <c r="I221" s="120" t="e">
        <f t="shared" si="128"/>
        <v>#DIV/0!</v>
      </c>
      <c r="J221" s="19">
        <f t="shared" si="129"/>
        <v>45154</v>
      </c>
      <c r="K221" s="25">
        <f>SUM(K222)</f>
        <v>45154</v>
      </c>
      <c r="L221" s="20"/>
      <c r="M221" s="120">
        <f t="shared" si="130"/>
        <v>-1</v>
      </c>
      <c r="N221" s="19">
        <f t="shared" si="131"/>
        <v>-45154</v>
      </c>
      <c r="O221" s="25">
        <f>SUM(O222)</f>
        <v>0</v>
      </c>
      <c r="P221" s="20"/>
      <c r="Q221" s="121" t="e">
        <f t="shared" si="132"/>
        <v>#DIV/0!</v>
      </c>
      <c r="R221" s="121"/>
      <c r="S221" s="121">
        <v>0.08</v>
      </c>
      <c r="T221" s="25">
        <f aca="true" t="shared" si="143" ref="T221:AB221">SUM(T222)</f>
        <v>0</v>
      </c>
      <c r="U221" s="25">
        <f t="shared" si="143"/>
        <v>0</v>
      </c>
      <c r="V221" s="25">
        <f t="shared" si="143"/>
        <v>0</v>
      </c>
      <c r="W221" s="25">
        <f t="shared" si="143"/>
        <v>0</v>
      </c>
      <c r="X221" s="25">
        <f t="shared" si="143"/>
        <v>0</v>
      </c>
      <c r="Y221" s="25">
        <f t="shared" si="143"/>
        <v>0</v>
      </c>
      <c r="Z221" s="25">
        <f t="shared" si="143"/>
        <v>0</v>
      </c>
      <c r="AA221" s="25">
        <f t="shared" si="143"/>
        <v>0</v>
      </c>
      <c r="AB221" s="25">
        <f t="shared" si="143"/>
        <v>0</v>
      </c>
    </row>
    <row r="222" spans="1:28" ht="15">
      <c r="A222" s="34" t="s">
        <v>533</v>
      </c>
      <c r="B222" s="29" t="s">
        <v>534</v>
      </c>
      <c r="C222" s="37">
        <v>0</v>
      </c>
      <c r="D222" s="38"/>
      <c r="E222" s="120" t="e">
        <f t="shared" si="126"/>
        <v>#DIV/0!</v>
      </c>
      <c r="F222" s="19">
        <f t="shared" si="127"/>
        <v>0</v>
      </c>
      <c r="G222" s="37">
        <v>0</v>
      </c>
      <c r="H222" s="38"/>
      <c r="I222" s="120" t="e">
        <f t="shared" si="128"/>
        <v>#DIV/0!</v>
      </c>
      <c r="J222" s="19">
        <f t="shared" si="129"/>
        <v>45154</v>
      </c>
      <c r="K222" s="63">
        <v>45154</v>
      </c>
      <c r="L222" s="38"/>
      <c r="M222" s="120">
        <f t="shared" si="130"/>
        <v>-1</v>
      </c>
      <c r="N222" s="19">
        <f t="shared" si="131"/>
        <v>-45154</v>
      </c>
      <c r="O222" s="31">
        <v>0</v>
      </c>
      <c r="P222" s="38"/>
      <c r="Q222" s="121" t="e">
        <f t="shared" si="132"/>
        <v>#DIV/0!</v>
      </c>
      <c r="R222" s="121">
        <v>0</v>
      </c>
      <c r="S222" s="121">
        <v>0.08</v>
      </c>
      <c r="T222" s="61">
        <f>(O222*R222)+O222</f>
        <v>0</v>
      </c>
      <c r="U222" s="61">
        <f>(T222*R222)+T222</f>
        <v>0</v>
      </c>
      <c r="V222" s="61">
        <f>(U222*R222)+U222</f>
        <v>0</v>
      </c>
      <c r="W222" s="61">
        <f>(V222*R222)+V222</f>
        <v>0</v>
      </c>
      <c r="X222" s="61">
        <f>(W222*R222)+W222</f>
        <v>0</v>
      </c>
      <c r="Y222" s="61">
        <f>(X222*R222)+X222</f>
        <v>0</v>
      </c>
      <c r="Z222" s="61">
        <f>(Y222*R222)+Y222</f>
        <v>0</v>
      </c>
      <c r="AA222" s="61">
        <f>(Z222*R222)+Z222</f>
        <v>0</v>
      </c>
      <c r="AB222" s="61">
        <f>(AA222*R222)+AA222</f>
        <v>0</v>
      </c>
    </row>
    <row r="223" spans="1:28" ht="15.75">
      <c r="A223" s="34" t="s">
        <v>535</v>
      </c>
      <c r="B223" s="23" t="s">
        <v>536</v>
      </c>
      <c r="C223" s="24">
        <f>SUM(C224+C225+C233+C234+C235+C236+C237+C238+C239+C240+C241)</f>
        <v>0</v>
      </c>
      <c r="D223" s="225">
        <f>C223/C217</f>
        <v>0</v>
      </c>
      <c r="E223" s="120" t="e">
        <f t="shared" si="126"/>
        <v>#DIV/0!</v>
      </c>
      <c r="F223" s="19">
        <f t="shared" si="127"/>
        <v>152621.65725999998</v>
      </c>
      <c r="G223" s="24">
        <f>SUM(G224+G225+G233+G234+G235+G236+G237+G238+G239+G240+G241)</f>
        <v>152621.65725999998</v>
      </c>
      <c r="H223" s="225">
        <f>G223/G217</f>
        <v>0.8987966651172743</v>
      </c>
      <c r="I223" s="120">
        <f t="shared" si="128"/>
        <v>0.5912158494405804</v>
      </c>
      <c r="J223" s="19">
        <f t="shared" si="129"/>
        <v>90232.34274000002</v>
      </c>
      <c r="K223" s="25">
        <f>SUM(K224+K225+K233+K234+K235+K236+K237+K238+K239+K240+K241)</f>
        <v>242854</v>
      </c>
      <c r="L223" s="20"/>
      <c r="M223" s="120">
        <f t="shared" si="130"/>
        <v>-1</v>
      </c>
      <c r="N223" s="19">
        <f t="shared" si="131"/>
        <v>-242854</v>
      </c>
      <c r="O223" s="25">
        <f>SUM(O224+O225+O233+O234+O235+O236+O237+O238+O239+O240+O241)</f>
        <v>0</v>
      </c>
      <c r="P223" s="20"/>
      <c r="Q223" s="121" t="e">
        <f t="shared" si="132"/>
        <v>#DIV/0!</v>
      </c>
      <c r="R223" s="121"/>
      <c r="S223" s="121">
        <v>0.08</v>
      </c>
      <c r="T223" s="25">
        <f aca="true" t="shared" si="144" ref="T223:AB223">SUM(T224+T225+T233+T234+T235+T236+T237+T238+T239+T240+T241)</f>
        <v>0</v>
      </c>
      <c r="U223" s="25">
        <f t="shared" si="144"/>
        <v>0</v>
      </c>
      <c r="V223" s="25">
        <f t="shared" si="144"/>
        <v>0</v>
      </c>
      <c r="W223" s="25">
        <f t="shared" si="144"/>
        <v>0</v>
      </c>
      <c r="X223" s="25">
        <f t="shared" si="144"/>
        <v>0</v>
      </c>
      <c r="Y223" s="25">
        <f t="shared" si="144"/>
        <v>0</v>
      </c>
      <c r="Z223" s="25">
        <f t="shared" si="144"/>
        <v>0</v>
      </c>
      <c r="AA223" s="25">
        <f t="shared" si="144"/>
        <v>0</v>
      </c>
      <c r="AB223" s="25">
        <f t="shared" si="144"/>
        <v>0</v>
      </c>
    </row>
    <row r="224" spans="1:28" ht="15">
      <c r="A224" s="34" t="s">
        <v>537</v>
      </c>
      <c r="B224" s="29" t="s">
        <v>538</v>
      </c>
      <c r="C224" s="37">
        <v>0</v>
      </c>
      <c r="D224" s="38">
        <v>0</v>
      </c>
      <c r="E224" s="120" t="e">
        <f t="shared" si="126"/>
        <v>#DIV/0!</v>
      </c>
      <c r="F224" s="19">
        <f t="shared" si="127"/>
        <v>0</v>
      </c>
      <c r="G224" s="37">
        <v>0</v>
      </c>
      <c r="H224" s="38">
        <f>G224/G223</f>
        <v>0</v>
      </c>
      <c r="I224" s="120" t="e">
        <f t="shared" si="128"/>
        <v>#DIV/0!</v>
      </c>
      <c r="J224" s="19">
        <f t="shared" si="129"/>
        <v>5901</v>
      </c>
      <c r="K224" s="63">
        <v>5901</v>
      </c>
      <c r="L224" s="38"/>
      <c r="M224" s="120">
        <f t="shared" si="130"/>
        <v>-1</v>
      </c>
      <c r="N224" s="19">
        <f t="shared" si="131"/>
        <v>-5901</v>
      </c>
      <c r="O224" s="31">
        <v>0</v>
      </c>
      <c r="P224" s="38"/>
      <c r="Q224" s="121" t="e">
        <f t="shared" si="132"/>
        <v>#DIV/0!</v>
      </c>
      <c r="R224" s="121"/>
      <c r="S224" s="121">
        <v>0.08</v>
      </c>
      <c r="T224" s="61">
        <f>(O224*R224)+O224</f>
        <v>0</v>
      </c>
      <c r="U224" s="61">
        <f>(T224*R224)+T224</f>
        <v>0</v>
      </c>
      <c r="V224" s="61">
        <f>(U224*R224)+U224</f>
        <v>0</v>
      </c>
      <c r="W224" s="61">
        <f>(V224*R224)+V224</f>
        <v>0</v>
      </c>
      <c r="X224" s="61">
        <f>(W224*R224)+W224</f>
        <v>0</v>
      </c>
      <c r="Y224" s="61">
        <f>(X224*R224)+X224</f>
        <v>0</v>
      </c>
      <c r="Z224" s="61">
        <f>(Y224*R224)+Y224</f>
        <v>0</v>
      </c>
      <c r="AA224" s="61">
        <f>(Z224*R224)+Z224</f>
        <v>0</v>
      </c>
      <c r="AB224" s="61">
        <f>(AA224*R224)+AA224</f>
        <v>0</v>
      </c>
    </row>
    <row r="225" spans="1:28" ht="15.75">
      <c r="A225" s="34" t="s">
        <v>539</v>
      </c>
      <c r="B225" s="23" t="s">
        <v>540</v>
      </c>
      <c r="C225" s="24">
        <f>SUM(C226:C228)</f>
        <v>0</v>
      </c>
      <c r="D225" s="20"/>
      <c r="E225" s="120" t="e">
        <f t="shared" si="126"/>
        <v>#DIV/0!</v>
      </c>
      <c r="F225" s="19">
        <f t="shared" si="127"/>
        <v>152621.65725999998</v>
      </c>
      <c r="G225" s="24">
        <f>SUM(G226:G228)</f>
        <v>152621.65725999998</v>
      </c>
      <c r="H225" s="20">
        <f>G225/G223</f>
        <v>1</v>
      </c>
      <c r="I225" s="120">
        <f t="shared" si="128"/>
        <v>0.46962104872114296</v>
      </c>
      <c r="J225" s="19">
        <f t="shared" si="129"/>
        <v>71674.34274000002</v>
      </c>
      <c r="K225" s="25">
        <f>SUM(K226:K228)</f>
        <v>224296</v>
      </c>
      <c r="L225" s="20"/>
      <c r="M225" s="120">
        <f t="shared" si="130"/>
        <v>-1</v>
      </c>
      <c r="N225" s="19">
        <f t="shared" si="131"/>
        <v>-224296</v>
      </c>
      <c r="O225" s="25">
        <f>SUM(O226:O228)</f>
        <v>0</v>
      </c>
      <c r="P225" s="20"/>
      <c r="Q225" s="121" t="e">
        <f t="shared" si="132"/>
        <v>#DIV/0!</v>
      </c>
      <c r="R225" s="121"/>
      <c r="S225" s="121">
        <v>0.08</v>
      </c>
      <c r="T225" s="25">
        <f aca="true" t="shared" si="145" ref="T225:AB225">SUM(T226:T228)</f>
        <v>0</v>
      </c>
      <c r="U225" s="25">
        <f t="shared" si="145"/>
        <v>0</v>
      </c>
      <c r="V225" s="25">
        <f t="shared" si="145"/>
        <v>0</v>
      </c>
      <c r="W225" s="25">
        <f t="shared" si="145"/>
        <v>0</v>
      </c>
      <c r="X225" s="25">
        <f t="shared" si="145"/>
        <v>0</v>
      </c>
      <c r="Y225" s="25">
        <f t="shared" si="145"/>
        <v>0</v>
      </c>
      <c r="Z225" s="25">
        <f t="shared" si="145"/>
        <v>0</v>
      </c>
      <c r="AA225" s="25">
        <f t="shared" si="145"/>
        <v>0</v>
      </c>
      <c r="AB225" s="25">
        <f t="shared" si="145"/>
        <v>0</v>
      </c>
    </row>
    <row r="226" spans="1:28" ht="15">
      <c r="A226" s="34" t="s">
        <v>541</v>
      </c>
      <c r="B226" s="29" t="s">
        <v>542</v>
      </c>
      <c r="C226" s="37">
        <v>0</v>
      </c>
      <c r="D226" s="38"/>
      <c r="E226" s="120" t="e">
        <f t="shared" si="126"/>
        <v>#DIV/0!</v>
      </c>
      <c r="F226" s="19">
        <f t="shared" si="127"/>
        <v>1736.2979999999989</v>
      </c>
      <c r="G226" s="117">
        <v>1736.2979999999989</v>
      </c>
      <c r="H226" s="38">
        <f>G226/G225</f>
        <v>0.011376485036079204</v>
      </c>
      <c r="I226" s="120">
        <f t="shared" si="128"/>
        <v>-1</v>
      </c>
      <c r="J226" s="19">
        <f t="shared" si="129"/>
        <v>-1736.2979999999989</v>
      </c>
      <c r="K226" s="63">
        <v>0</v>
      </c>
      <c r="L226" s="38"/>
      <c r="M226" s="120" t="e">
        <f t="shared" si="130"/>
        <v>#DIV/0!</v>
      </c>
      <c r="N226" s="19">
        <f t="shared" si="131"/>
        <v>0</v>
      </c>
      <c r="O226" s="31">
        <v>0</v>
      </c>
      <c r="P226" s="38"/>
      <c r="Q226" s="121" t="e">
        <f t="shared" si="132"/>
        <v>#DIV/0!</v>
      </c>
      <c r="R226" s="121"/>
      <c r="S226" s="121">
        <v>0.08</v>
      </c>
      <c r="T226" s="61">
        <f>(O226*R226)+O226</f>
        <v>0</v>
      </c>
      <c r="U226" s="61">
        <f>(T226*R226)+T226</f>
        <v>0</v>
      </c>
      <c r="V226" s="61">
        <f>(U226*R226)+U226</f>
        <v>0</v>
      </c>
      <c r="W226" s="61">
        <f>(V226*R226)+V226</f>
        <v>0</v>
      </c>
      <c r="X226" s="61">
        <f>(W226*R226)+W226</f>
        <v>0</v>
      </c>
      <c r="Y226" s="61">
        <f>(X226*R226)+X226</f>
        <v>0</v>
      </c>
      <c r="Z226" s="61">
        <f>(Y226*R226)+Y226</f>
        <v>0</v>
      </c>
      <c r="AA226" s="61">
        <f>(Z226*R226)+Z226</f>
        <v>0</v>
      </c>
      <c r="AB226" s="61">
        <f>(AA226*R226)+AA226</f>
        <v>0</v>
      </c>
    </row>
    <row r="227" spans="1:28" ht="15">
      <c r="A227" s="34" t="s">
        <v>543</v>
      </c>
      <c r="B227" s="29" t="s">
        <v>544</v>
      </c>
      <c r="C227" s="37">
        <v>0</v>
      </c>
      <c r="D227" s="38"/>
      <c r="E227" s="120" t="e">
        <f t="shared" si="126"/>
        <v>#DIV/0!</v>
      </c>
      <c r="F227" s="19">
        <f t="shared" si="127"/>
        <v>91165.992</v>
      </c>
      <c r="G227" s="117">
        <v>91165.992</v>
      </c>
      <c r="H227" s="38">
        <f>G227/G225</f>
        <v>0.597333259490777</v>
      </c>
      <c r="I227" s="120">
        <f t="shared" si="128"/>
        <v>-1</v>
      </c>
      <c r="J227" s="19">
        <f t="shared" si="129"/>
        <v>-91165.992</v>
      </c>
      <c r="K227" s="63">
        <v>0</v>
      </c>
      <c r="L227" s="38"/>
      <c r="M227" s="120" t="e">
        <f t="shared" si="130"/>
        <v>#DIV/0!</v>
      </c>
      <c r="N227" s="19">
        <f t="shared" si="131"/>
        <v>0</v>
      </c>
      <c r="O227" s="31">
        <v>0</v>
      </c>
      <c r="P227" s="38"/>
      <c r="Q227" s="121" t="e">
        <f t="shared" si="132"/>
        <v>#DIV/0!</v>
      </c>
      <c r="R227" s="121"/>
      <c r="S227" s="121">
        <v>0.08</v>
      </c>
      <c r="T227" s="61">
        <f>(O227*R227)+O227</f>
        <v>0</v>
      </c>
      <c r="U227" s="61">
        <f>(T227*R227)+T227</f>
        <v>0</v>
      </c>
      <c r="V227" s="61">
        <f>(U227*R227)+U227</f>
        <v>0</v>
      </c>
      <c r="W227" s="61">
        <f>(V227*R227)+V227</f>
        <v>0</v>
      </c>
      <c r="X227" s="61">
        <f>(W227*R227)+W227</f>
        <v>0</v>
      </c>
      <c r="Y227" s="61">
        <f>(X227*R227)+X227</f>
        <v>0</v>
      </c>
      <c r="Z227" s="61">
        <f>(Y227*R227)+Y227</f>
        <v>0</v>
      </c>
      <c r="AA227" s="61">
        <f>(Z227*R227)+Z227</f>
        <v>0</v>
      </c>
      <c r="AB227" s="61">
        <f>(AA227*R227)+AA227</f>
        <v>0</v>
      </c>
    </row>
    <row r="228" spans="1:28" ht="15.75">
      <c r="A228" s="33" t="s">
        <v>545</v>
      </c>
      <c r="B228" s="23" t="s">
        <v>546</v>
      </c>
      <c r="C228" s="24">
        <f>SUM(C229:C232)</f>
        <v>0</v>
      </c>
      <c r="D228" s="20"/>
      <c r="E228" s="120" t="e">
        <f t="shared" si="126"/>
        <v>#DIV/0!</v>
      </c>
      <c r="F228" s="19">
        <f t="shared" si="127"/>
        <v>59719.36725999999</v>
      </c>
      <c r="G228" s="24">
        <f>SUM(G229:G232)</f>
        <v>59719.36725999999</v>
      </c>
      <c r="H228" s="20">
        <f>G228/G225</f>
        <v>0.39129025547314383</v>
      </c>
      <c r="I228" s="120">
        <f t="shared" si="128"/>
        <v>2.7558334974227594</v>
      </c>
      <c r="J228" s="19">
        <f t="shared" si="129"/>
        <v>164576.63274</v>
      </c>
      <c r="K228" s="25">
        <f>SUM(K229:K232)</f>
        <v>224296</v>
      </c>
      <c r="L228" s="20"/>
      <c r="M228" s="120">
        <f t="shared" si="130"/>
        <v>-1</v>
      </c>
      <c r="N228" s="19">
        <f t="shared" si="131"/>
        <v>-224296</v>
      </c>
      <c r="O228" s="25">
        <f>SUM(O229:O232)</f>
        <v>0</v>
      </c>
      <c r="P228" s="20"/>
      <c r="Q228" s="121" t="e">
        <f t="shared" si="132"/>
        <v>#DIV/0!</v>
      </c>
      <c r="R228" s="121"/>
      <c r="S228" s="121">
        <v>0.08</v>
      </c>
      <c r="T228" s="25">
        <f aca="true" t="shared" si="146" ref="T228:AB228">SUM(T229:T232)</f>
        <v>0</v>
      </c>
      <c r="U228" s="25">
        <f t="shared" si="146"/>
        <v>0</v>
      </c>
      <c r="V228" s="25">
        <f t="shared" si="146"/>
        <v>0</v>
      </c>
      <c r="W228" s="25">
        <f t="shared" si="146"/>
        <v>0</v>
      </c>
      <c r="X228" s="25">
        <f t="shared" si="146"/>
        <v>0</v>
      </c>
      <c r="Y228" s="25">
        <f t="shared" si="146"/>
        <v>0</v>
      </c>
      <c r="Z228" s="25">
        <f t="shared" si="146"/>
        <v>0</v>
      </c>
      <c r="AA228" s="25">
        <f t="shared" si="146"/>
        <v>0</v>
      </c>
      <c r="AB228" s="25">
        <f t="shared" si="146"/>
        <v>0</v>
      </c>
    </row>
    <row r="229" spans="1:28" ht="15">
      <c r="A229" s="34" t="s">
        <v>547</v>
      </c>
      <c r="B229" s="29" t="s">
        <v>548</v>
      </c>
      <c r="C229" s="37">
        <v>0</v>
      </c>
      <c r="D229" s="38"/>
      <c r="E229" s="120" t="e">
        <f t="shared" si="126"/>
        <v>#DIV/0!</v>
      </c>
      <c r="F229" s="19">
        <f t="shared" si="127"/>
        <v>4493.0882599999995</v>
      </c>
      <c r="G229" s="117">
        <v>4493.0882599999995</v>
      </c>
      <c r="H229" s="38">
        <f>G229/G228</f>
        <v>0.07523670236555685</v>
      </c>
      <c r="I229" s="120">
        <f t="shared" si="128"/>
        <v>35.50340044733508</v>
      </c>
      <c r="J229" s="19">
        <f t="shared" si="129"/>
        <v>159519.91174</v>
      </c>
      <c r="K229" s="63">
        <v>164013</v>
      </c>
      <c r="L229" s="38"/>
      <c r="M229" s="120">
        <f t="shared" si="130"/>
        <v>-1</v>
      </c>
      <c r="N229" s="19">
        <f t="shared" si="131"/>
        <v>-164013</v>
      </c>
      <c r="O229" s="31">
        <v>0</v>
      </c>
      <c r="P229" s="38"/>
      <c r="Q229" s="121" t="e">
        <f t="shared" si="132"/>
        <v>#DIV/0!</v>
      </c>
      <c r="R229" s="121"/>
      <c r="S229" s="121">
        <v>0.08</v>
      </c>
      <c r="T229" s="61">
        <f aca="true" t="shared" si="147" ref="T229:T242">(O229*R229)+O229</f>
        <v>0</v>
      </c>
      <c r="U229" s="61">
        <f aca="true" t="shared" si="148" ref="U229:U240">(T229*R229)+T229</f>
        <v>0</v>
      </c>
      <c r="V229" s="61">
        <f aca="true" t="shared" si="149" ref="V229:V240">(U229*R229)+U229</f>
        <v>0</v>
      </c>
      <c r="W229" s="61">
        <f aca="true" t="shared" si="150" ref="W229:W240">(V229*R229)+V229</f>
        <v>0</v>
      </c>
      <c r="X229" s="61">
        <f aca="true" t="shared" si="151" ref="X229:X240">(W229*R229)+W229</f>
        <v>0</v>
      </c>
      <c r="Y229" s="61">
        <f aca="true" t="shared" si="152" ref="Y229:Y240">(X229*R229)+X229</f>
        <v>0</v>
      </c>
      <c r="Z229" s="61">
        <f aca="true" t="shared" si="153" ref="Z229:Z240">(Y229*R229)+Y229</f>
        <v>0</v>
      </c>
      <c r="AA229" s="61">
        <f aca="true" t="shared" si="154" ref="AA229:AA240">(Z229*R229)+Z229</f>
        <v>0</v>
      </c>
      <c r="AB229" s="61">
        <f aca="true" t="shared" si="155" ref="AB229:AB240">(AA229*R229)+AA229</f>
        <v>0</v>
      </c>
    </row>
    <row r="230" spans="1:28" ht="15">
      <c r="A230" s="34" t="s">
        <v>549</v>
      </c>
      <c r="B230" s="29" t="s">
        <v>550</v>
      </c>
      <c r="C230" s="37">
        <v>0</v>
      </c>
      <c r="D230" s="38"/>
      <c r="E230" s="120" t="e">
        <f t="shared" si="126"/>
        <v>#DIV/0!</v>
      </c>
      <c r="F230" s="19">
        <f t="shared" si="127"/>
        <v>0</v>
      </c>
      <c r="G230" s="37">
        <v>0</v>
      </c>
      <c r="H230" s="38">
        <f>G230/G228</f>
        <v>0</v>
      </c>
      <c r="I230" s="120" t="e">
        <f t="shared" si="128"/>
        <v>#DIV/0!</v>
      </c>
      <c r="J230" s="19">
        <f t="shared" si="129"/>
        <v>7644</v>
      </c>
      <c r="K230" s="63">
        <v>7644</v>
      </c>
      <c r="L230" s="38"/>
      <c r="M230" s="120">
        <f t="shared" si="130"/>
        <v>-1</v>
      </c>
      <c r="N230" s="19">
        <f t="shared" si="131"/>
        <v>-7644</v>
      </c>
      <c r="O230" s="31">
        <v>0</v>
      </c>
      <c r="P230" s="38"/>
      <c r="Q230" s="121" t="e">
        <f t="shared" si="132"/>
        <v>#DIV/0!</v>
      </c>
      <c r="R230" s="121"/>
      <c r="S230" s="121">
        <v>0.08</v>
      </c>
      <c r="T230" s="61">
        <f t="shared" si="147"/>
        <v>0</v>
      </c>
      <c r="U230" s="61">
        <f t="shared" si="148"/>
        <v>0</v>
      </c>
      <c r="V230" s="61">
        <f t="shared" si="149"/>
        <v>0</v>
      </c>
      <c r="W230" s="61">
        <f t="shared" si="150"/>
        <v>0</v>
      </c>
      <c r="X230" s="61">
        <f t="shared" si="151"/>
        <v>0</v>
      </c>
      <c r="Y230" s="61">
        <f t="shared" si="152"/>
        <v>0</v>
      </c>
      <c r="Z230" s="61">
        <f t="shared" si="153"/>
        <v>0</v>
      </c>
      <c r="AA230" s="61">
        <f t="shared" si="154"/>
        <v>0</v>
      </c>
      <c r="AB230" s="61">
        <f t="shared" si="155"/>
        <v>0</v>
      </c>
    </row>
    <row r="231" spans="1:28" ht="15">
      <c r="A231" s="34" t="s">
        <v>551</v>
      </c>
      <c r="B231" s="29" t="s">
        <v>552</v>
      </c>
      <c r="C231" s="37">
        <v>0</v>
      </c>
      <c r="D231" s="38"/>
      <c r="E231" s="120" t="e">
        <f t="shared" si="126"/>
        <v>#DIV/0!</v>
      </c>
      <c r="F231" s="19">
        <f t="shared" si="127"/>
        <v>55226.278999999995</v>
      </c>
      <c r="G231" s="117">
        <v>55226.278999999995</v>
      </c>
      <c r="H231" s="38">
        <f>G231/G228</f>
        <v>0.9247632976344432</v>
      </c>
      <c r="I231" s="120">
        <f t="shared" si="128"/>
        <v>-1</v>
      </c>
      <c r="J231" s="19">
        <f t="shared" si="129"/>
        <v>-55226.278999999995</v>
      </c>
      <c r="K231" s="63">
        <v>0</v>
      </c>
      <c r="L231" s="38"/>
      <c r="M231" s="120" t="e">
        <f t="shared" si="130"/>
        <v>#DIV/0!</v>
      </c>
      <c r="N231" s="19">
        <f t="shared" si="131"/>
        <v>0</v>
      </c>
      <c r="O231" s="31">
        <v>0</v>
      </c>
      <c r="P231" s="38"/>
      <c r="Q231" s="121" t="e">
        <f t="shared" si="132"/>
        <v>#DIV/0!</v>
      </c>
      <c r="R231" s="121"/>
      <c r="S231" s="121">
        <v>0.08</v>
      </c>
      <c r="T231" s="61">
        <f t="shared" si="147"/>
        <v>0</v>
      </c>
      <c r="U231" s="61">
        <f t="shared" si="148"/>
        <v>0</v>
      </c>
      <c r="V231" s="61">
        <f t="shared" si="149"/>
        <v>0</v>
      </c>
      <c r="W231" s="61">
        <f t="shared" si="150"/>
        <v>0</v>
      </c>
      <c r="X231" s="61">
        <f t="shared" si="151"/>
        <v>0</v>
      </c>
      <c r="Y231" s="61">
        <f t="shared" si="152"/>
        <v>0</v>
      </c>
      <c r="Z231" s="61">
        <f t="shared" si="153"/>
        <v>0</v>
      </c>
      <c r="AA231" s="61">
        <f t="shared" si="154"/>
        <v>0</v>
      </c>
      <c r="AB231" s="61">
        <f t="shared" si="155"/>
        <v>0</v>
      </c>
    </row>
    <row r="232" spans="1:28" ht="15">
      <c r="A232" s="34" t="s">
        <v>553</v>
      </c>
      <c r="B232" s="29" t="s">
        <v>446</v>
      </c>
      <c r="C232" s="37">
        <v>0</v>
      </c>
      <c r="D232" s="38"/>
      <c r="E232" s="120" t="e">
        <f t="shared" si="126"/>
        <v>#DIV/0!</v>
      </c>
      <c r="F232" s="19">
        <f t="shared" si="127"/>
        <v>0</v>
      </c>
      <c r="G232" s="37">
        <v>0</v>
      </c>
      <c r="H232" s="38"/>
      <c r="I232" s="120" t="e">
        <f t="shared" si="128"/>
        <v>#DIV/0!</v>
      </c>
      <c r="J232" s="19">
        <f t="shared" si="129"/>
        <v>52639</v>
      </c>
      <c r="K232" s="63">
        <v>52639</v>
      </c>
      <c r="L232" s="38"/>
      <c r="M232" s="120">
        <f t="shared" si="130"/>
        <v>-1</v>
      </c>
      <c r="N232" s="19">
        <f t="shared" si="131"/>
        <v>-52639</v>
      </c>
      <c r="O232" s="31">
        <v>0</v>
      </c>
      <c r="P232" s="38"/>
      <c r="Q232" s="121" t="e">
        <f t="shared" si="132"/>
        <v>#DIV/0!</v>
      </c>
      <c r="R232" s="121"/>
      <c r="S232" s="121">
        <v>0.08</v>
      </c>
      <c r="T232" s="61">
        <f t="shared" si="147"/>
        <v>0</v>
      </c>
      <c r="U232" s="61">
        <f t="shared" si="148"/>
        <v>0</v>
      </c>
      <c r="V232" s="61">
        <f t="shared" si="149"/>
        <v>0</v>
      </c>
      <c r="W232" s="61">
        <f t="shared" si="150"/>
        <v>0</v>
      </c>
      <c r="X232" s="61">
        <f t="shared" si="151"/>
        <v>0</v>
      </c>
      <c r="Y232" s="61">
        <f t="shared" si="152"/>
        <v>0</v>
      </c>
      <c r="Z232" s="61">
        <f t="shared" si="153"/>
        <v>0</v>
      </c>
      <c r="AA232" s="61">
        <f t="shared" si="154"/>
        <v>0</v>
      </c>
      <c r="AB232" s="61">
        <f t="shared" si="155"/>
        <v>0</v>
      </c>
    </row>
    <row r="233" spans="1:28" ht="15">
      <c r="A233" s="34" t="s">
        <v>554</v>
      </c>
      <c r="B233" s="29" t="s">
        <v>555</v>
      </c>
      <c r="C233" s="37">
        <v>0</v>
      </c>
      <c r="D233" s="38"/>
      <c r="E233" s="120" t="e">
        <f t="shared" si="126"/>
        <v>#DIV/0!</v>
      </c>
      <c r="F233" s="19">
        <f t="shared" si="127"/>
        <v>0</v>
      </c>
      <c r="G233" s="37">
        <v>0</v>
      </c>
      <c r="H233" s="38"/>
      <c r="I233" s="120" t="e">
        <f t="shared" si="128"/>
        <v>#DIV/0!</v>
      </c>
      <c r="J233" s="19">
        <f t="shared" si="129"/>
        <v>0</v>
      </c>
      <c r="K233" s="63">
        <v>0</v>
      </c>
      <c r="L233" s="38"/>
      <c r="M233" s="120" t="e">
        <f t="shared" si="130"/>
        <v>#DIV/0!</v>
      </c>
      <c r="N233" s="19">
        <f t="shared" si="131"/>
        <v>0</v>
      </c>
      <c r="O233" s="31">
        <v>0</v>
      </c>
      <c r="P233" s="38"/>
      <c r="Q233" s="121" t="e">
        <f t="shared" si="132"/>
        <v>#DIV/0!</v>
      </c>
      <c r="R233" s="121"/>
      <c r="S233" s="121">
        <v>0.08</v>
      </c>
      <c r="T233" s="61">
        <f t="shared" si="147"/>
        <v>0</v>
      </c>
      <c r="U233" s="61">
        <f t="shared" si="148"/>
        <v>0</v>
      </c>
      <c r="V233" s="61">
        <f t="shared" si="149"/>
        <v>0</v>
      </c>
      <c r="W233" s="61">
        <f t="shared" si="150"/>
        <v>0</v>
      </c>
      <c r="X233" s="61">
        <f t="shared" si="151"/>
        <v>0</v>
      </c>
      <c r="Y233" s="61">
        <f t="shared" si="152"/>
        <v>0</v>
      </c>
      <c r="Z233" s="61">
        <f t="shared" si="153"/>
        <v>0</v>
      </c>
      <c r="AA233" s="61">
        <f t="shared" si="154"/>
        <v>0</v>
      </c>
      <c r="AB233" s="61">
        <f t="shared" si="155"/>
        <v>0</v>
      </c>
    </row>
    <row r="234" spans="1:28" ht="15">
      <c r="A234" s="34" t="s">
        <v>556</v>
      </c>
      <c r="B234" s="29" t="s">
        <v>557</v>
      </c>
      <c r="C234" s="37">
        <v>0</v>
      </c>
      <c r="D234" s="38"/>
      <c r="E234" s="120" t="e">
        <f t="shared" si="126"/>
        <v>#DIV/0!</v>
      </c>
      <c r="F234" s="19">
        <f t="shared" si="127"/>
        <v>0</v>
      </c>
      <c r="G234" s="37">
        <v>0</v>
      </c>
      <c r="H234" s="38"/>
      <c r="I234" s="120" t="e">
        <f t="shared" si="128"/>
        <v>#DIV/0!</v>
      </c>
      <c r="J234" s="19">
        <f t="shared" si="129"/>
        <v>0</v>
      </c>
      <c r="K234" s="63">
        <v>0</v>
      </c>
      <c r="L234" s="38"/>
      <c r="M234" s="120" t="e">
        <f t="shared" si="130"/>
        <v>#DIV/0!</v>
      </c>
      <c r="N234" s="19">
        <f t="shared" si="131"/>
        <v>0</v>
      </c>
      <c r="O234" s="31">
        <v>0</v>
      </c>
      <c r="P234" s="38"/>
      <c r="Q234" s="121" t="e">
        <f t="shared" si="132"/>
        <v>#DIV/0!</v>
      </c>
      <c r="R234" s="121"/>
      <c r="S234" s="121">
        <v>0.08</v>
      </c>
      <c r="T234" s="61">
        <f t="shared" si="147"/>
        <v>0</v>
      </c>
      <c r="U234" s="61">
        <f t="shared" si="148"/>
        <v>0</v>
      </c>
      <c r="V234" s="61">
        <f t="shared" si="149"/>
        <v>0</v>
      </c>
      <c r="W234" s="61">
        <f t="shared" si="150"/>
        <v>0</v>
      </c>
      <c r="X234" s="61">
        <f t="shared" si="151"/>
        <v>0</v>
      </c>
      <c r="Y234" s="61">
        <f t="shared" si="152"/>
        <v>0</v>
      </c>
      <c r="Z234" s="61">
        <f t="shared" si="153"/>
        <v>0</v>
      </c>
      <c r="AA234" s="61">
        <f t="shared" si="154"/>
        <v>0</v>
      </c>
      <c r="AB234" s="61">
        <f t="shared" si="155"/>
        <v>0</v>
      </c>
    </row>
    <row r="235" spans="1:28" ht="15">
      <c r="A235" s="34" t="s">
        <v>558</v>
      </c>
      <c r="B235" s="29" t="s">
        <v>559</v>
      </c>
      <c r="C235" s="37">
        <v>0</v>
      </c>
      <c r="D235" s="38"/>
      <c r="E235" s="120" t="e">
        <f t="shared" si="126"/>
        <v>#DIV/0!</v>
      </c>
      <c r="F235" s="19">
        <f t="shared" si="127"/>
        <v>0</v>
      </c>
      <c r="G235" s="37">
        <v>0</v>
      </c>
      <c r="H235" s="38"/>
      <c r="I235" s="120" t="e">
        <f t="shared" si="128"/>
        <v>#DIV/0!</v>
      </c>
      <c r="J235" s="19">
        <f t="shared" si="129"/>
        <v>0</v>
      </c>
      <c r="K235" s="63">
        <v>0</v>
      </c>
      <c r="L235" s="38"/>
      <c r="M235" s="120" t="e">
        <f t="shared" si="130"/>
        <v>#DIV/0!</v>
      </c>
      <c r="N235" s="19">
        <f t="shared" si="131"/>
        <v>0</v>
      </c>
      <c r="O235" s="31">
        <v>0</v>
      </c>
      <c r="P235" s="38"/>
      <c r="Q235" s="121" t="e">
        <f t="shared" si="132"/>
        <v>#DIV/0!</v>
      </c>
      <c r="R235" s="121"/>
      <c r="S235" s="121">
        <v>0.08</v>
      </c>
      <c r="T235" s="61">
        <f t="shared" si="147"/>
        <v>0</v>
      </c>
      <c r="U235" s="61">
        <f t="shared" si="148"/>
        <v>0</v>
      </c>
      <c r="V235" s="61">
        <f t="shared" si="149"/>
        <v>0</v>
      </c>
      <c r="W235" s="61">
        <f t="shared" si="150"/>
        <v>0</v>
      </c>
      <c r="X235" s="61">
        <f t="shared" si="151"/>
        <v>0</v>
      </c>
      <c r="Y235" s="61">
        <f t="shared" si="152"/>
        <v>0</v>
      </c>
      <c r="Z235" s="61">
        <f t="shared" si="153"/>
        <v>0</v>
      </c>
      <c r="AA235" s="61">
        <f t="shared" si="154"/>
        <v>0</v>
      </c>
      <c r="AB235" s="61">
        <f t="shared" si="155"/>
        <v>0</v>
      </c>
    </row>
    <row r="236" spans="1:28" ht="15">
      <c r="A236" s="34" t="s">
        <v>560</v>
      </c>
      <c r="B236" s="29" t="s">
        <v>561</v>
      </c>
      <c r="C236" s="37">
        <v>0</v>
      </c>
      <c r="D236" s="38"/>
      <c r="E236" s="120" t="e">
        <f t="shared" si="126"/>
        <v>#DIV/0!</v>
      </c>
      <c r="F236" s="19">
        <f t="shared" si="127"/>
        <v>0</v>
      </c>
      <c r="G236" s="37">
        <v>0</v>
      </c>
      <c r="H236" s="38"/>
      <c r="I236" s="120" t="e">
        <f t="shared" si="128"/>
        <v>#DIV/0!</v>
      </c>
      <c r="J236" s="19">
        <f t="shared" si="129"/>
        <v>0</v>
      </c>
      <c r="K236" s="63">
        <v>0</v>
      </c>
      <c r="L236" s="38"/>
      <c r="M236" s="120" t="e">
        <f t="shared" si="130"/>
        <v>#DIV/0!</v>
      </c>
      <c r="N236" s="19">
        <f t="shared" si="131"/>
        <v>0</v>
      </c>
      <c r="O236" s="31">
        <v>0</v>
      </c>
      <c r="P236" s="38"/>
      <c r="Q236" s="121" t="e">
        <f t="shared" si="132"/>
        <v>#DIV/0!</v>
      </c>
      <c r="R236" s="121"/>
      <c r="S236" s="121">
        <v>0.08</v>
      </c>
      <c r="T236" s="61">
        <f t="shared" si="147"/>
        <v>0</v>
      </c>
      <c r="U236" s="61">
        <f t="shared" si="148"/>
        <v>0</v>
      </c>
      <c r="V236" s="61">
        <f t="shared" si="149"/>
        <v>0</v>
      </c>
      <c r="W236" s="61">
        <f t="shared" si="150"/>
        <v>0</v>
      </c>
      <c r="X236" s="61">
        <f t="shared" si="151"/>
        <v>0</v>
      </c>
      <c r="Y236" s="61">
        <f t="shared" si="152"/>
        <v>0</v>
      </c>
      <c r="Z236" s="61">
        <f t="shared" si="153"/>
        <v>0</v>
      </c>
      <c r="AA236" s="61">
        <f t="shared" si="154"/>
        <v>0</v>
      </c>
      <c r="AB236" s="61">
        <f t="shared" si="155"/>
        <v>0</v>
      </c>
    </row>
    <row r="237" spans="1:28" ht="15">
      <c r="A237" s="34" t="s">
        <v>562</v>
      </c>
      <c r="B237" s="29" t="s">
        <v>563</v>
      </c>
      <c r="C237" s="37">
        <v>0</v>
      </c>
      <c r="D237" s="38"/>
      <c r="E237" s="120" t="e">
        <f t="shared" si="126"/>
        <v>#DIV/0!</v>
      </c>
      <c r="F237" s="19">
        <f t="shared" si="127"/>
        <v>0</v>
      </c>
      <c r="G237" s="37">
        <v>0</v>
      </c>
      <c r="H237" s="38"/>
      <c r="I237" s="120" t="e">
        <f t="shared" si="128"/>
        <v>#DIV/0!</v>
      </c>
      <c r="J237" s="19">
        <f t="shared" si="129"/>
        <v>0</v>
      </c>
      <c r="K237" s="63">
        <v>0</v>
      </c>
      <c r="L237" s="38"/>
      <c r="M237" s="120" t="e">
        <f t="shared" si="130"/>
        <v>#DIV/0!</v>
      </c>
      <c r="N237" s="19">
        <f t="shared" si="131"/>
        <v>0</v>
      </c>
      <c r="O237" s="31">
        <v>0</v>
      </c>
      <c r="P237" s="38"/>
      <c r="Q237" s="121" t="e">
        <f t="shared" si="132"/>
        <v>#DIV/0!</v>
      </c>
      <c r="R237" s="121"/>
      <c r="S237" s="121">
        <v>0.08</v>
      </c>
      <c r="T237" s="61">
        <f t="shared" si="147"/>
        <v>0</v>
      </c>
      <c r="U237" s="61">
        <f t="shared" si="148"/>
        <v>0</v>
      </c>
      <c r="V237" s="61">
        <f t="shared" si="149"/>
        <v>0</v>
      </c>
      <c r="W237" s="61">
        <f t="shared" si="150"/>
        <v>0</v>
      </c>
      <c r="X237" s="61">
        <f t="shared" si="151"/>
        <v>0</v>
      </c>
      <c r="Y237" s="61">
        <f t="shared" si="152"/>
        <v>0</v>
      </c>
      <c r="Z237" s="61">
        <f t="shared" si="153"/>
        <v>0</v>
      </c>
      <c r="AA237" s="61">
        <f t="shared" si="154"/>
        <v>0</v>
      </c>
      <c r="AB237" s="61">
        <f t="shared" si="155"/>
        <v>0</v>
      </c>
    </row>
    <row r="238" spans="1:28" ht="14.25">
      <c r="A238" s="52" t="s">
        <v>564</v>
      </c>
      <c r="B238" s="66" t="s">
        <v>565</v>
      </c>
      <c r="C238" s="37">
        <v>0</v>
      </c>
      <c r="D238" s="38"/>
      <c r="E238" s="120" t="e">
        <f t="shared" si="126"/>
        <v>#DIV/0!</v>
      </c>
      <c r="F238" s="19">
        <f t="shared" si="127"/>
        <v>0</v>
      </c>
      <c r="G238" s="37">
        <v>0</v>
      </c>
      <c r="H238" s="38"/>
      <c r="I238" s="120" t="e">
        <f t="shared" si="128"/>
        <v>#DIV/0!</v>
      </c>
      <c r="J238" s="19">
        <f t="shared" si="129"/>
        <v>4101</v>
      </c>
      <c r="K238" s="63">
        <v>4101</v>
      </c>
      <c r="L238" s="38"/>
      <c r="M238" s="120">
        <f t="shared" si="130"/>
        <v>-1</v>
      </c>
      <c r="N238" s="19">
        <f t="shared" si="131"/>
        <v>-4101</v>
      </c>
      <c r="O238" s="31">
        <v>0</v>
      </c>
      <c r="P238" s="38"/>
      <c r="Q238" s="121" t="e">
        <f t="shared" si="132"/>
        <v>#DIV/0!</v>
      </c>
      <c r="R238" s="121"/>
      <c r="S238" s="121">
        <v>0.08</v>
      </c>
      <c r="T238" s="61">
        <f t="shared" si="147"/>
        <v>0</v>
      </c>
      <c r="U238" s="61">
        <f t="shared" si="148"/>
        <v>0</v>
      </c>
      <c r="V238" s="61">
        <f t="shared" si="149"/>
        <v>0</v>
      </c>
      <c r="W238" s="61">
        <f t="shared" si="150"/>
        <v>0</v>
      </c>
      <c r="X238" s="61">
        <f t="shared" si="151"/>
        <v>0</v>
      </c>
      <c r="Y238" s="61">
        <f t="shared" si="152"/>
        <v>0</v>
      </c>
      <c r="Z238" s="61">
        <f t="shared" si="153"/>
        <v>0</v>
      </c>
      <c r="AA238" s="61">
        <f t="shared" si="154"/>
        <v>0</v>
      </c>
      <c r="AB238" s="61">
        <f t="shared" si="155"/>
        <v>0</v>
      </c>
    </row>
    <row r="239" spans="1:28" ht="14.25">
      <c r="A239" s="52" t="s">
        <v>566</v>
      </c>
      <c r="B239" s="66" t="s">
        <v>567</v>
      </c>
      <c r="C239" s="37">
        <v>0</v>
      </c>
      <c r="D239" s="38"/>
      <c r="E239" s="120" t="e">
        <f t="shared" si="126"/>
        <v>#DIV/0!</v>
      </c>
      <c r="F239" s="19">
        <f t="shared" si="127"/>
        <v>0</v>
      </c>
      <c r="G239" s="37">
        <v>0</v>
      </c>
      <c r="H239" s="38"/>
      <c r="I239" s="120" t="e">
        <f t="shared" si="128"/>
        <v>#DIV/0!</v>
      </c>
      <c r="J239" s="19">
        <f t="shared" si="129"/>
        <v>6990</v>
      </c>
      <c r="K239" s="63">
        <v>6990</v>
      </c>
      <c r="L239" s="38"/>
      <c r="M239" s="120">
        <f t="shared" si="130"/>
        <v>-1</v>
      </c>
      <c r="N239" s="19">
        <f t="shared" si="131"/>
        <v>-6990</v>
      </c>
      <c r="O239" s="31">
        <v>0</v>
      </c>
      <c r="P239" s="38"/>
      <c r="Q239" s="121" t="e">
        <f t="shared" si="132"/>
        <v>#DIV/0!</v>
      </c>
      <c r="R239" s="121"/>
      <c r="S239" s="121">
        <v>0.08</v>
      </c>
      <c r="T239" s="61">
        <f t="shared" si="147"/>
        <v>0</v>
      </c>
      <c r="U239" s="61">
        <f t="shared" si="148"/>
        <v>0</v>
      </c>
      <c r="V239" s="61">
        <f t="shared" si="149"/>
        <v>0</v>
      </c>
      <c r="W239" s="61">
        <f t="shared" si="150"/>
        <v>0</v>
      </c>
      <c r="X239" s="61">
        <f t="shared" si="151"/>
        <v>0</v>
      </c>
      <c r="Y239" s="61">
        <f t="shared" si="152"/>
        <v>0</v>
      </c>
      <c r="Z239" s="61">
        <f t="shared" si="153"/>
        <v>0</v>
      </c>
      <c r="AA239" s="61">
        <f t="shared" si="154"/>
        <v>0</v>
      </c>
      <c r="AB239" s="61">
        <f t="shared" si="155"/>
        <v>0</v>
      </c>
    </row>
    <row r="240" spans="1:28" ht="15">
      <c r="A240" s="34" t="s">
        <v>568</v>
      </c>
      <c r="B240" s="29" t="s">
        <v>569</v>
      </c>
      <c r="C240" s="37">
        <v>0</v>
      </c>
      <c r="D240" s="38"/>
      <c r="E240" s="120" t="e">
        <f t="shared" si="126"/>
        <v>#DIV/0!</v>
      </c>
      <c r="F240" s="19">
        <f t="shared" si="127"/>
        <v>0</v>
      </c>
      <c r="G240" s="37">
        <v>0</v>
      </c>
      <c r="H240" s="38"/>
      <c r="I240" s="120" t="e">
        <f t="shared" si="128"/>
        <v>#DIV/0!</v>
      </c>
      <c r="J240" s="19">
        <f t="shared" si="129"/>
        <v>0</v>
      </c>
      <c r="K240" s="63">
        <v>0</v>
      </c>
      <c r="L240" s="38"/>
      <c r="M240" s="120" t="e">
        <f t="shared" si="130"/>
        <v>#DIV/0!</v>
      </c>
      <c r="N240" s="19">
        <f t="shared" si="131"/>
        <v>0</v>
      </c>
      <c r="O240" s="31">
        <v>0</v>
      </c>
      <c r="P240" s="38"/>
      <c r="Q240" s="121" t="e">
        <f t="shared" si="132"/>
        <v>#DIV/0!</v>
      </c>
      <c r="R240" s="121"/>
      <c r="S240" s="121">
        <v>0.08</v>
      </c>
      <c r="T240" s="61">
        <f t="shared" si="147"/>
        <v>0</v>
      </c>
      <c r="U240" s="61">
        <f t="shared" si="148"/>
        <v>0</v>
      </c>
      <c r="V240" s="61">
        <f t="shared" si="149"/>
        <v>0</v>
      </c>
      <c r="W240" s="61">
        <f t="shared" si="150"/>
        <v>0</v>
      </c>
      <c r="X240" s="61">
        <f t="shared" si="151"/>
        <v>0</v>
      </c>
      <c r="Y240" s="61">
        <f t="shared" si="152"/>
        <v>0</v>
      </c>
      <c r="Z240" s="61">
        <f t="shared" si="153"/>
        <v>0</v>
      </c>
      <c r="AA240" s="61">
        <f t="shared" si="154"/>
        <v>0</v>
      </c>
      <c r="AB240" s="61">
        <f t="shared" si="155"/>
        <v>0</v>
      </c>
    </row>
    <row r="241" spans="1:28" ht="15">
      <c r="A241" s="34" t="s">
        <v>570</v>
      </c>
      <c r="B241" s="29" t="s">
        <v>571</v>
      </c>
      <c r="C241" s="24">
        <f>SUM(C242)</f>
        <v>0</v>
      </c>
      <c r="D241" s="20"/>
      <c r="E241" s="120" t="e">
        <f t="shared" si="126"/>
        <v>#DIV/0!</v>
      </c>
      <c r="F241" s="19">
        <f t="shared" si="127"/>
        <v>0</v>
      </c>
      <c r="G241" s="24">
        <f>SUM(G242)</f>
        <v>0</v>
      </c>
      <c r="H241" s="20"/>
      <c r="I241" s="120" t="e">
        <f t="shared" si="128"/>
        <v>#DIV/0!</v>
      </c>
      <c r="J241" s="19">
        <f t="shared" si="129"/>
        <v>1566</v>
      </c>
      <c r="K241" s="25">
        <f>SUM(K242)</f>
        <v>1566</v>
      </c>
      <c r="L241" s="20"/>
      <c r="M241" s="120">
        <f t="shared" si="130"/>
        <v>-1</v>
      </c>
      <c r="N241" s="19">
        <f t="shared" si="131"/>
        <v>-1566</v>
      </c>
      <c r="O241" s="25">
        <f>SUM(O242)</f>
        <v>0</v>
      </c>
      <c r="P241" s="20"/>
      <c r="Q241" s="121" t="e">
        <f t="shared" si="132"/>
        <v>#DIV/0!</v>
      </c>
      <c r="R241" s="121"/>
      <c r="S241" s="121"/>
      <c r="T241" s="61">
        <f t="shared" si="147"/>
        <v>0</v>
      </c>
      <c r="U241" s="25">
        <f aca="true" t="shared" si="156" ref="U241:AB241">SUM(U242)</f>
        <v>0</v>
      </c>
      <c r="V241" s="25">
        <f t="shared" si="156"/>
        <v>0</v>
      </c>
      <c r="W241" s="25">
        <f t="shared" si="156"/>
        <v>0</v>
      </c>
      <c r="X241" s="25">
        <f t="shared" si="156"/>
        <v>0</v>
      </c>
      <c r="Y241" s="25">
        <f t="shared" si="156"/>
        <v>0</v>
      </c>
      <c r="Z241" s="25">
        <f t="shared" si="156"/>
        <v>0</v>
      </c>
      <c r="AA241" s="25">
        <f t="shared" si="156"/>
        <v>0</v>
      </c>
      <c r="AB241" s="25">
        <f t="shared" si="156"/>
        <v>0</v>
      </c>
    </row>
    <row r="242" spans="1:28" ht="15">
      <c r="A242" s="34" t="s">
        <v>572</v>
      </c>
      <c r="B242" s="29" t="s">
        <v>522</v>
      </c>
      <c r="C242" s="37">
        <v>0</v>
      </c>
      <c r="D242" s="38"/>
      <c r="E242" s="120" t="e">
        <f t="shared" si="126"/>
        <v>#DIV/0!</v>
      </c>
      <c r="F242" s="19">
        <f t="shared" si="127"/>
        <v>0</v>
      </c>
      <c r="G242" s="37">
        <v>0</v>
      </c>
      <c r="H242" s="38"/>
      <c r="I242" s="120" t="e">
        <f t="shared" si="128"/>
        <v>#DIV/0!</v>
      </c>
      <c r="J242" s="19">
        <f t="shared" si="129"/>
        <v>1566</v>
      </c>
      <c r="K242" s="63">
        <v>1566</v>
      </c>
      <c r="L242" s="38"/>
      <c r="M242" s="120">
        <f t="shared" si="130"/>
        <v>-1</v>
      </c>
      <c r="N242" s="19">
        <f t="shared" si="131"/>
        <v>-1566</v>
      </c>
      <c r="O242" s="31">
        <v>0</v>
      </c>
      <c r="P242" s="38"/>
      <c r="Q242" s="121" t="e">
        <f t="shared" si="132"/>
        <v>#DIV/0!</v>
      </c>
      <c r="R242" s="121"/>
      <c r="S242" s="121">
        <v>0.08</v>
      </c>
      <c r="T242" s="61">
        <f t="shared" si="147"/>
        <v>0</v>
      </c>
      <c r="U242" s="61">
        <f>(T242*R242)+T242</f>
        <v>0</v>
      </c>
      <c r="V242" s="61">
        <f>(U242*R242)+U242</f>
        <v>0</v>
      </c>
      <c r="W242" s="61">
        <f>(V242*R242)+V242</f>
        <v>0</v>
      </c>
      <c r="X242" s="61">
        <f>(W242*R242)+W242</f>
        <v>0</v>
      </c>
      <c r="Y242" s="61">
        <f>(X242*R242)+X242</f>
        <v>0</v>
      </c>
      <c r="Z242" s="61">
        <f>(Y242*R242)+Y242</f>
        <v>0</v>
      </c>
      <c r="AA242" s="61">
        <f>(Z242*R242)+Z242</f>
        <v>0</v>
      </c>
      <c r="AB242" s="61">
        <f>(AA242*R242)+AA242</f>
        <v>0</v>
      </c>
    </row>
    <row r="243" spans="1:28" ht="15.75">
      <c r="A243" s="33" t="s">
        <v>573</v>
      </c>
      <c r="B243" s="23" t="s">
        <v>574</v>
      </c>
      <c r="C243" s="24">
        <f>SUM(C244)</f>
        <v>4984</v>
      </c>
      <c r="D243" s="225">
        <f>C243/C217</f>
        <v>0.018896395884043463</v>
      </c>
      <c r="E243" s="120">
        <f t="shared" si="126"/>
        <v>0.44161316211878</v>
      </c>
      <c r="F243" s="19">
        <f t="shared" si="127"/>
        <v>2201</v>
      </c>
      <c r="G243" s="24">
        <f>SUM(G244)</f>
        <v>7185</v>
      </c>
      <c r="H243" s="225">
        <f>G243/G217</f>
        <v>0.0423128286955126</v>
      </c>
      <c r="I243" s="120">
        <f t="shared" si="128"/>
        <v>3.4950591510090465</v>
      </c>
      <c r="J243" s="19">
        <f t="shared" si="129"/>
        <v>25112</v>
      </c>
      <c r="K243" s="25">
        <f>SUM(K244)</f>
        <v>32297</v>
      </c>
      <c r="L243" s="20"/>
      <c r="M243" s="120">
        <f t="shared" si="130"/>
        <v>-1</v>
      </c>
      <c r="N243" s="19">
        <f t="shared" si="131"/>
        <v>-32297</v>
      </c>
      <c r="O243" s="25">
        <f>SUM(O244)</f>
        <v>0</v>
      </c>
      <c r="P243" s="20"/>
      <c r="Q243" s="121">
        <f t="shared" si="132"/>
        <v>0.9788907710426088</v>
      </c>
      <c r="R243" s="121"/>
      <c r="S243" s="121"/>
      <c r="T243" s="25">
        <f aca="true" t="shared" si="157" ref="T243:AB243">SUM(T244)</f>
        <v>0</v>
      </c>
      <c r="U243" s="25">
        <f t="shared" si="157"/>
        <v>0</v>
      </c>
      <c r="V243" s="25">
        <f t="shared" si="157"/>
        <v>0</v>
      </c>
      <c r="W243" s="25">
        <f t="shared" si="157"/>
        <v>0</v>
      </c>
      <c r="X243" s="25">
        <f t="shared" si="157"/>
        <v>0</v>
      </c>
      <c r="Y243" s="25">
        <f t="shared" si="157"/>
        <v>0</v>
      </c>
      <c r="Z243" s="25">
        <f t="shared" si="157"/>
        <v>0</v>
      </c>
      <c r="AA243" s="25">
        <f t="shared" si="157"/>
        <v>0</v>
      </c>
      <c r="AB243" s="25">
        <f t="shared" si="157"/>
        <v>0</v>
      </c>
    </row>
    <row r="244" spans="1:28" ht="15">
      <c r="A244" s="34" t="s">
        <v>575</v>
      </c>
      <c r="B244" s="29" t="s">
        <v>576</v>
      </c>
      <c r="C244" s="37">
        <v>4984</v>
      </c>
      <c r="D244" s="38">
        <f>C244/C243</f>
        <v>1</v>
      </c>
      <c r="E244" s="120">
        <f t="shared" si="126"/>
        <v>0.44161316211878</v>
      </c>
      <c r="F244" s="19">
        <f t="shared" si="127"/>
        <v>2201</v>
      </c>
      <c r="G244" s="117">
        <v>7185</v>
      </c>
      <c r="H244" s="38">
        <f>G244/G243</f>
        <v>1</v>
      </c>
      <c r="I244" s="120">
        <f t="shared" si="128"/>
        <v>3.4950591510090465</v>
      </c>
      <c r="J244" s="19">
        <f t="shared" si="129"/>
        <v>25112</v>
      </c>
      <c r="K244" s="63">
        <v>32297</v>
      </c>
      <c r="L244" s="38"/>
      <c r="M244" s="120">
        <f t="shared" si="130"/>
        <v>-1</v>
      </c>
      <c r="N244" s="19">
        <f t="shared" si="131"/>
        <v>-32297</v>
      </c>
      <c r="O244" s="31">
        <v>0</v>
      </c>
      <c r="P244" s="38"/>
      <c r="Q244" s="121">
        <f t="shared" si="132"/>
        <v>0.9788907710426088</v>
      </c>
      <c r="R244" s="121"/>
      <c r="S244" s="121"/>
      <c r="T244" s="61">
        <f>(O244*R244)+O244</f>
        <v>0</v>
      </c>
      <c r="U244" s="61">
        <f>(T244*R244)+T244</f>
        <v>0</v>
      </c>
      <c r="V244" s="61">
        <f>(U244*R244)+U244</f>
        <v>0</v>
      </c>
      <c r="W244" s="61">
        <f>(V244*R244)+V244</f>
        <v>0</v>
      </c>
      <c r="X244" s="61">
        <f>(W244*R244)+W244</f>
        <v>0</v>
      </c>
      <c r="Y244" s="61">
        <f>(X244*R244)+X244</f>
        <v>0</v>
      </c>
      <c r="Z244" s="61">
        <f>(Y244*R244)+Y244</f>
        <v>0</v>
      </c>
      <c r="AA244" s="61">
        <f>(Z244*R244)+Z244</f>
        <v>0</v>
      </c>
      <c r="AB244" s="61">
        <f>(AA244*R244)+AA244</f>
        <v>0</v>
      </c>
    </row>
    <row r="245" spans="1:28" ht="15.75">
      <c r="A245" s="67" t="s">
        <v>577</v>
      </c>
      <c r="B245" s="42" t="s">
        <v>578</v>
      </c>
      <c r="C245" s="24">
        <f>SUM(C246:C247)</f>
        <v>1050000</v>
      </c>
      <c r="D245" s="232">
        <f>C245/C216</f>
        <v>0.650562345004893</v>
      </c>
      <c r="E245" s="120">
        <f t="shared" si="126"/>
        <v>-0.5714256504761905</v>
      </c>
      <c r="F245" s="19">
        <f t="shared" si="127"/>
        <v>-599996.933</v>
      </c>
      <c r="G245" s="24">
        <f>SUM(G246:G247)</f>
        <v>450003.067</v>
      </c>
      <c r="H245" s="232">
        <f>G245/G216</f>
        <v>0.20748908798600504</v>
      </c>
      <c r="I245" s="120">
        <f t="shared" si="128"/>
        <v>-1</v>
      </c>
      <c r="J245" s="19">
        <f t="shared" si="129"/>
        <v>-450003.067</v>
      </c>
      <c r="K245" s="25">
        <v>0</v>
      </c>
      <c r="L245" s="20"/>
      <c r="M245" s="120" t="e">
        <f t="shared" si="130"/>
        <v>#DIV/0!</v>
      </c>
      <c r="N245" s="19">
        <f t="shared" si="131"/>
        <v>0</v>
      </c>
      <c r="O245" s="25">
        <f>SUM(O246:O247)</f>
        <v>0</v>
      </c>
      <c r="P245" s="20"/>
      <c r="Q245" s="121" t="e">
        <f t="shared" si="132"/>
        <v>#DIV/0!</v>
      </c>
      <c r="R245" s="121"/>
      <c r="S245" s="121"/>
      <c r="T245" s="25">
        <f aca="true" t="shared" si="158" ref="T245:AB245">SUM(T246:T247)</f>
        <v>0</v>
      </c>
      <c r="U245" s="25">
        <f t="shared" si="158"/>
        <v>0</v>
      </c>
      <c r="V245" s="25">
        <f t="shared" si="158"/>
        <v>0</v>
      </c>
      <c r="W245" s="25">
        <f t="shared" si="158"/>
        <v>0</v>
      </c>
      <c r="X245" s="25">
        <f t="shared" si="158"/>
        <v>0</v>
      </c>
      <c r="Y245" s="25">
        <f t="shared" si="158"/>
        <v>0</v>
      </c>
      <c r="Z245" s="25">
        <f t="shared" si="158"/>
        <v>0</v>
      </c>
      <c r="AA245" s="25">
        <f t="shared" si="158"/>
        <v>0</v>
      </c>
      <c r="AB245" s="25">
        <f t="shared" si="158"/>
        <v>0</v>
      </c>
    </row>
    <row r="246" spans="1:28" ht="15">
      <c r="A246" s="34" t="s">
        <v>579</v>
      </c>
      <c r="B246" s="29" t="s">
        <v>580</v>
      </c>
      <c r="C246" s="37">
        <v>0</v>
      </c>
      <c r="D246" s="38">
        <f>C246/C245</f>
        <v>0</v>
      </c>
      <c r="E246" s="120" t="e">
        <f t="shared" si="126"/>
        <v>#DIV/0!</v>
      </c>
      <c r="F246" s="19">
        <f t="shared" si="127"/>
        <v>450003.067</v>
      </c>
      <c r="G246" s="117">
        <v>450003.067</v>
      </c>
      <c r="H246" s="38">
        <f>G246/G245</f>
        <v>1</v>
      </c>
      <c r="I246" s="120">
        <f t="shared" si="128"/>
        <v>-1</v>
      </c>
      <c r="J246" s="19">
        <f t="shared" si="129"/>
        <v>-450003.067</v>
      </c>
      <c r="K246" s="63">
        <v>0</v>
      </c>
      <c r="L246" s="38"/>
      <c r="M246" s="120" t="e">
        <f t="shared" si="130"/>
        <v>#DIV/0!</v>
      </c>
      <c r="N246" s="19">
        <f t="shared" si="131"/>
        <v>0</v>
      </c>
      <c r="O246" s="31">
        <v>0</v>
      </c>
      <c r="P246" s="38"/>
      <c r="Q246" s="121" t="e">
        <f t="shared" si="132"/>
        <v>#DIV/0!</v>
      </c>
      <c r="R246" s="121"/>
      <c r="S246" s="121"/>
      <c r="T246" s="61">
        <f>(O246*R246)+O246</f>
        <v>0</v>
      </c>
      <c r="U246" s="61">
        <f>(T246*R246)+T246</f>
        <v>0</v>
      </c>
      <c r="V246" s="61">
        <f>(U246*R246)+U246</f>
        <v>0</v>
      </c>
      <c r="W246" s="61">
        <f>(V246*R246)+V246</f>
        <v>0</v>
      </c>
      <c r="X246" s="61">
        <f>(W246*R246)+W246</f>
        <v>0</v>
      </c>
      <c r="Y246" s="61">
        <f>(X246*R246)+X246</f>
        <v>0</v>
      </c>
      <c r="Z246" s="61">
        <f>(Y246*R246)+Y246</f>
        <v>0</v>
      </c>
      <c r="AA246" s="61">
        <f>(Z246*R246)+Z246</f>
        <v>0</v>
      </c>
      <c r="AB246" s="61">
        <f>(AA246*R246)+AA246</f>
        <v>0</v>
      </c>
    </row>
    <row r="247" spans="1:28" ht="15">
      <c r="A247" s="34" t="s">
        <v>581</v>
      </c>
      <c r="B247" s="29" t="s">
        <v>582</v>
      </c>
      <c r="C247" s="37">
        <v>1050000</v>
      </c>
      <c r="D247" s="38">
        <f>C247/C245</f>
        <v>1</v>
      </c>
      <c r="E247" s="120">
        <f t="shared" si="126"/>
        <v>-1</v>
      </c>
      <c r="F247" s="19">
        <f t="shared" si="127"/>
        <v>-1050000</v>
      </c>
      <c r="G247" s="37">
        <v>0</v>
      </c>
      <c r="H247" s="38">
        <f>G247/G245</f>
        <v>0</v>
      </c>
      <c r="I247" s="120" t="e">
        <f t="shared" si="128"/>
        <v>#DIV/0!</v>
      </c>
      <c r="J247" s="19">
        <f t="shared" si="129"/>
        <v>0</v>
      </c>
      <c r="K247" s="63">
        <v>0</v>
      </c>
      <c r="L247" s="38"/>
      <c r="M247" s="120" t="e">
        <f t="shared" si="130"/>
        <v>#DIV/0!</v>
      </c>
      <c r="N247" s="19">
        <f t="shared" si="131"/>
        <v>0</v>
      </c>
      <c r="O247" s="31">
        <v>0</v>
      </c>
      <c r="P247" s="38"/>
      <c r="Q247" s="121" t="e">
        <f t="shared" si="132"/>
        <v>#DIV/0!</v>
      </c>
      <c r="R247" s="121"/>
      <c r="S247" s="121"/>
      <c r="T247" s="61">
        <f>(O247*R247)+O247</f>
        <v>0</v>
      </c>
      <c r="U247" s="61">
        <f>(T247*R247)+T247</f>
        <v>0</v>
      </c>
      <c r="V247" s="61">
        <f>(U247*R247)+U247</f>
        <v>0</v>
      </c>
      <c r="W247" s="61">
        <f>(V247*R247)+V247</f>
        <v>0</v>
      </c>
      <c r="X247" s="61">
        <f>(W247*R247)+W247</f>
        <v>0</v>
      </c>
      <c r="Y247" s="61">
        <f>(X247*R247)+X247</f>
        <v>0</v>
      </c>
      <c r="Z247" s="61">
        <f>(Y247*R247)+Y247</f>
        <v>0</v>
      </c>
      <c r="AA247" s="61">
        <f>(Z247*R247)+Z247</f>
        <v>0</v>
      </c>
      <c r="AB247" s="61">
        <f>(AA247*R247)+AA247</f>
        <v>0</v>
      </c>
    </row>
    <row r="248" spans="1:28" ht="15.75">
      <c r="A248" s="67" t="s">
        <v>583</v>
      </c>
      <c r="B248" s="236" t="s">
        <v>584</v>
      </c>
      <c r="C248" s="24">
        <f>SUM(C249+C250+C266+C272+C273+C286+C285)</f>
        <v>293936.65662</v>
      </c>
      <c r="D248" s="232">
        <f>C248/C216</f>
        <v>0.18211821010819543</v>
      </c>
      <c r="E248" s="120">
        <f t="shared" si="126"/>
        <v>2.2246061435112203</v>
      </c>
      <c r="F248" s="19">
        <f t="shared" si="127"/>
        <v>653893.29212</v>
      </c>
      <c r="G248" s="24">
        <f>SUM(G249+G250+G266+G272+G273+G286+G285)</f>
        <v>947829.94874</v>
      </c>
      <c r="H248" s="232">
        <f>G248/G216</f>
        <v>0.4370289583601539</v>
      </c>
      <c r="I248" s="120">
        <f t="shared" si="128"/>
        <v>-0.6021457826572199</v>
      </c>
      <c r="J248" s="19">
        <f t="shared" si="129"/>
        <v>-570731.8063099999</v>
      </c>
      <c r="K248" s="25">
        <f>SUM(K249+K250+K266+K272+K273+K286+K285)</f>
        <v>377098.14243000007</v>
      </c>
      <c r="L248" s="20"/>
      <c r="M248" s="120">
        <f t="shared" si="130"/>
        <v>-0.8771911213840131</v>
      </c>
      <c r="N248" s="19">
        <f t="shared" si="131"/>
        <v>-330787.14243000007</v>
      </c>
      <c r="O248" s="25">
        <f>SUM(O249+O250+O266+O272+O273+O286+O285)</f>
        <v>46311</v>
      </c>
      <c r="P248" s="20"/>
      <c r="Q248" s="121">
        <f t="shared" si="132"/>
        <v>0.24842307982332912</v>
      </c>
      <c r="R248" s="121"/>
      <c r="S248" s="121"/>
      <c r="T248" s="25">
        <f aca="true" t="shared" si="159" ref="T248:AB248">SUM(T249+T250+T266+T272+T273+T286+T285)</f>
        <v>46311</v>
      </c>
      <c r="U248" s="25">
        <f t="shared" si="159"/>
        <v>46311</v>
      </c>
      <c r="V248" s="25">
        <f t="shared" si="159"/>
        <v>46311</v>
      </c>
      <c r="W248" s="25">
        <f t="shared" si="159"/>
        <v>46311</v>
      </c>
      <c r="X248" s="25">
        <f t="shared" si="159"/>
        <v>46311</v>
      </c>
      <c r="Y248" s="25">
        <f t="shared" si="159"/>
        <v>46311</v>
      </c>
      <c r="Z248" s="25">
        <f t="shared" si="159"/>
        <v>46311</v>
      </c>
      <c r="AA248" s="25">
        <f t="shared" si="159"/>
        <v>46311</v>
      </c>
      <c r="AB248" s="25">
        <f t="shared" si="159"/>
        <v>46311</v>
      </c>
    </row>
    <row r="249" spans="1:28" ht="15">
      <c r="A249" s="34" t="s">
        <v>585</v>
      </c>
      <c r="B249" s="29" t="s">
        <v>527</v>
      </c>
      <c r="C249" s="37">
        <v>293936.65662</v>
      </c>
      <c r="D249" s="235">
        <f>C249/C248</f>
        <v>1</v>
      </c>
      <c r="E249" s="120">
        <f t="shared" si="126"/>
        <v>-0.525914296153431</v>
      </c>
      <c r="F249" s="19">
        <f t="shared" si="127"/>
        <v>-154585.48988000004</v>
      </c>
      <c r="G249" s="117">
        <v>139351.16674</v>
      </c>
      <c r="H249" s="235">
        <f>G249/G248</f>
        <v>0.14702127414864533</v>
      </c>
      <c r="I249" s="120">
        <f t="shared" si="128"/>
        <v>-0.5356793434623811</v>
      </c>
      <c r="J249" s="19">
        <f t="shared" si="129"/>
        <v>-74647.54150999998</v>
      </c>
      <c r="K249" s="63">
        <v>64703.62523</v>
      </c>
      <c r="L249" s="38"/>
      <c r="M249" s="120">
        <f t="shared" si="130"/>
        <v>-0.2842595784180607</v>
      </c>
      <c r="N249" s="19">
        <f t="shared" si="131"/>
        <v>-18392.625229999998</v>
      </c>
      <c r="O249" s="61">
        <v>46311</v>
      </c>
      <c r="P249" s="38"/>
      <c r="Q249" s="121">
        <f t="shared" si="132"/>
        <v>-0.44861773934462423</v>
      </c>
      <c r="R249" s="121">
        <v>0</v>
      </c>
      <c r="S249" s="121"/>
      <c r="T249" s="61">
        <f>(O249*R249)+O249</f>
        <v>46311</v>
      </c>
      <c r="U249" s="61">
        <f>(T249*R249)+T249</f>
        <v>46311</v>
      </c>
      <c r="V249" s="137">
        <f>(U249*S249)+U249</f>
        <v>46311</v>
      </c>
      <c r="W249" s="137">
        <f>(V249*S249)+V249</f>
        <v>46311</v>
      </c>
      <c r="X249" s="137">
        <f>(W249*S249)+W249</f>
        <v>46311</v>
      </c>
      <c r="Y249" s="137">
        <f>(X249*S249)+X249</f>
        <v>46311</v>
      </c>
      <c r="Z249" s="137">
        <f>(Y249*S249)+Y249</f>
        <v>46311</v>
      </c>
      <c r="AA249" s="137">
        <f>(Z249*S249)+Z249</f>
        <v>46311</v>
      </c>
      <c r="AB249" s="61">
        <f>(AA249*S249)+AA249</f>
        <v>46311</v>
      </c>
    </row>
    <row r="250" spans="1:28" ht="15.75">
      <c r="A250" s="33" t="s">
        <v>586</v>
      </c>
      <c r="B250" s="23" t="s">
        <v>587</v>
      </c>
      <c r="C250" s="24">
        <f>SUM(C258:C264)+C251+C252</f>
        <v>0</v>
      </c>
      <c r="D250" s="237">
        <f>C250/C248</f>
        <v>0</v>
      </c>
      <c r="E250" s="120" t="e">
        <f t="shared" si="126"/>
        <v>#DIV/0!</v>
      </c>
      <c r="F250" s="19">
        <f t="shared" si="127"/>
        <v>177807.79</v>
      </c>
      <c r="G250" s="24">
        <f>SUM(G258:G264)+G251+G252</f>
        <v>177807.79</v>
      </c>
      <c r="H250" s="237">
        <f>G250/G248</f>
        <v>0.18759461044290615</v>
      </c>
      <c r="I250" s="120">
        <f t="shared" si="128"/>
        <v>-0.7625276831234447</v>
      </c>
      <c r="J250" s="19">
        <f t="shared" si="129"/>
        <v>-135583.36215</v>
      </c>
      <c r="K250" s="25">
        <f>SUM(K258:K264)+K251+K252</f>
        <v>42224.42785000001</v>
      </c>
      <c r="L250" s="20"/>
      <c r="M250" s="120">
        <f t="shared" si="130"/>
        <v>-1</v>
      </c>
      <c r="N250" s="19">
        <f t="shared" si="131"/>
        <v>-42224.42785000001</v>
      </c>
      <c r="O250" s="25">
        <f>SUM(O258:O264)+O251+O252</f>
        <v>0</v>
      </c>
      <c r="P250" s="20"/>
      <c r="Q250" s="121" t="e">
        <f t="shared" si="132"/>
        <v>#DIV/0!</v>
      </c>
      <c r="R250" s="121"/>
      <c r="S250" s="121"/>
      <c r="T250" s="25">
        <f aca="true" t="shared" si="160" ref="T250:AB250">SUM(T258:T264)+T251+T252</f>
        <v>0</v>
      </c>
      <c r="U250" s="25">
        <f t="shared" si="160"/>
        <v>0</v>
      </c>
      <c r="V250" s="25">
        <f t="shared" si="160"/>
        <v>0</v>
      </c>
      <c r="W250" s="25">
        <f t="shared" si="160"/>
        <v>0</v>
      </c>
      <c r="X250" s="25">
        <f t="shared" si="160"/>
        <v>0</v>
      </c>
      <c r="Y250" s="25">
        <f t="shared" si="160"/>
        <v>0</v>
      </c>
      <c r="Z250" s="25">
        <f t="shared" si="160"/>
        <v>0</v>
      </c>
      <c r="AA250" s="25">
        <f t="shared" si="160"/>
        <v>0</v>
      </c>
      <c r="AB250" s="25">
        <f t="shared" si="160"/>
        <v>0</v>
      </c>
    </row>
    <row r="251" spans="1:28" ht="15">
      <c r="A251" s="34" t="s">
        <v>588</v>
      </c>
      <c r="B251" s="29" t="s">
        <v>589</v>
      </c>
      <c r="C251" s="37">
        <v>0</v>
      </c>
      <c r="D251" s="38"/>
      <c r="E251" s="120" t="e">
        <f t="shared" si="126"/>
        <v>#DIV/0!</v>
      </c>
      <c r="F251" s="19">
        <f t="shared" si="127"/>
        <v>0</v>
      </c>
      <c r="G251" s="37">
        <v>0</v>
      </c>
      <c r="H251" s="38"/>
      <c r="I251" s="120" t="e">
        <f t="shared" si="128"/>
        <v>#DIV/0!</v>
      </c>
      <c r="J251" s="19">
        <f t="shared" si="129"/>
        <v>0</v>
      </c>
      <c r="K251" s="63">
        <v>0</v>
      </c>
      <c r="L251" s="38"/>
      <c r="M251" s="120" t="e">
        <f t="shared" si="130"/>
        <v>#DIV/0!</v>
      </c>
      <c r="N251" s="19">
        <f t="shared" si="131"/>
        <v>0</v>
      </c>
      <c r="O251" s="31">
        <v>0</v>
      </c>
      <c r="P251" s="38"/>
      <c r="Q251" s="121" t="e">
        <f t="shared" si="132"/>
        <v>#DIV/0!</v>
      </c>
      <c r="R251" s="121"/>
      <c r="S251" s="121"/>
      <c r="T251" s="61">
        <f>(O251*R251)+O251</f>
        <v>0</v>
      </c>
      <c r="U251" s="61">
        <f>(T251*R251)+T251</f>
        <v>0</v>
      </c>
      <c r="V251" s="61">
        <f>(U251*R251)+U251</f>
        <v>0</v>
      </c>
      <c r="W251" s="61">
        <f>(V251*R251)+V251</f>
        <v>0</v>
      </c>
      <c r="X251" s="61">
        <f>(W251*R251)+W251</f>
        <v>0</v>
      </c>
      <c r="Y251" s="61">
        <f>(X251*R251)+X251</f>
        <v>0</v>
      </c>
      <c r="Z251" s="61">
        <f aca="true" t="shared" si="161" ref="Z251:Z272">(Y251*R251)+Y251</f>
        <v>0</v>
      </c>
      <c r="AA251" s="61">
        <f>(Z251*R251)+Z251</f>
        <v>0</v>
      </c>
      <c r="AB251" s="61">
        <f>(AA251*R251)+AA251</f>
        <v>0</v>
      </c>
    </row>
    <row r="252" spans="1:28" ht="15.75">
      <c r="A252" s="33" t="s">
        <v>590</v>
      </c>
      <c r="B252" s="23" t="s">
        <v>591</v>
      </c>
      <c r="C252" s="24">
        <f>SUM(C253:C257)</f>
        <v>0</v>
      </c>
      <c r="D252" s="20"/>
      <c r="E252" s="120" t="e">
        <f t="shared" si="126"/>
        <v>#DIV/0!</v>
      </c>
      <c r="F252" s="19">
        <f t="shared" si="127"/>
        <v>176577</v>
      </c>
      <c r="G252" s="24">
        <f>SUM(G253:G257)</f>
        <v>176577</v>
      </c>
      <c r="H252" s="20"/>
      <c r="I252" s="120">
        <f t="shared" si="128"/>
        <v>-0.8213278695979658</v>
      </c>
      <c r="J252" s="19">
        <f t="shared" si="129"/>
        <v>-145027.61122999998</v>
      </c>
      <c r="K252" s="25">
        <f>SUM(K253:K257)</f>
        <v>31549.388770000005</v>
      </c>
      <c r="L252" s="20"/>
      <c r="M252" s="120">
        <f t="shared" si="130"/>
        <v>-1</v>
      </c>
      <c r="N252" s="19">
        <f t="shared" si="131"/>
        <v>-31549.388770000005</v>
      </c>
      <c r="O252" s="25">
        <f>SUM(O253:O257)</f>
        <v>0</v>
      </c>
      <c r="P252" s="20"/>
      <c r="Q252" s="121" t="e">
        <f t="shared" si="132"/>
        <v>#DIV/0!</v>
      </c>
      <c r="R252" s="121"/>
      <c r="S252" s="121"/>
      <c r="T252" s="25">
        <f aca="true" t="shared" si="162" ref="T252:AB252">SUM(T253:T257)</f>
        <v>0</v>
      </c>
      <c r="U252" s="25">
        <f t="shared" si="162"/>
        <v>0</v>
      </c>
      <c r="V252" s="25">
        <f t="shared" si="162"/>
        <v>0</v>
      </c>
      <c r="W252" s="25">
        <f t="shared" si="162"/>
        <v>0</v>
      </c>
      <c r="X252" s="25">
        <f t="shared" si="162"/>
        <v>0</v>
      </c>
      <c r="Y252" s="25">
        <f t="shared" si="162"/>
        <v>0</v>
      </c>
      <c r="Z252" s="25">
        <f t="shared" si="162"/>
        <v>0</v>
      </c>
      <c r="AA252" s="25">
        <f t="shared" si="162"/>
        <v>0</v>
      </c>
      <c r="AB252" s="25">
        <f t="shared" si="162"/>
        <v>0</v>
      </c>
    </row>
    <row r="253" spans="1:28" ht="15">
      <c r="A253" s="34" t="s">
        <v>592</v>
      </c>
      <c r="B253" s="29" t="s">
        <v>419</v>
      </c>
      <c r="C253" s="37">
        <v>0</v>
      </c>
      <c r="D253" s="38"/>
      <c r="E253" s="120" t="e">
        <f t="shared" si="126"/>
        <v>#DIV/0!</v>
      </c>
      <c r="F253" s="19">
        <f t="shared" si="127"/>
        <v>35315</v>
      </c>
      <c r="G253" s="117">
        <v>35315</v>
      </c>
      <c r="H253" s="38"/>
      <c r="I253" s="120">
        <f t="shared" si="128"/>
        <v>-0.8879912694322526</v>
      </c>
      <c r="J253" s="19">
        <f t="shared" si="129"/>
        <v>-31359.41168</v>
      </c>
      <c r="K253" s="63">
        <v>3955.58832</v>
      </c>
      <c r="L253" s="38"/>
      <c r="M253" s="120">
        <f t="shared" si="130"/>
        <v>-1</v>
      </c>
      <c r="N253" s="19">
        <f t="shared" si="131"/>
        <v>-3955.58832</v>
      </c>
      <c r="O253" s="31">
        <v>0</v>
      </c>
      <c r="P253" s="38"/>
      <c r="Q253" s="121" t="e">
        <f t="shared" si="132"/>
        <v>#DIV/0!</v>
      </c>
      <c r="R253" s="121"/>
      <c r="S253" s="121"/>
      <c r="T253" s="61">
        <f aca="true" t="shared" si="163" ref="T253:T263">(O253*R253)+O253</f>
        <v>0</v>
      </c>
      <c r="U253" s="61">
        <f aca="true" t="shared" si="164" ref="U253:U263">(T253*R253)+T253</f>
        <v>0</v>
      </c>
      <c r="V253" s="61">
        <f aca="true" t="shared" si="165" ref="V253:V272">(U253*R253)+U253</f>
        <v>0</v>
      </c>
      <c r="W253" s="61">
        <f aca="true" t="shared" si="166" ref="W253:W272">(V253*R253)+V253</f>
        <v>0</v>
      </c>
      <c r="X253" s="61">
        <f aca="true" t="shared" si="167" ref="X253:X263">(W253*R253)+W253</f>
        <v>0</v>
      </c>
      <c r="Y253" s="61">
        <f aca="true" t="shared" si="168" ref="Y253:Y263">(X253*R253)+X253</f>
        <v>0</v>
      </c>
      <c r="Z253" s="61">
        <f t="shared" si="161"/>
        <v>0</v>
      </c>
      <c r="AA253" s="61">
        <f aca="true" t="shared" si="169" ref="AA253:AA263">(Z253*R253)+Z253</f>
        <v>0</v>
      </c>
      <c r="AB253" s="61">
        <f aca="true" t="shared" si="170" ref="AB253:AB263">(AA253*R253)+AA253</f>
        <v>0</v>
      </c>
    </row>
    <row r="254" spans="1:28" ht="15">
      <c r="A254" s="34" t="s">
        <v>593</v>
      </c>
      <c r="B254" s="29" t="s">
        <v>421</v>
      </c>
      <c r="C254" s="37">
        <v>0</v>
      </c>
      <c r="D254" s="38"/>
      <c r="E254" s="120" t="e">
        <f t="shared" si="126"/>
        <v>#DIV/0!</v>
      </c>
      <c r="F254" s="19">
        <f t="shared" si="127"/>
        <v>70631</v>
      </c>
      <c r="G254" s="117">
        <v>70631</v>
      </c>
      <c r="H254" s="38"/>
      <c r="I254" s="120">
        <f t="shared" si="128"/>
        <v>-0.7567654313261882</v>
      </c>
      <c r="J254" s="19">
        <f t="shared" si="129"/>
        <v>-53451.09918</v>
      </c>
      <c r="K254" s="63">
        <v>17179.900820000003</v>
      </c>
      <c r="L254" s="38"/>
      <c r="M254" s="120">
        <f t="shared" si="130"/>
        <v>-1</v>
      </c>
      <c r="N254" s="19">
        <f t="shared" si="131"/>
        <v>-17179.900820000003</v>
      </c>
      <c r="O254" s="31">
        <v>0</v>
      </c>
      <c r="P254" s="38"/>
      <c r="Q254" s="121" t="e">
        <f t="shared" si="132"/>
        <v>#DIV/0!</v>
      </c>
      <c r="R254" s="121"/>
      <c r="S254" s="121"/>
      <c r="T254" s="61">
        <f t="shared" si="163"/>
        <v>0</v>
      </c>
      <c r="U254" s="61">
        <f t="shared" si="164"/>
        <v>0</v>
      </c>
      <c r="V254" s="61">
        <f t="shared" si="165"/>
        <v>0</v>
      </c>
      <c r="W254" s="61">
        <f t="shared" si="166"/>
        <v>0</v>
      </c>
      <c r="X254" s="61">
        <f t="shared" si="167"/>
        <v>0</v>
      </c>
      <c r="Y254" s="61">
        <f t="shared" si="168"/>
        <v>0</v>
      </c>
      <c r="Z254" s="61">
        <f t="shared" si="161"/>
        <v>0</v>
      </c>
      <c r="AA254" s="61">
        <f t="shared" si="169"/>
        <v>0</v>
      </c>
      <c r="AB254" s="61">
        <f t="shared" si="170"/>
        <v>0</v>
      </c>
    </row>
    <row r="255" spans="1:28" ht="15">
      <c r="A255" s="34" t="s">
        <v>594</v>
      </c>
      <c r="B255" s="29" t="s">
        <v>434</v>
      </c>
      <c r="C255" s="37">
        <v>0</v>
      </c>
      <c r="D255" s="38"/>
      <c r="E255" s="120" t="e">
        <f t="shared" si="126"/>
        <v>#DIV/0!</v>
      </c>
      <c r="F255" s="19">
        <f t="shared" si="127"/>
        <v>52973</v>
      </c>
      <c r="G255" s="117">
        <v>52973</v>
      </c>
      <c r="H255" s="38"/>
      <c r="I255" s="120">
        <f t="shared" si="128"/>
        <v>-0.8264705827497026</v>
      </c>
      <c r="J255" s="19">
        <f t="shared" si="129"/>
        <v>-43780.62618</v>
      </c>
      <c r="K255" s="63">
        <v>9192.37382</v>
      </c>
      <c r="L255" s="38"/>
      <c r="M255" s="120">
        <f t="shared" si="130"/>
        <v>-1</v>
      </c>
      <c r="N255" s="19">
        <f t="shared" si="131"/>
        <v>-9192.37382</v>
      </c>
      <c r="O255" s="31">
        <v>0</v>
      </c>
      <c r="P255" s="38"/>
      <c r="Q255" s="121" t="e">
        <f t="shared" si="132"/>
        <v>#DIV/0!</v>
      </c>
      <c r="R255" s="121"/>
      <c r="S255" s="121"/>
      <c r="T255" s="61">
        <f t="shared" si="163"/>
        <v>0</v>
      </c>
      <c r="U255" s="61">
        <f t="shared" si="164"/>
        <v>0</v>
      </c>
      <c r="V255" s="61">
        <f t="shared" si="165"/>
        <v>0</v>
      </c>
      <c r="W255" s="61">
        <f t="shared" si="166"/>
        <v>0</v>
      </c>
      <c r="X255" s="61">
        <f t="shared" si="167"/>
        <v>0</v>
      </c>
      <c r="Y255" s="61">
        <f t="shared" si="168"/>
        <v>0</v>
      </c>
      <c r="Z255" s="61">
        <f t="shared" si="161"/>
        <v>0</v>
      </c>
      <c r="AA255" s="61">
        <f t="shared" si="169"/>
        <v>0</v>
      </c>
      <c r="AB255" s="61">
        <f t="shared" si="170"/>
        <v>0</v>
      </c>
    </row>
    <row r="256" spans="1:28" ht="15">
      <c r="A256" s="34" t="s">
        <v>595</v>
      </c>
      <c r="B256" s="29" t="s">
        <v>596</v>
      </c>
      <c r="C256" s="37">
        <v>0</v>
      </c>
      <c r="D256" s="38"/>
      <c r="E256" s="120" t="e">
        <f t="shared" si="126"/>
        <v>#DIV/0!</v>
      </c>
      <c r="F256" s="19">
        <f t="shared" si="127"/>
        <v>17658</v>
      </c>
      <c r="G256" s="117">
        <v>17658</v>
      </c>
      <c r="H256" s="38"/>
      <c r="I256" s="120">
        <f t="shared" si="128"/>
        <v>-0.939547841771435</v>
      </c>
      <c r="J256" s="19">
        <f t="shared" si="129"/>
        <v>-16590.53579</v>
      </c>
      <c r="K256" s="63">
        <v>1067.46421</v>
      </c>
      <c r="L256" s="38"/>
      <c r="M256" s="120">
        <f t="shared" si="130"/>
        <v>-1</v>
      </c>
      <c r="N256" s="19">
        <f t="shared" si="131"/>
        <v>-1067.46421</v>
      </c>
      <c r="O256" s="31">
        <v>0</v>
      </c>
      <c r="P256" s="38"/>
      <c r="Q256" s="121" t="e">
        <f t="shared" si="132"/>
        <v>#DIV/0!</v>
      </c>
      <c r="R256" s="121"/>
      <c r="S256" s="121"/>
      <c r="T256" s="61">
        <f t="shared" si="163"/>
        <v>0</v>
      </c>
      <c r="U256" s="61">
        <f t="shared" si="164"/>
        <v>0</v>
      </c>
      <c r="V256" s="61">
        <f t="shared" si="165"/>
        <v>0</v>
      </c>
      <c r="W256" s="61">
        <f t="shared" si="166"/>
        <v>0</v>
      </c>
      <c r="X256" s="61">
        <f t="shared" si="167"/>
        <v>0</v>
      </c>
      <c r="Y256" s="61">
        <f t="shared" si="168"/>
        <v>0</v>
      </c>
      <c r="Z256" s="61">
        <f t="shared" si="161"/>
        <v>0</v>
      </c>
      <c r="AA256" s="61">
        <f t="shared" si="169"/>
        <v>0</v>
      </c>
      <c r="AB256" s="61">
        <f t="shared" si="170"/>
        <v>0</v>
      </c>
    </row>
    <row r="257" spans="1:28" ht="15.75" thickBot="1">
      <c r="A257" s="39" t="s">
        <v>597</v>
      </c>
      <c r="B257" s="44" t="s">
        <v>442</v>
      </c>
      <c r="C257" s="37">
        <v>0</v>
      </c>
      <c r="D257" s="38"/>
      <c r="E257" s="120" t="e">
        <f t="shared" si="126"/>
        <v>#DIV/0!</v>
      </c>
      <c r="F257" s="19">
        <f t="shared" si="127"/>
        <v>0</v>
      </c>
      <c r="G257" s="37">
        <v>0</v>
      </c>
      <c r="H257" s="38"/>
      <c r="I257" s="120" t="e">
        <f t="shared" si="128"/>
        <v>#DIV/0!</v>
      </c>
      <c r="J257" s="19">
        <f t="shared" si="129"/>
        <v>154.0616</v>
      </c>
      <c r="K257" s="63">
        <v>154.0616</v>
      </c>
      <c r="L257" s="38"/>
      <c r="M257" s="120">
        <f t="shared" si="130"/>
        <v>-1</v>
      </c>
      <c r="N257" s="19">
        <f t="shared" si="131"/>
        <v>-154.0616</v>
      </c>
      <c r="O257" s="31">
        <v>0</v>
      </c>
      <c r="P257" s="38"/>
      <c r="Q257" s="121" t="e">
        <f t="shared" si="132"/>
        <v>#DIV/0!</v>
      </c>
      <c r="R257" s="121"/>
      <c r="S257" s="121"/>
      <c r="T257" s="61">
        <f t="shared" si="163"/>
        <v>0</v>
      </c>
      <c r="U257" s="61">
        <f t="shared" si="164"/>
        <v>0</v>
      </c>
      <c r="V257" s="61">
        <f t="shared" si="165"/>
        <v>0</v>
      </c>
      <c r="W257" s="61">
        <f t="shared" si="166"/>
        <v>0</v>
      </c>
      <c r="X257" s="61">
        <f t="shared" si="167"/>
        <v>0</v>
      </c>
      <c r="Y257" s="61">
        <f t="shared" si="168"/>
        <v>0</v>
      </c>
      <c r="Z257" s="61">
        <f t="shared" si="161"/>
        <v>0</v>
      </c>
      <c r="AA257" s="61">
        <f t="shared" si="169"/>
        <v>0</v>
      </c>
      <c r="AB257" s="61">
        <f t="shared" si="170"/>
        <v>0</v>
      </c>
    </row>
    <row r="258" spans="1:28" ht="15">
      <c r="A258" s="68" t="s">
        <v>598</v>
      </c>
      <c r="B258" s="69" t="s">
        <v>555</v>
      </c>
      <c r="C258" s="37">
        <v>0</v>
      </c>
      <c r="D258" s="38"/>
      <c r="E258" s="120" t="e">
        <f t="shared" si="126"/>
        <v>#DIV/0!</v>
      </c>
      <c r="F258" s="19">
        <f t="shared" si="127"/>
        <v>0</v>
      </c>
      <c r="G258" s="117">
        <v>0</v>
      </c>
      <c r="H258" s="38"/>
      <c r="I258" s="120" t="e">
        <f t="shared" si="128"/>
        <v>#DIV/0!</v>
      </c>
      <c r="J258" s="19">
        <f t="shared" si="129"/>
        <v>0</v>
      </c>
      <c r="K258" s="63">
        <v>0</v>
      </c>
      <c r="L258" s="38"/>
      <c r="M258" s="120" t="e">
        <f t="shared" si="130"/>
        <v>#DIV/0!</v>
      </c>
      <c r="N258" s="19">
        <f t="shared" si="131"/>
        <v>0</v>
      </c>
      <c r="O258" s="31">
        <v>0</v>
      </c>
      <c r="P258" s="38"/>
      <c r="Q258" s="121" t="e">
        <f t="shared" si="132"/>
        <v>#DIV/0!</v>
      </c>
      <c r="R258" s="121"/>
      <c r="S258" s="121"/>
      <c r="T258" s="61">
        <f t="shared" si="163"/>
        <v>0</v>
      </c>
      <c r="U258" s="61">
        <f t="shared" si="164"/>
        <v>0</v>
      </c>
      <c r="V258" s="61">
        <f t="shared" si="165"/>
        <v>0</v>
      </c>
      <c r="W258" s="61">
        <f t="shared" si="166"/>
        <v>0</v>
      </c>
      <c r="X258" s="61">
        <f t="shared" si="167"/>
        <v>0</v>
      </c>
      <c r="Y258" s="61">
        <f t="shared" si="168"/>
        <v>0</v>
      </c>
      <c r="Z258" s="61">
        <f t="shared" si="161"/>
        <v>0</v>
      </c>
      <c r="AA258" s="61">
        <f t="shared" si="169"/>
        <v>0</v>
      </c>
      <c r="AB258" s="61">
        <f t="shared" si="170"/>
        <v>0</v>
      </c>
    </row>
    <row r="259" spans="1:28" ht="15">
      <c r="A259" s="34" t="s">
        <v>599</v>
      </c>
      <c r="B259" s="29" t="s">
        <v>557</v>
      </c>
      <c r="C259" s="37">
        <v>0</v>
      </c>
      <c r="D259" s="38"/>
      <c r="E259" s="120" t="e">
        <f t="shared" si="126"/>
        <v>#DIV/0!</v>
      </c>
      <c r="F259" s="19">
        <f t="shared" si="127"/>
        <v>0</v>
      </c>
      <c r="G259" s="117">
        <v>0</v>
      </c>
      <c r="H259" s="38"/>
      <c r="I259" s="120" t="e">
        <f t="shared" si="128"/>
        <v>#DIV/0!</v>
      </c>
      <c r="J259" s="19">
        <f t="shared" si="129"/>
        <v>0</v>
      </c>
      <c r="K259" s="63">
        <v>0</v>
      </c>
      <c r="L259" s="38"/>
      <c r="M259" s="120" t="e">
        <f t="shared" si="130"/>
        <v>#DIV/0!</v>
      </c>
      <c r="N259" s="19">
        <f t="shared" si="131"/>
        <v>0</v>
      </c>
      <c r="O259" s="31">
        <v>0</v>
      </c>
      <c r="P259" s="38"/>
      <c r="Q259" s="121" t="e">
        <f t="shared" si="132"/>
        <v>#DIV/0!</v>
      </c>
      <c r="R259" s="121"/>
      <c r="S259" s="121"/>
      <c r="T259" s="61">
        <f t="shared" si="163"/>
        <v>0</v>
      </c>
      <c r="U259" s="61">
        <f t="shared" si="164"/>
        <v>0</v>
      </c>
      <c r="V259" s="61">
        <f t="shared" si="165"/>
        <v>0</v>
      </c>
      <c r="W259" s="61">
        <f t="shared" si="166"/>
        <v>0</v>
      </c>
      <c r="X259" s="61">
        <f t="shared" si="167"/>
        <v>0</v>
      </c>
      <c r="Y259" s="61">
        <f t="shared" si="168"/>
        <v>0</v>
      </c>
      <c r="Z259" s="61">
        <f t="shared" si="161"/>
        <v>0</v>
      </c>
      <c r="AA259" s="61">
        <f t="shared" si="169"/>
        <v>0</v>
      </c>
      <c r="AB259" s="61">
        <f t="shared" si="170"/>
        <v>0</v>
      </c>
    </row>
    <row r="260" spans="1:28" ht="15">
      <c r="A260" s="34" t="s">
        <v>600</v>
      </c>
      <c r="B260" s="29" t="s">
        <v>559</v>
      </c>
      <c r="C260" s="37">
        <v>0</v>
      </c>
      <c r="D260" s="38"/>
      <c r="E260" s="120" t="e">
        <f aca="true" t="shared" si="171" ref="E260:E317">G260/C260-1</f>
        <v>#DIV/0!</v>
      </c>
      <c r="F260" s="19">
        <f aca="true" t="shared" si="172" ref="F260:F317">G260-C260</f>
        <v>666.195</v>
      </c>
      <c r="G260" s="117">
        <v>666.195</v>
      </c>
      <c r="H260" s="38"/>
      <c r="I260" s="120">
        <f aca="true" t="shared" si="173" ref="I260:I317">K260/G260-1</f>
        <v>2.3553607427254786</v>
      </c>
      <c r="J260" s="19">
        <f aca="true" t="shared" si="174" ref="J260:J317">K260-G260</f>
        <v>1569.12955</v>
      </c>
      <c r="K260" s="63">
        <v>2235.3245500000003</v>
      </c>
      <c r="L260" s="38"/>
      <c r="M260" s="120">
        <f aca="true" t="shared" si="175" ref="M260:M317">O260/K260-1</f>
        <v>-1</v>
      </c>
      <c r="N260" s="19">
        <f aca="true" t="shared" si="176" ref="N260:N317">O260-K260</f>
        <v>-2235.3245500000003</v>
      </c>
      <c r="O260" s="31">
        <v>0</v>
      </c>
      <c r="P260" s="38"/>
      <c r="Q260" s="121" t="e">
        <f t="shared" si="132"/>
        <v>#DIV/0!</v>
      </c>
      <c r="R260" s="121"/>
      <c r="S260" s="121"/>
      <c r="T260" s="61">
        <f t="shared" si="163"/>
        <v>0</v>
      </c>
      <c r="U260" s="61">
        <f t="shared" si="164"/>
        <v>0</v>
      </c>
      <c r="V260" s="61">
        <f t="shared" si="165"/>
        <v>0</v>
      </c>
      <c r="W260" s="61">
        <f t="shared" si="166"/>
        <v>0</v>
      </c>
      <c r="X260" s="61">
        <f t="shared" si="167"/>
        <v>0</v>
      </c>
      <c r="Y260" s="61">
        <f t="shared" si="168"/>
        <v>0</v>
      </c>
      <c r="Z260" s="61">
        <f t="shared" si="161"/>
        <v>0</v>
      </c>
      <c r="AA260" s="61">
        <f t="shared" si="169"/>
        <v>0</v>
      </c>
      <c r="AB260" s="61">
        <f t="shared" si="170"/>
        <v>0</v>
      </c>
    </row>
    <row r="261" spans="1:28" ht="15">
      <c r="A261" s="34" t="s">
        <v>601</v>
      </c>
      <c r="B261" s="29" t="s">
        <v>561</v>
      </c>
      <c r="C261" s="37">
        <v>0</v>
      </c>
      <c r="D261" s="38"/>
      <c r="E261" s="120" t="e">
        <f t="shared" si="171"/>
        <v>#DIV/0!</v>
      </c>
      <c r="F261" s="19">
        <f t="shared" si="172"/>
        <v>9.645999999999999</v>
      </c>
      <c r="G261" s="117">
        <v>9.645999999999999</v>
      </c>
      <c r="H261" s="38"/>
      <c r="I261" s="120">
        <f t="shared" si="173"/>
        <v>6.920768194070082</v>
      </c>
      <c r="J261" s="19">
        <f t="shared" si="174"/>
        <v>66.75773</v>
      </c>
      <c r="K261" s="63">
        <v>76.40373</v>
      </c>
      <c r="L261" s="38"/>
      <c r="M261" s="120">
        <f t="shared" si="175"/>
        <v>-1</v>
      </c>
      <c r="N261" s="19">
        <f t="shared" si="176"/>
        <v>-76.40373</v>
      </c>
      <c r="O261" s="31">
        <v>0</v>
      </c>
      <c r="P261" s="38"/>
      <c r="Q261" s="121" t="e">
        <f aca="true" t="shared" si="177" ref="Q261:Q324">SUM(E261+I261+M261)/3</f>
        <v>#DIV/0!</v>
      </c>
      <c r="R261" s="121"/>
      <c r="S261" s="121"/>
      <c r="T261" s="61">
        <f t="shared" si="163"/>
        <v>0</v>
      </c>
      <c r="U261" s="61">
        <f t="shared" si="164"/>
        <v>0</v>
      </c>
      <c r="V261" s="61">
        <f t="shared" si="165"/>
        <v>0</v>
      </c>
      <c r="W261" s="61">
        <f t="shared" si="166"/>
        <v>0</v>
      </c>
      <c r="X261" s="61">
        <f t="shared" si="167"/>
        <v>0</v>
      </c>
      <c r="Y261" s="61">
        <f t="shared" si="168"/>
        <v>0</v>
      </c>
      <c r="Z261" s="61">
        <f t="shared" si="161"/>
        <v>0</v>
      </c>
      <c r="AA261" s="61">
        <f t="shared" si="169"/>
        <v>0</v>
      </c>
      <c r="AB261" s="61">
        <f t="shared" si="170"/>
        <v>0</v>
      </c>
    </row>
    <row r="262" spans="1:28" ht="15">
      <c r="A262" s="34" t="s">
        <v>602</v>
      </c>
      <c r="B262" s="29" t="s">
        <v>563</v>
      </c>
      <c r="C262" s="37">
        <v>0</v>
      </c>
      <c r="D262" s="38"/>
      <c r="E262" s="120" t="e">
        <f t="shared" si="171"/>
        <v>#DIV/0!</v>
      </c>
      <c r="F262" s="19">
        <f t="shared" si="172"/>
        <v>11.592</v>
      </c>
      <c r="G262" s="117">
        <v>11.592</v>
      </c>
      <c r="H262" s="38"/>
      <c r="I262" s="120">
        <f t="shared" si="173"/>
        <v>567.0225051759834</v>
      </c>
      <c r="J262" s="19">
        <f t="shared" si="174"/>
        <v>6572.9248800000005</v>
      </c>
      <c r="K262" s="63">
        <v>6584.51688</v>
      </c>
      <c r="L262" s="38"/>
      <c r="M262" s="120">
        <f t="shared" si="175"/>
        <v>-1</v>
      </c>
      <c r="N262" s="19">
        <f t="shared" si="176"/>
        <v>-6584.51688</v>
      </c>
      <c r="O262" s="31">
        <v>0</v>
      </c>
      <c r="P262" s="38"/>
      <c r="Q262" s="121" t="e">
        <f t="shared" si="177"/>
        <v>#DIV/0!</v>
      </c>
      <c r="R262" s="121"/>
      <c r="S262" s="121"/>
      <c r="T262" s="61">
        <f t="shared" si="163"/>
        <v>0</v>
      </c>
      <c r="U262" s="61">
        <f t="shared" si="164"/>
        <v>0</v>
      </c>
      <c r="V262" s="61">
        <f t="shared" si="165"/>
        <v>0</v>
      </c>
      <c r="W262" s="61">
        <f t="shared" si="166"/>
        <v>0</v>
      </c>
      <c r="X262" s="61">
        <f t="shared" si="167"/>
        <v>0</v>
      </c>
      <c r="Y262" s="61">
        <f t="shared" si="168"/>
        <v>0</v>
      </c>
      <c r="Z262" s="61">
        <f t="shared" si="161"/>
        <v>0</v>
      </c>
      <c r="AA262" s="61">
        <f t="shared" si="169"/>
        <v>0</v>
      </c>
      <c r="AB262" s="61">
        <f t="shared" si="170"/>
        <v>0</v>
      </c>
    </row>
    <row r="263" spans="1:28" ht="15">
      <c r="A263" s="34" t="s">
        <v>603</v>
      </c>
      <c r="B263" s="29" t="s">
        <v>569</v>
      </c>
      <c r="C263" s="37">
        <v>0</v>
      </c>
      <c r="D263" s="38"/>
      <c r="E263" s="120" t="e">
        <f t="shared" si="171"/>
        <v>#DIV/0!</v>
      </c>
      <c r="F263" s="19">
        <f t="shared" si="172"/>
        <v>530.509</v>
      </c>
      <c r="G263" s="117">
        <v>530.509</v>
      </c>
      <c r="H263" s="38"/>
      <c r="I263" s="120">
        <f t="shared" si="173"/>
        <v>2.079726413689494</v>
      </c>
      <c r="J263" s="19">
        <f t="shared" si="174"/>
        <v>1103.31358</v>
      </c>
      <c r="K263" s="63">
        <v>1633.82258</v>
      </c>
      <c r="L263" s="38"/>
      <c r="M263" s="120">
        <f t="shared" si="175"/>
        <v>-1</v>
      </c>
      <c r="N263" s="19">
        <f t="shared" si="176"/>
        <v>-1633.82258</v>
      </c>
      <c r="O263" s="31">
        <v>0</v>
      </c>
      <c r="P263" s="38"/>
      <c r="Q263" s="121" t="e">
        <f t="shared" si="177"/>
        <v>#DIV/0!</v>
      </c>
      <c r="R263" s="121"/>
      <c r="S263" s="121"/>
      <c r="T263" s="61">
        <f t="shared" si="163"/>
        <v>0</v>
      </c>
      <c r="U263" s="61">
        <f t="shared" si="164"/>
        <v>0</v>
      </c>
      <c r="V263" s="61">
        <f t="shared" si="165"/>
        <v>0</v>
      </c>
      <c r="W263" s="61">
        <f t="shared" si="166"/>
        <v>0</v>
      </c>
      <c r="X263" s="61">
        <f t="shared" si="167"/>
        <v>0</v>
      </c>
      <c r="Y263" s="61">
        <f t="shared" si="168"/>
        <v>0</v>
      </c>
      <c r="Z263" s="61">
        <f t="shared" si="161"/>
        <v>0</v>
      </c>
      <c r="AA263" s="61">
        <f t="shared" si="169"/>
        <v>0</v>
      </c>
      <c r="AB263" s="61">
        <f t="shared" si="170"/>
        <v>0</v>
      </c>
    </row>
    <row r="264" spans="1:28" ht="15">
      <c r="A264" s="34" t="s">
        <v>604</v>
      </c>
      <c r="B264" s="29" t="s">
        <v>571</v>
      </c>
      <c r="C264" s="24">
        <f>SUM(C265)</f>
        <v>0</v>
      </c>
      <c r="D264" s="20"/>
      <c r="E264" s="120" t="e">
        <f t="shared" si="171"/>
        <v>#DIV/0!</v>
      </c>
      <c r="F264" s="19">
        <f t="shared" si="172"/>
        <v>12.847999999999999</v>
      </c>
      <c r="G264" s="24">
        <f>SUM(G265)</f>
        <v>12.847999999999999</v>
      </c>
      <c r="H264" s="20"/>
      <c r="I264" s="120">
        <f t="shared" si="173"/>
        <v>10.283572540473227</v>
      </c>
      <c r="J264" s="19">
        <f t="shared" si="174"/>
        <v>132.12333999999998</v>
      </c>
      <c r="K264" s="25">
        <f>SUM(K265)</f>
        <v>144.97134</v>
      </c>
      <c r="L264" s="20"/>
      <c r="M264" s="120">
        <f t="shared" si="175"/>
        <v>-1</v>
      </c>
      <c r="N264" s="19">
        <f t="shared" si="176"/>
        <v>-144.97134</v>
      </c>
      <c r="O264" s="25">
        <f>SUM(O265)</f>
        <v>0</v>
      </c>
      <c r="P264" s="20"/>
      <c r="Q264" s="121" t="e">
        <f t="shared" si="177"/>
        <v>#DIV/0!</v>
      </c>
      <c r="R264" s="121"/>
      <c r="S264" s="121"/>
      <c r="T264" s="25">
        <f>SUM(T265)</f>
        <v>0</v>
      </c>
      <c r="U264" s="25">
        <f>SUM(U265)</f>
        <v>0</v>
      </c>
      <c r="V264" s="25">
        <f>SUM(V265)</f>
        <v>0</v>
      </c>
      <c r="W264" s="25">
        <f aca="true" t="shared" si="178" ref="W264:AB264">SUM(W265)</f>
        <v>0</v>
      </c>
      <c r="X264" s="25">
        <f t="shared" si="178"/>
        <v>0</v>
      </c>
      <c r="Y264" s="25">
        <f t="shared" si="178"/>
        <v>0</v>
      </c>
      <c r="Z264" s="25">
        <f t="shared" si="178"/>
        <v>0</v>
      </c>
      <c r="AA264" s="25">
        <f t="shared" si="178"/>
        <v>0</v>
      </c>
      <c r="AB264" s="25">
        <f t="shared" si="178"/>
        <v>0</v>
      </c>
    </row>
    <row r="265" spans="1:28" ht="15">
      <c r="A265" s="34" t="s">
        <v>605</v>
      </c>
      <c r="B265" s="29" t="s">
        <v>522</v>
      </c>
      <c r="C265" s="37">
        <v>0</v>
      </c>
      <c r="D265" s="38"/>
      <c r="E265" s="120" t="e">
        <f t="shared" si="171"/>
        <v>#DIV/0!</v>
      </c>
      <c r="F265" s="19">
        <f t="shared" si="172"/>
        <v>12.847999999999999</v>
      </c>
      <c r="G265" s="117">
        <v>12.847999999999999</v>
      </c>
      <c r="H265" s="38"/>
      <c r="I265" s="120">
        <f t="shared" si="173"/>
        <v>10.283572540473227</v>
      </c>
      <c r="J265" s="19">
        <f t="shared" si="174"/>
        <v>132.12333999999998</v>
      </c>
      <c r="K265" s="63">
        <v>144.97134</v>
      </c>
      <c r="L265" s="38"/>
      <c r="M265" s="120">
        <f t="shared" si="175"/>
        <v>-1</v>
      </c>
      <c r="N265" s="19">
        <f t="shared" si="176"/>
        <v>-144.97134</v>
      </c>
      <c r="O265" s="31">
        <v>0</v>
      </c>
      <c r="P265" s="38"/>
      <c r="Q265" s="121" t="e">
        <f t="shared" si="177"/>
        <v>#DIV/0!</v>
      </c>
      <c r="R265" s="121"/>
      <c r="S265" s="121"/>
      <c r="T265" s="61">
        <f>(O265*R265)+O265</f>
        <v>0</v>
      </c>
      <c r="U265" s="61">
        <f>(T265*R265)+T265</f>
        <v>0</v>
      </c>
      <c r="V265" s="61">
        <f t="shared" si="165"/>
        <v>0</v>
      </c>
      <c r="W265" s="61">
        <f t="shared" si="166"/>
        <v>0</v>
      </c>
      <c r="X265" s="61">
        <f>(W265*R265)+W265</f>
        <v>0</v>
      </c>
      <c r="Y265" s="61">
        <f>(X265*R265)+X265</f>
        <v>0</v>
      </c>
      <c r="Z265" s="61">
        <f t="shared" si="161"/>
        <v>0</v>
      </c>
      <c r="AA265" s="61">
        <f>(Z265*R265)+Z265</f>
        <v>0</v>
      </c>
      <c r="AB265" s="61">
        <f>(AA265*R265)+AA265</f>
        <v>0</v>
      </c>
    </row>
    <row r="266" spans="1:28" ht="15.75">
      <c r="A266" s="34" t="s">
        <v>606</v>
      </c>
      <c r="B266" s="23" t="s">
        <v>607</v>
      </c>
      <c r="C266" s="24">
        <f>SUM(C267:C271)</f>
        <v>0</v>
      </c>
      <c r="D266" s="20"/>
      <c r="E266" s="120" t="e">
        <f t="shared" si="171"/>
        <v>#DIV/0!</v>
      </c>
      <c r="F266" s="19">
        <f t="shared" si="172"/>
        <v>67399.992</v>
      </c>
      <c r="G266" s="24">
        <f>SUM(G267:G271)</f>
        <v>67399.992</v>
      </c>
      <c r="H266" s="237">
        <f>G266/G248</f>
        <v>0.07110979357594507</v>
      </c>
      <c r="I266" s="120">
        <f t="shared" si="173"/>
        <v>-0.46016186633968736</v>
      </c>
      <c r="J266" s="19">
        <f t="shared" si="174"/>
        <v>-31014.906109999996</v>
      </c>
      <c r="K266" s="25">
        <f>SUM(K267:K271)</f>
        <v>36385.08589</v>
      </c>
      <c r="L266" s="20"/>
      <c r="M266" s="120">
        <f t="shared" si="175"/>
        <v>-1</v>
      </c>
      <c r="N266" s="19">
        <f t="shared" si="176"/>
        <v>-36385.08589</v>
      </c>
      <c r="O266" s="25">
        <f>SUM(O267:O271)</f>
        <v>0</v>
      </c>
      <c r="P266" s="20"/>
      <c r="Q266" s="121" t="e">
        <f t="shared" si="177"/>
        <v>#DIV/0!</v>
      </c>
      <c r="R266" s="121"/>
      <c r="S266" s="121"/>
      <c r="T266" s="25">
        <f>SUM(T267:T271)</f>
        <v>0</v>
      </c>
      <c r="U266" s="25">
        <f>SUM(U267:U271)</f>
        <v>0</v>
      </c>
      <c r="V266" s="25">
        <f>SUM(V267:V271)</f>
        <v>0</v>
      </c>
      <c r="W266" s="25">
        <f aca="true" t="shared" si="179" ref="W266:AB266">SUM(W267:W271)</f>
        <v>0</v>
      </c>
      <c r="X266" s="25">
        <f t="shared" si="179"/>
        <v>0</v>
      </c>
      <c r="Y266" s="25">
        <f t="shared" si="179"/>
        <v>0</v>
      </c>
      <c r="Z266" s="25">
        <f t="shared" si="179"/>
        <v>0</v>
      </c>
      <c r="AA266" s="25">
        <f t="shared" si="179"/>
        <v>0</v>
      </c>
      <c r="AB266" s="25">
        <f t="shared" si="179"/>
        <v>0</v>
      </c>
    </row>
    <row r="267" spans="1:28" ht="15">
      <c r="A267" s="34" t="s">
        <v>608</v>
      </c>
      <c r="B267" s="29" t="s">
        <v>372</v>
      </c>
      <c r="C267" s="37">
        <v>0</v>
      </c>
      <c r="D267" s="38"/>
      <c r="E267" s="120" t="e">
        <f t="shared" si="171"/>
        <v>#DIV/0!</v>
      </c>
      <c r="F267" s="19">
        <f t="shared" si="172"/>
        <v>39001</v>
      </c>
      <c r="G267" s="37">
        <v>39001</v>
      </c>
      <c r="H267" s="38">
        <f>G267/G266</f>
        <v>0.5786499203145307</v>
      </c>
      <c r="I267" s="120">
        <f t="shared" si="173"/>
        <v>-0.612881783287608</v>
      </c>
      <c r="J267" s="19">
        <f t="shared" si="174"/>
        <v>-23903.00243</v>
      </c>
      <c r="K267" s="63">
        <v>15097.99757</v>
      </c>
      <c r="L267" s="38"/>
      <c r="M267" s="120">
        <f t="shared" si="175"/>
        <v>-1</v>
      </c>
      <c r="N267" s="19">
        <f t="shared" si="176"/>
        <v>-15097.99757</v>
      </c>
      <c r="O267" s="31">
        <v>0</v>
      </c>
      <c r="P267" s="38"/>
      <c r="Q267" s="121" t="e">
        <f t="shared" si="177"/>
        <v>#DIV/0!</v>
      </c>
      <c r="R267" s="121"/>
      <c r="S267" s="121"/>
      <c r="T267" s="61">
        <f aca="true" t="shared" si="180" ref="T267:T272">(O267*R267)+O267</f>
        <v>0</v>
      </c>
      <c r="U267" s="61">
        <f aca="true" t="shared" si="181" ref="U267:U272">(T267*R267)+T267</f>
        <v>0</v>
      </c>
      <c r="V267" s="61">
        <f t="shared" si="165"/>
        <v>0</v>
      </c>
      <c r="W267" s="61">
        <f t="shared" si="166"/>
        <v>0</v>
      </c>
      <c r="X267" s="61">
        <f aca="true" t="shared" si="182" ref="X267:X272">(W267*R267)+W267</f>
        <v>0</v>
      </c>
      <c r="Y267" s="61">
        <f aca="true" t="shared" si="183" ref="Y267:Y272">(X267*R267)+X267</f>
        <v>0</v>
      </c>
      <c r="Z267" s="61">
        <f t="shared" si="161"/>
        <v>0</v>
      </c>
      <c r="AA267" s="61">
        <f aca="true" t="shared" si="184" ref="AA267:AA272">(Z267*R267)+Z267</f>
        <v>0</v>
      </c>
      <c r="AB267" s="61">
        <f aca="true" t="shared" si="185" ref="AB267:AB272">(AA267*R267)+AA267</f>
        <v>0</v>
      </c>
    </row>
    <row r="268" spans="1:28" ht="15">
      <c r="A268" s="34" t="s">
        <v>609</v>
      </c>
      <c r="B268" s="29" t="s">
        <v>610</v>
      </c>
      <c r="C268" s="37">
        <v>0</v>
      </c>
      <c r="D268" s="38"/>
      <c r="E268" s="120" t="e">
        <f t="shared" si="171"/>
        <v>#DIV/0!</v>
      </c>
      <c r="F268" s="19">
        <f t="shared" si="172"/>
        <v>314</v>
      </c>
      <c r="G268" s="37">
        <v>314</v>
      </c>
      <c r="H268" s="38">
        <f>G268/G266</f>
        <v>0.004658754262166678</v>
      </c>
      <c r="I268" s="120">
        <f t="shared" si="173"/>
        <v>5.136532515923567</v>
      </c>
      <c r="J268" s="19">
        <f t="shared" si="174"/>
        <v>1612.87121</v>
      </c>
      <c r="K268" s="63">
        <v>1926.87121</v>
      </c>
      <c r="L268" s="38"/>
      <c r="M268" s="120">
        <f t="shared" si="175"/>
        <v>-1</v>
      </c>
      <c r="N268" s="19">
        <f t="shared" si="176"/>
        <v>-1926.87121</v>
      </c>
      <c r="O268" s="31">
        <v>0</v>
      </c>
      <c r="P268" s="38"/>
      <c r="Q268" s="121" t="e">
        <f t="shared" si="177"/>
        <v>#DIV/0!</v>
      </c>
      <c r="R268" s="121"/>
      <c r="S268" s="121"/>
      <c r="T268" s="61">
        <f t="shared" si="180"/>
        <v>0</v>
      </c>
      <c r="U268" s="61">
        <f t="shared" si="181"/>
        <v>0</v>
      </c>
      <c r="V268" s="61">
        <f t="shared" si="165"/>
        <v>0</v>
      </c>
      <c r="W268" s="61">
        <f t="shared" si="166"/>
        <v>0</v>
      </c>
      <c r="X268" s="61">
        <f t="shared" si="182"/>
        <v>0</v>
      </c>
      <c r="Y268" s="61">
        <f t="shared" si="183"/>
        <v>0</v>
      </c>
      <c r="Z268" s="61">
        <f t="shared" si="161"/>
        <v>0</v>
      </c>
      <c r="AA268" s="61">
        <f t="shared" si="184"/>
        <v>0</v>
      </c>
      <c r="AB268" s="61">
        <f t="shared" si="185"/>
        <v>0</v>
      </c>
    </row>
    <row r="269" spans="1:28" ht="15">
      <c r="A269" s="34" t="s">
        <v>611</v>
      </c>
      <c r="B269" s="29" t="s">
        <v>376</v>
      </c>
      <c r="C269" s="37">
        <v>0</v>
      </c>
      <c r="D269" s="38"/>
      <c r="E269" s="120" t="e">
        <f t="shared" si="171"/>
        <v>#DIV/0!</v>
      </c>
      <c r="F269" s="19">
        <f t="shared" si="172"/>
        <v>890</v>
      </c>
      <c r="G269" s="37">
        <v>890</v>
      </c>
      <c r="H269" s="38">
        <f>G269/G266</f>
        <v>0.01320474934181001</v>
      </c>
      <c r="I269" s="120">
        <f t="shared" si="173"/>
        <v>-0.7973655393258428</v>
      </c>
      <c r="J269" s="19">
        <f t="shared" si="174"/>
        <v>-709.65533</v>
      </c>
      <c r="K269" s="63">
        <v>180.34467</v>
      </c>
      <c r="L269" s="38"/>
      <c r="M269" s="120">
        <f t="shared" si="175"/>
        <v>-1</v>
      </c>
      <c r="N269" s="19">
        <f t="shared" si="176"/>
        <v>-180.34467</v>
      </c>
      <c r="O269" s="31">
        <v>0</v>
      </c>
      <c r="P269" s="38"/>
      <c r="Q269" s="121" t="e">
        <f t="shared" si="177"/>
        <v>#DIV/0!</v>
      </c>
      <c r="R269" s="121"/>
      <c r="S269" s="121"/>
      <c r="T269" s="61">
        <f t="shared" si="180"/>
        <v>0</v>
      </c>
      <c r="U269" s="61">
        <f t="shared" si="181"/>
        <v>0</v>
      </c>
      <c r="V269" s="61">
        <f t="shared" si="165"/>
        <v>0</v>
      </c>
      <c r="W269" s="61">
        <f t="shared" si="166"/>
        <v>0</v>
      </c>
      <c r="X269" s="61">
        <f t="shared" si="182"/>
        <v>0</v>
      </c>
      <c r="Y269" s="61">
        <f t="shared" si="183"/>
        <v>0</v>
      </c>
      <c r="Z269" s="61">
        <f t="shared" si="161"/>
        <v>0</v>
      </c>
      <c r="AA269" s="61">
        <f t="shared" si="184"/>
        <v>0</v>
      </c>
      <c r="AB269" s="61">
        <f t="shared" si="185"/>
        <v>0</v>
      </c>
    </row>
    <row r="270" spans="1:28" ht="15">
      <c r="A270" s="34" t="s">
        <v>612</v>
      </c>
      <c r="B270" s="29" t="s">
        <v>613</v>
      </c>
      <c r="C270" s="37">
        <v>0</v>
      </c>
      <c r="D270" s="38"/>
      <c r="E270" s="120" t="e">
        <f t="shared" si="171"/>
        <v>#DIV/0!</v>
      </c>
      <c r="F270" s="19">
        <f t="shared" si="172"/>
        <v>27194.992</v>
      </c>
      <c r="G270" s="37">
        <v>27194.992</v>
      </c>
      <c r="H270" s="38">
        <f>G270/G266</f>
        <v>0.4034865760814927</v>
      </c>
      <c r="I270" s="120">
        <f t="shared" si="173"/>
        <v>-0.447291627076044</v>
      </c>
      <c r="J270" s="19">
        <f t="shared" si="174"/>
        <v>-12164.092219999999</v>
      </c>
      <c r="K270" s="63">
        <v>15030.89978</v>
      </c>
      <c r="L270" s="38"/>
      <c r="M270" s="120">
        <f t="shared" si="175"/>
        <v>-1</v>
      </c>
      <c r="N270" s="19">
        <f t="shared" si="176"/>
        <v>-15030.89978</v>
      </c>
      <c r="O270" s="31">
        <v>0</v>
      </c>
      <c r="P270" s="38"/>
      <c r="Q270" s="121" t="e">
        <f t="shared" si="177"/>
        <v>#DIV/0!</v>
      </c>
      <c r="R270" s="121"/>
      <c r="S270" s="121"/>
      <c r="T270" s="61">
        <f t="shared" si="180"/>
        <v>0</v>
      </c>
      <c r="U270" s="61">
        <f t="shared" si="181"/>
        <v>0</v>
      </c>
      <c r="V270" s="61">
        <f t="shared" si="165"/>
        <v>0</v>
      </c>
      <c r="W270" s="61">
        <f t="shared" si="166"/>
        <v>0</v>
      </c>
      <c r="X270" s="61">
        <f t="shared" si="182"/>
        <v>0</v>
      </c>
      <c r="Y270" s="61">
        <f t="shared" si="183"/>
        <v>0</v>
      </c>
      <c r="Z270" s="61">
        <f t="shared" si="161"/>
        <v>0</v>
      </c>
      <c r="AA270" s="61">
        <f t="shared" si="184"/>
        <v>0</v>
      </c>
      <c r="AB270" s="61">
        <f t="shared" si="185"/>
        <v>0</v>
      </c>
    </row>
    <row r="271" spans="1:28" ht="15">
      <c r="A271" s="34" t="s">
        <v>614</v>
      </c>
      <c r="B271" s="29" t="s">
        <v>615</v>
      </c>
      <c r="C271" s="37">
        <v>0</v>
      </c>
      <c r="D271" s="38"/>
      <c r="E271" s="120" t="e">
        <f t="shared" si="171"/>
        <v>#DIV/0!</v>
      </c>
      <c r="F271" s="19">
        <f t="shared" si="172"/>
        <v>0</v>
      </c>
      <c r="G271" s="37">
        <v>0</v>
      </c>
      <c r="H271" s="38"/>
      <c r="I271" s="120" t="e">
        <f t="shared" si="173"/>
        <v>#DIV/0!</v>
      </c>
      <c r="J271" s="19">
        <f t="shared" si="174"/>
        <v>4148.972659999999</v>
      </c>
      <c r="K271" s="63">
        <v>4148.972659999999</v>
      </c>
      <c r="L271" s="38"/>
      <c r="M271" s="120">
        <f t="shared" si="175"/>
        <v>-1</v>
      </c>
      <c r="N271" s="19">
        <f t="shared" si="176"/>
        <v>-4148.972659999999</v>
      </c>
      <c r="O271" s="31">
        <v>0</v>
      </c>
      <c r="P271" s="38"/>
      <c r="Q271" s="121" t="e">
        <f t="shared" si="177"/>
        <v>#DIV/0!</v>
      </c>
      <c r="R271" s="121"/>
      <c r="S271" s="121"/>
      <c r="T271" s="61">
        <f t="shared" si="180"/>
        <v>0</v>
      </c>
      <c r="U271" s="61">
        <f t="shared" si="181"/>
        <v>0</v>
      </c>
      <c r="V271" s="61">
        <f t="shared" si="165"/>
        <v>0</v>
      </c>
      <c r="W271" s="61">
        <f t="shared" si="166"/>
        <v>0</v>
      </c>
      <c r="X271" s="61">
        <f t="shared" si="182"/>
        <v>0</v>
      </c>
      <c r="Y271" s="61">
        <f t="shared" si="183"/>
        <v>0</v>
      </c>
      <c r="Z271" s="61">
        <f t="shared" si="161"/>
        <v>0</v>
      </c>
      <c r="AA271" s="61">
        <f t="shared" si="184"/>
        <v>0</v>
      </c>
      <c r="AB271" s="61">
        <f t="shared" si="185"/>
        <v>0</v>
      </c>
    </row>
    <row r="272" spans="1:28" ht="15">
      <c r="A272" s="34" t="s">
        <v>616</v>
      </c>
      <c r="B272" s="29" t="s">
        <v>392</v>
      </c>
      <c r="C272" s="37">
        <v>0</v>
      </c>
      <c r="D272" s="38"/>
      <c r="E272" s="120" t="e">
        <f t="shared" si="171"/>
        <v>#DIV/0!</v>
      </c>
      <c r="F272" s="19">
        <f t="shared" si="172"/>
        <v>0</v>
      </c>
      <c r="G272" s="37">
        <v>0</v>
      </c>
      <c r="H272" s="38"/>
      <c r="I272" s="120" t="e">
        <f t="shared" si="173"/>
        <v>#DIV/0!</v>
      </c>
      <c r="J272" s="19">
        <f t="shared" si="174"/>
        <v>171387.34389000002</v>
      </c>
      <c r="K272" s="63">
        <v>171387.34389000002</v>
      </c>
      <c r="L272" s="38"/>
      <c r="M272" s="120">
        <f t="shared" si="175"/>
        <v>-1</v>
      </c>
      <c r="N272" s="19">
        <f t="shared" si="176"/>
        <v>-171387.34389000002</v>
      </c>
      <c r="O272" s="31">
        <v>0</v>
      </c>
      <c r="P272" s="38"/>
      <c r="Q272" s="121" t="e">
        <f t="shared" si="177"/>
        <v>#DIV/0!</v>
      </c>
      <c r="R272" s="121"/>
      <c r="S272" s="121"/>
      <c r="T272" s="61">
        <f t="shared" si="180"/>
        <v>0</v>
      </c>
      <c r="U272" s="61">
        <f t="shared" si="181"/>
        <v>0</v>
      </c>
      <c r="V272" s="61">
        <f t="shared" si="165"/>
        <v>0</v>
      </c>
      <c r="W272" s="61">
        <f t="shared" si="166"/>
        <v>0</v>
      </c>
      <c r="X272" s="61">
        <f t="shared" si="182"/>
        <v>0</v>
      </c>
      <c r="Y272" s="61">
        <f t="shared" si="183"/>
        <v>0</v>
      </c>
      <c r="Z272" s="61">
        <f t="shared" si="161"/>
        <v>0</v>
      </c>
      <c r="AA272" s="61">
        <f t="shared" si="184"/>
        <v>0</v>
      </c>
      <c r="AB272" s="61">
        <f t="shared" si="185"/>
        <v>0</v>
      </c>
    </row>
    <row r="273" spans="1:28" ht="15.75">
      <c r="A273" s="33" t="s">
        <v>617</v>
      </c>
      <c r="B273" s="23" t="s">
        <v>618</v>
      </c>
      <c r="C273" s="24">
        <f>SUM(C274)</f>
        <v>0</v>
      </c>
      <c r="D273" s="20"/>
      <c r="E273" s="120" t="e">
        <f t="shared" si="171"/>
        <v>#DIV/0!</v>
      </c>
      <c r="F273" s="19">
        <f t="shared" si="172"/>
        <v>0</v>
      </c>
      <c r="G273" s="24">
        <f>SUM(G274)</f>
        <v>0</v>
      </c>
      <c r="H273" s="237">
        <f>G273/G248</f>
        <v>0</v>
      </c>
      <c r="I273" s="120" t="e">
        <f t="shared" si="173"/>
        <v>#DIV/0!</v>
      </c>
      <c r="J273" s="19">
        <f t="shared" si="174"/>
        <v>56004.55148</v>
      </c>
      <c r="K273" s="25">
        <f>SUM(K274)</f>
        <v>56004.55148</v>
      </c>
      <c r="L273" s="20"/>
      <c r="M273" s="120">
        <f t="shared" si="175"/>
        <v>-1</v>
      </c>
      <c r="N273" s="19">
        <f t="shared" si="176"/>
        <v>-56004.55148</v>
      </c>
      <c r="O273" s="25">
        <f>SUM(O274)</f>
        <v>0</v>
      </c>
      <c r="P273" s="20"/>
      <c r="Q273" s="121" t="e">
        <f t="shared" si="177"/>
        <v>#DIV/0!</v>
      </c>
      <c r="R273" s="121"/>
      <c r="S273" s="121"/>
      <c r="T273" s="25">
        <f aca="true" t="shared" si="186" ref="T273:AB273">SUM(T274)</f>
        <v>0</v>
      </c>
      <c r="U273" s="25">
        <f t="shared" si="186"/>
        <v>0</v>
      </c>
      <c r="V273" s="25">
        <f t="shared" si="186"/>
        <v>0</v>
      </c>
      <c r="W273" s="25">
        <f t="shared" si="186"/>
        <v>0</v>
      </c>
      <c r="X273" s="25">
        <f t="shared" si="186"/>
        <v>0</v>
      </c>
      <c r="Y273" s="25">
        <f t="shared" si="186"/>
        <v>0</v>
      </c>
      <c r="Z273" s="25">
        <f t="shared" si="186"/>
        <v>0</v>
      </c>
      <c r="AA273" s="25">
        <f t="shared" si="186"/>
        <v>0</v>
      </c>
      <c r="AB273" s="25">
        <f t="shared" si="186"/>
        <v>0</v>
      </c>
    </row>
    <row r="274" spans="1:28" ht="15.75">
      <c r="A274" s="33" t="s">
        <v>619</v>
      </c>
      <c r="B274" s="23" t="s">
        <v>591</v>
      </c>
      <c r="C274" s="24">
        <f>SUM(C275:C284)</f>
        <v>0</v>
      </c>
      <c r="D274" s="20"/>
      <c r="E274" s="120" t="e">
        <f t="shared" si="171"/>
        <v>#DIV/0!</v>
      </c>
      <c r="F274" s="19">
        <f t="shared" si="172"/>
        <v>0</v>
      </c>
      <c r="G274" s="24">
        <f>SUM(G275:G284)</f>
        <v>0</v>
      </c>
      <c r="H274" s="20"/>
      <c r="I274" s="120" t="e">
        <f t="shared" si="173"/>
        <v>#DIV/0!</v>
      </c>
      <c r="J274" s="19">
        <f t="shared" si="174"/>
        <v>56004.55148</v>
      </c>
      <c r="K274" s="25">
        <f>SUM(K275:K284)</f>
        <v>56004.55148</v>
      </c>
      <c r="L274" s="20"/>
      <c r="M274" s="120">
        <f t="shared" si="175"/>
        <v>-1</v>
      </c>
      <c r="N274" s="19">
        <f t="shared" si="176"/>
        <v>-56004.55148</v>
      </c>
      <c r="O274" s="25">
        <f>SUM(O275:O284)</f>
        <v>0</v>
      </c>
      <c r="P274" s="20"/>
      <c r="Q274" s="121" t="e">
        <f t="shared" si="177"/>
        <v>#DIV/0!</v>
      </c>
      <c r="R274" s="121"/>
      <c r="S274" s="121"/>
      <c r="T274" s="25">
        <f aca="true" t="shared" si="187" ref="T274:AB274">SUM(T275:T284)</f>
        <v>0</v>
      </c>
      <c r="U274" s="25">
        <f t="shared" si="187"/>
        <v>0</v>
      </c>
      <c r="V274" s="25">
        <f t="shared" si="187"/>
        <v>0</v>
      </c>
      <c r="W274" s="25">
        <f t="shared" si="187"/>
        <v>0</v>
      </c>
      <c r="X274" s="25">
        <f t="shared" si="187"/>
        <v>0</v>
      </c>
      <c r="Y274" s="25">
        <f t="shared" si="187"/>
        <v>0</v>
      </c>
      <c r="Z274" s="25">
        <f t="shared" si="187"/>
        <v>0</v>
      </c>
      <c r="AA274" s="25">
        <f t="shared" si="187"/>
        <v>0</v>
      </c>
      <c r="AB274" s="25">
        <f t="shared" si="187"/>
        <v>0</v>
      </c>
    </row>
    <row r="275" spans="1:28" ht="15">
      <c r="A275" s="34" t="s">
        <v>620</v>
      </c>
      <c r="B275" s="29" t="s">
        <v>542</v>
      </c>
      <c r="C275" s="37">
        <v>0</v>
      </c>
      <c r="D275" s="38"/>
      <c r="E275" s="120" t="e">
        <f t="shared" si="171"/>
        <v>#DIV/0!</v>
      </c>
      <c r="F275" s="19">
        <f t="shared" si="172"/>
        <v>0</v>
      </c>
      <c r="G275" s="37">
        <v>0</v>
      </c>
      <c r="H275" s="38"/>
      <c r="I275" s="120" t="e">
        <f t="shared" si="173"/>
        <v>#DIV/0!</v>
      </c>
      <c r="J275" s="19">
        <f t="shared" si="174"/>
        <v>4254.160170000001</v>
      </c>
      <c r="K275" s="63">
        <v>4254.160170000001</v>
      </c>
      <c r="L275" s="38"/>
      <c r="M275" s="120">
        <f t="shared" si="175"/>
        <v>-1</v>
      </c>
      <c r="N275" s="19">
        <f t="shared" si="176"/>
        <v>-4254.160170000001</v>
      </c>
      <c r="O275" s="31">
        <v>0</v>
      </c>
      <c r="P275" s="38"/>
      <c r="Q275" s="121" t="e">
        <f t="shared" si="177"/>
        <v>#DIV/0!</v>
      </c>
      <c r="R275" s="121"/>
      <c r="S275" s="121"/>
      <c r="T275" s="61">
        <f aca="true" t="shared" si="188" ref="T275:T285">(O275*R275)+O275</f>
        <v>0</v>
      </c>
      <c r="U275" s="61">
        <f aca="true" t="shared" si="189" ref="U275:U285">(T275*R275)+T275</f>
        <v>0</v>
      </c>
      <c r="V275" s="61">
        <f aca="true" t="shared" si="190" ref="V275:V285">(U275*R275)+U275</f>
        <v>0</v>
      </c>
      <c r="W275" s="61">
        <f aca="true" t="shared" si="191" ref="W275:W285">(V275*R275)+V275</f>
        <v>0</v>
      </c>
      <c r="X275" s="61">
        <f aca="true" t="shared" si="192" ref="X275:X285">(W275*R275)+W275</f>
        <v>0</v>
      </c>
      <c r="Y275" s="61">
        <f aca="true" t="shared" si="193" ref="Y275:Y285">(X275*R275)+X275</f>
        <v>0</v>
      </c>
      <c r="Z275" s="61">
        <f aca="true" t="shared" si="194" ref="Z275:Z285">(Y275*R275)+Y275</f>
        <v>0</v>
      </c>
      <c r="AA275" s="61">
        <f aca="true" t="shared" si="195" ref="AA275:AA285">(Z275*R275)+Z275</f>
        <v>0</v>
      </c>
      <c r="AB275" s="61">
        <f aca="true" t="shared" si="196" ref="AB275:AB285">(AA275*R275)+AA275</f>
        <v>0</v>
      </c>
    </row>
    <row r="276" spans="1:28" ht="15">
      <c r="A276" s="34" t="s">
        <v>621</v>
      </c>
      <c r="B276" s="29" t="s">
        <v>544</v>
      </c>
      <c r="C276" s="37">
        <v>0</v>
      </c>
      <c r="D276" s="38"/>
      <c r="E276" s="120" t="e">
        <f t="shared" si="171"/>
        <v>#DIV/0!</v>
      </c>
      <c r="F276" s="19">
        <f t="shared" si="172"/>
        <v>0</v>
      </c>
      <c r="G276" s="37">
        <v>0</v>
      </c>
      <c r="H276" s="38"/>
      <c r="I276" s="120" t="e">
        <f t="shared" si="173"/>
        <v>#DIV/0!</v>
      </c>
      <c r="J276" s="19">
        <f t="shared" si="174"/>
        <v>26803.32582</v>
      </c>
      <c r="K276" s="63">
        <v>26803.32582</v>
      </c>
      <c r="L276" s="38"/>
      <c r="M276" s="120">
        <f t="shared" si="175"/>
        <v>-1</v>
      </c>
      <c r="N276" s="19">
        <f t="shared" si="176"/>
        <v>-26803.32582</v>
      </c>
      <c r="O276" s="31">
        <v>0</v>
      </c>
      <c r="P276" s="38"/>
      <c r="Q276" s="121" t="e">
        <f t="shared" si="177"/>
        <v>#DIV/0!</v>
      </c>
      <c r="R276" s="121"/>
      <c r="S276" s="121"/>
      <c r="T276" s="61">
        <f t="shared" si="188"/>
        <v>0</v>
      </c>
      <c r="U276" s="61">
        <f t="shared" si="189"/>
        <v>0</v>
      </c>
      <c r="V276" s="61">
        <f t="shared" si="190"/>
        <v>0</v>
      </c>
      <c r="W276" s="61">
        <f t="shared" si="191"/>
        <v>0</v>
      </c>
      <c r="X276" s="61">
        <f t="shared" si="192"/>
        <v>0</v>
      </c>
      <c r="Y276" s="61">
        <f t="shared" si="193"/>
        <v>0</v>
      </c>
      <c r="Z276" s="61">
        <f t="shared" si="194"/>
        <v>0</v>
      </c>
      <c r="AA276" s="61">
        <f t="shared" si="195"/>
        <v>0</v>
      </c>
      <c r="AB276" s="61">
        <f t="shared" si="196"/>
        <v>0</v>
      </c>
    </row>
    <row r="277" spans="1:28" ht="15">
      <c r="A277" s="34" t="s">
        <v>622</v>
      </c>
      <c r="B277" s="29" t="s">
        <v>438</v>
      </c>
      <c r="C277" s="37">
        <v>0</v>
      </c>
      <c r="D277" s="38"/>
      <c r="E277" s="120" t="e">
        <f t="shared" si="171"/>
        <v>#DIV/0!</v>
      </c>
      <c r="F277" s="19">
        <f t="shared" si="172"/>
        <v>0</v>
      </c>
      <c r="G277" s="37">
        <v>0</v>
      </c>
      <c r="H277" s="38"/>
      <c r="I277" s="120" t="e">
        <f t="shared" si="173"/>
        <v>#DIV/0!</v>
      </c>
      <c r="J277" s="19">
        <f t="shared" si="174"/>
        <v>3146.32416</v>
      </c>
      <c r="K277" s="63">
        <v>3146.32416</v>
      </c>
      <c r="L277" s="38"/>
      <c r="M277" s="120">
        <f t="shared" si="175"/>
        <v>-1</v>
      </c>
      <c r="N277" s="19">
        <f t="shared" si="176"/>
        <v>-3146.32416</v>
      </c>
      <c r="O277" s="31">
        <v>0</v>
      </c>
      <c r="P277" s="38"/>
      <c r="Q277" s="121" t="e">
        <f t="shared" si="177"/>
        <v>#DIV/0!</v>
      </c>
      <c r="R277" s="121"/>
      <c r="S277" s="121"/>
      <c r="T277" s="61">
        <f t="shared" si="188"/>
        <v>0</v>
      </c>
      <c r="U277" s="61">
        <f t="shared" si="189"/>
        <v>0</v>
      </c>
      <c r="V277" s="61">
        <f t="shared" si="190"/>
        <v>0</v>
      </c>
      <c r="W277" s="61">
        <f t="shared" si="191"/>
        <v>0</v>
      </c>
      <c r="X277" s="61">
        <f t="shared" si="192"/>
        <v>0</v>
      </c>
      <c r="Y277" s="61">
        <f t="shared" si="193"/>
        <v>0</v>
      </c>
      <c r="Z277" s="61">
        <f t="shared" si="194"/>
        <v>0</v>
      </c>
      <c r="AA277" s="61">
        <f t="shared" si="195"/>
        <v>0</v>
      </c>
      <c r="AB277" s="61">
        <f t="shared" si="196"/>
        <v>0</v>
      </c>
    </row>
    <row r="278" spans="1:28" ht="15">
      <c r="A278" s="34" t="s">
        <v>623</v>
      </c>
      <c r="B278" s="29" t="s">
        <v>624</v>
      </c>
      <c r="C278" s="37">
        <v>0</v>
      </c>
      <c r="D278" s="38"/>
      <c r="E278" s="120" t="e">
        <f t="shared" si="171"/>
        <v>#DIV/0!</v>
      </c>
      <c r="F278" s="19">
        <f t="shared" si="172"/>
        <v>0</v>
      </c>
      <c r="G278" s="37">
        <v>0</v>
      </c>
      <c r="H278" s="38"/>
      <c r="I278" s="120" t="e">
        <f t="shared" si="173"/>
        <v>#DIV/0!</v>
      </c>
      <c r="J278" s="19">
        <f t="shared" si="174"/>
        <v>2398.4737099999998</v>
      </c>
      <c r="K278" s="63">
        <v>2398.4737099999998</v>
      </c>
      <c r="L278" s="38"/>
      <c r="M278" s="120">
        <f t="shared" si="175"/>
        <v>-1</v>
      </c>
      <c r="N278" s="19">
        <f t="shared" si="176"/>
        <v>-2398.4737099999998</v>
      </c>
      <c r="O278" s="31">
        <v>0</v>
      </c>
      <c r="P278" s="38"/>
      <c r="Q278" s="121" t="e">
        <f t="shared" si="177"/>
        <v>#DIV/0!</v>
      </c>
      <c r="R278" s="121"/>
      <c r="S278" s="121"/>
      <c r="T278" s="61">
        <f t="shared" si="188"/>
        <v>0</v>
      </c>
      <c r="U278" s="61">
        <f t="shared" si="189"/>
        <v>0</v>
      </c>
      <c r="V278" s="61">
        <f t="shared" si="190"/>
        <v>0</v>
      </c>
      <c r="W278" s="61">
        <f t="shared" si="191"/>
        <v>0</v>
      </c>
      <c r="X278" s="61">
        <f t="shared" si="192"/>
        <v>0</v>
      </c>
      <c r="Y278" s="61">
        <f t="shared" si="193"/>
        <v>0</v>
      </c>
      <c r="Z278" s="61">
        <f t="shared" si="194"/>
        <v>0</v>
      </c>
      <c r="AA278" s="61">
        <f t="shared" si="195"/>
        <v>0</v>
      </c>
      <c r="AB278" s="61">
        <f t="shared" si="196"/>
        <v>0</v>
      </c>
    </row>
    <row r="279" spans="1:28" ht="15">
      <c r="A279" s="34" t="s">
        <v>625</v>
      </c>
      <c r="B279" s="29" t="s">
        <v>446</v>
      </c>
      <c r="C279" s="37">
        <v>0</v>
      </c>
      <c r="D279" s="38"/>
      <c r="E279" s="120" t="e">
        <f t="shared" si="171"/>
        <v>#DIV/0!</v>
      </c>
      <c r="F279" s="19">
        <f t="shared" si="172"/>
        <v>0</v>
      </c>
      <c r="G279" s="37">
        <v>0</v>
      </c>
      <c r="H279" s="38"/>
      <c r="I279" s="120" t="e">
        <f t="shared" si="173"/>
        <v>#DIV/0!</v>
      </c>
      <c r="J279" s="19">
        <f t="shared" si="174"/>
        <v>2279.31157</v>
      </c>
      <c r="K279" s="63">
        <v>2279.31157</v>
      </c>
      <c r="L279" s="38"/>
      <c r="M279" s="120">
        <f t="shared" si="175"/>
        <v>-1</v>
      </c>
      <c r="N279" s="19">
        <f t="shared" si="176"/>
        <v>-2279.31157</v>
      </c>
      <c r="O279" s="31">
        <v>0</v>
      </c>
      <c r="P279" s="38"/>
      <c r="Q279" s="121" t="e">
        <f t="shared" si="177"/>
        <v>#DIV/0!</v>
      </c>
      <c r="R279" s="121"/>
      <c r="S279" s="121"/>
      <c r="T279" s="61">
        <f t="shared" si="188"/>
        <v>0</v>
      </c>
      <c r="U279" s="61">
        <f t="shared" si="189"/>
        <v>0</v>
      </c>
      <c r="V279" s="61">
        <f t="shared" si="190"/>
        <v>0</v>
      </c>
      <c r="W279" s="61">
        <f t="shared" si="191"/>
        <v>0</v>
      </c>
      <c r="X279" s="61">
        <f t="shared" si="192"/>
        <v>0</v>
      </c>
      <c r="Y279" s="61">
        <f t="shared" si="193"/>
        <v>0</v>
      </c>
      <c r="Z279" s="61">
        <f t="shared" si="194"/>
        <v>0</v>
      </c>
      <c r="AA279" s="61">
        <f t="shared" si="195"/>
        <v>0</v>
      </c>
      <c r="AB279" s="61">
        <f t="shared" si="196"/>
        <v>0</v>
      </c>
    </row>
    <row r="280" spans="1:28" ht="15">
      <c r="A280" s="34" t="s">
        <v>626</v>
      </c>
      <c r="B280" s="29" t="s">
        <v>627</v>
      </c>
      <c r="C280" s="37">
        <v>0</v>
      </c>
      <c r="D280" s="38"/>
      <c r="E280" s="120" t="e">
        <f t="shared" si="171"/>
        <v>#DIV/0!</v>
      </c>
      <c r="F280" s="19">
        <f t="shared" si="172"/>
        <v>0</v>
      </c>
      <c r="G280" s="37">
        <v>0</v>
      </c>
      <c r="H280" s="38"/>
      <c r="I280" s="120" t="e">
        <f t="shared" si="173"/>
        <v>#DIV/0!</v>
      </c>
      <c r="J280" s="19">
        <f t="shared" si="174"/>
        <v>7798.4218599999995</v>
      </c>
      <c r="K280" s="63">
        <v>7798.4218599999995</v>
      </c>
      <c r="L280" s="38"/>
      <c r="M280" s="120">
        <f t="shared" si="175"/>
        <v>-1</v>
      </c>
      <c r="N280" s="19">
        <f t="shared" si="176"/>
        <v>-7798.4218599999995</v>
      </c>
      <c r="O280" s="31">
        <v>0</v>
      </c>
      <c r="P280" s="38"/>
      <c r="Q280" s="121" t="e">
        <f t="shared" si="177"/>
        <v>#DIV/0!</v>
      </c>
      <c r="R280" s="121"/>
      <c r="S280" s="121"/>
      <c r="T280" s="61">
        <f t="shared" si="188"/>
        <v>0</v>
      </c>
      <c r="U280" s="61">
        <f t="shared" si="189"/>
        <v>0</v>
      </c>
      <c r="V280" s="61">
        <f t="shared" si="190"/>
        <v>0</v>
      </c>
      <c r="W280" s="61">
        <f t="shared" si="191"/>
        <v>0</v>
      </c>
      <c r="X280" s="61">
        <f t="shared" si="192"/>
        <v>0</v>
      </c>
      <c r="Y280" s="61">
        <f t="shared" si="193"/>
        <v>0</v>
      </c>
      <c r="Z280" s="61">
        <f t="shared" si="194"/>
        <v>0</v>
      </c>
      <c r="AA280" s="61">
        <f t="shared" si="195"/>
        <v>0</v>
      </c>
      <c r="AB280" s="61">
        <f t="shared" si="196"/>
        <v>0</v>
      </c>
    </row>
    <row r="281" spans="1:28" ht="15">
      <c r="A281" s="34" t="s">
        <v>628</v>
      </c>
      <c r="B281" s="29" t="s">
        <v>629</v>
      </c>
      <c r="C281" s="37">
        <v>0</v>
      </c>
      <c r="D281" s="38"/>
      <c r="E281" s="120" t="e">
        <f t="shared" si="171"/>
        <v>#DIV/0!</v>
      </c>
      <c r="F281" s="19">
        <f t="shared" si="172"/>
        <v>0</v>
      </c>
      <c r="G281" s="37">
        <v>0</v>
      </c>
      <c r="H281" s="38"/>
      <c r="I281" s="120" t="e">
        <f t="shared" si="173"/>
        <v>#DIV/0!</v>
      </c>
      <c r="J281" s="19">
        <f t="shared" si="174"/>
        <v>100.44219</v>
      </c>
      <c r="K281" s="63">
        <v>100.44219</v>
      </c>
      <c r="L281" s="38"/>
      <c r="M281" s="120">
        <f t="shared" si="175"/>
        <v>-1</v>
      </c>
      <c r="N281" s="19">
        <f t="shared" si="176"/>
        <v>-100.44219</v>
      </c>
      <c r="O281" s="31">
        <v>0</v>
      </c>
      <c r="P281" s="38"/>
      <c r="Q281" s="121" t="e">
        <f t="shared" si="177"/>
        <v>#DIV/0!</v>
      </c>
      <c r="R281" s="121"/>
      <c r="S281" s="121"/>
      <c r="T281" s="61">
        <f t="shared" si="188"/>
        <v>0</v>
      </c>
      <c r="U281" s="61">
        <f t="shared" si="189"/>
        <v>0</v>
      </c>
      <c r="V281" s="61">
        <f t="shared" si="190"/>
        <v>0</v>
      </c>
      <c r="W281" s="61">
        <f t="shared" si="191"/>
        <v>0</v>
      </c>
      <c r="X281" s="61">
        <f t="shared" si="192"/>
        <v>0</v>
      </c>
      <c r="Y281" s="61">
        <f t="shared" si="193"/>
        <v>0</v>
      </c>
      <c r="Z281" s="61">
        <f t="shared" si="194"/>
        <v>0</v>
      </c>
      <c r="AA281" s="61">
        <f t="shared" si="195"/>
        <v>0</v>
      </c>
      <c r="AB281" s="61">
        <f t="shared" si="196"/>
        <v>0</v>
      </c>
    </row>
    <row r="282" spans="1:28" ht="15">
      <c r="A282" s="34" t="s">
        <v>630</v>
      </c>
      <c r="B282" s="29" t="s">
        <v>631</v>
      </c>
      <c r="C282" s="37">
        <v>0</v>
      </c>
      <c r="D282" s="38"/>
      <c r="E282" s="120" t="e">
        <f t="shared" si="171"/>
        <v>#DIV/0!</v>
      </c>
      <c r="F282" s="19">
        <f t="shared" si="172"/>
        <v>0</v>
      </c>
      <c r="G282" s="37">
        <v>0</v>
      </c>
      <c r="H282" s="38"/>
      <c r="I282" s="120" t="e">
        <f t="shared" si="173"/>
        <v>#DIV/0!</v>
      </c>
      <c r="J282" s="19">
        <f t="shared" si="174"/>
        <v>0</v>
      </c>
      <c r="K282" s="63">
        <v>0</v>
      </c>
      <c r="L282" s="38"/>
      <c r="M282" s="120" t="e">
        <f t="shared" si="175"/>
        <v>#DIV/0!</v>
      </c>
      <c r="N282" s="19">
        <f t="shared" si="176"/>
        <v>0</v>
      </c>
      <c r="O282" s="31">
        <v>0</v>
      </c>
      <c r="P282" s="38"/>
      <c r="Q282" s="121" t="e">
        <f t="shared" si="177"/>
        <v>#DIV/0!</v>
      </c>
      <c r="R282" s="121"/>
      <c r="S282" s="121"/>
      <c r="T282" s="61">
        <f t="shared" si="188"/>
        <v>0</v>
      </c>
      <c r="U282" s="61">
        <f t="shared" si="189"/>
        <v>0</v>
      </c>
      <c r="V282" s="61">
        <f t="shared" si="190"/>
        <v>0</v>
      </c>
      <c r="W282" s="61">
        <f t="shared" si="191"/>
        <v>0</v>
      </c>
      <c r="X282" s="61">
        <f t="shared" si="192"/>
        <v>0</v>
      </c>
      <c r="Y282" s="61">
        <f t="shared" si="193"/>
        <v>0</v>
      </c>
      <c r="Z282" s="61">
        <f t="shared" si="194"/>
        <v>0</v>
      </c>
      <c r="AA282" s="61">
        <f t="shared" si="195"/>
        <v>0</v>
      </c>
      <c r="AB282" s="61">
        <f t="shared" si="196"/>
        <v>0</v>
      </c>
    </row>
    <row r="283" spans="1:28" ht="15">
      <c r="A283" s="34" t="s">
        <v>632</v>
      </c>
      <c r="B283" s="29" t="s">
        <v>633</v>
      </c>
      <c r="C283" s="37">
        <v>0</v>
      </c>
      <c r="D283" s="38"/>
      <c r="E283" s="120" t="e">
        <f t="shared" si="171"/>
        <v>#DIV/0!</v>
      </c>
      <c r="F283" s="19">
        <f t="shared" si="172"/>
        <v>0</v>
      </c>
      <c r="G283" s="37">
        <v>0</v>
      </c>
      <c r="H283" s="38"/>
      <c r="I283" s="120" t="e">
        <f t="shared" si="173"/>
        <v>#DIV/0!</v>
      </c>
      <c r="J283" s="19">
        <f t="shared" si="174"/>
        <v>8289.556</v>
      </c>
      <c r="K283" s="63">
        <v>8289.556</v>
      </c>
      <c r="L283" s="38"/>
      <c r="M283" s="120">
        <f t="shared" si="175"/>
        <v>-1</v>
      </c>
      <c r="N283" s="19">
        <f t="shared" si="176"/>
        <v>-8289.556</v>
      </c>
      <c r="O283" s="31">
        <v>0</v>
      </c>
      <c r="P283" s="38"/>
      <c r="Q283" s="121" t="e">
        <f t="shared" si="177"/>
        <v>#DIV/0!</v>
      </c>
      <c r="R283" s="121"/>
      <c r="S283" s="121"/>
      <c r="T283" s="61">
        <f t="shared" si="188"/>
        <v>0</v>
      </c>
      <c r="U283" s="61">
        <f t="shared" si="189"/>
        <v>0</v>
      </c>
      <c r="V283" s="61">
        <f t="shared" si="190"/>
        <v>0</v>
      </c>
      <c r="W283" s="61">
        <f t="shared" si="191"/>
        <v>0</v>
      </c>
      <c r="X283" s="61">
        <f t="shared" si="192"/>
        <v>0</v>
      </c>
      <c r="Y283" s="61">
        <f t="shared" si="193"/>
        <v>0</v>
      </c>
      <c r="Z283" s="61">
        <f t="shared" si="194"/>
        <v>0</v>
      </c>
      <c r="AA283" s="61">
        <f t="shared" si="195"/>
        <v>0</v>
      </c>
      <c r="AB283" s="61">
        <f t="shared" si="196"/>
        <v>0</v>
      </c>
    </row>
    <row r="284" spans="1:28" ht="15">
      <c r="A284" s="34" t="s">
        <v>634</v>
      </c>
      <c r="B284" s="29" t="s">
        <v>635</v>
      </c>
      <c r="C284" s="37">
        <v>0</v>
      </c>
      <c r="D284" s="38"/>
      <c r="E284" s="120" t="e">
        <f t="shared" si="171"/>
        <v>#DIV/0!</v>
      </c>
      <c r="F284" s="19">
        <f t="shared" si="172"/>
        <v>0</v>
      </c>
      <c r="G284" s="37">
        <v>0</v>
      </c>
      <c r="H284" s="38"/>
      <c r="I284" s="120" t="e">
        <f t="shared" si="173"/>
        <v>#DIV/0!</v>
      </c>
      <c r="J284" s="19">
        <f t="shared" si="174"/>
        <v>934.536</v>
      </c>
      <c r="K284" s="63">
        <v>934.536</v>
      </c>
      <c r="L284" s="38"/>
      <c r="M284" s="120">
        <f t="shared" si="175"/>
        <v>-1</v>
      </c>
      <c r="N284" s="19">
        <f t="shared" si="176"/>
        <v>-934.536</v>
      </c>
      <c r="O284" s="31">
        <v>0</v>
      </c>
      <c r="P284" s="38"/>
      <c r="Q284" s="121" t="e">
        <f t="shared" si="177"/>
        <v>#DIV/0!</v>
      </c>
      <c r="R284" s="121"/>
      <c r="S284" s="121"/>
      <c r="T284" s="61">
        <f t="shared" si="188"/>
        <v>0</v>
      </c>
      <c r="U284" s="61">
        <f t="shared" si="189"/>
        <v>0</v>
      </c>
      <c r="V284" s="61">
        <f t="shared" si="190"/>
        <v>0</v>
      </c>
      <c r="W284" s="61">
        <f t="shared" si="191"/>
        <v>0</v>
      </c>
      <c r="X284" s="61">
        <f t="shared" si="192"/>
        <v>0</v>
      </c>
      <c r="Y284" s="61">
        <f t="shared" si="193"/>
        <v>0</v>
      </c>
      <c r="Z284" s="61">
        <f t="shared" si="194"/>
        <v>0</v>
      </c>
      <c r="AA284" s="61">
        <f t="shared" si="195"/>
        <v>0</v>
      </c>
      <c r="AB284" s="61">
        <f t="shared" si="196"/>
        <v>0</v>
      </c>
    </row>
    <row r="285" spans="1:28" ht="15">
      <c r="A285" s="34" t="s">
        <v>636</v>
      </c>
      <c r="B285" s="29" t="s">
        <v>637</v>
      </c>
      <c r="C285" s="37">
        <v>0</v>
      </c>
      <c r="D285" s="38"/>
      <c r="E285" s="120" t="e">
        <f t="shared" si="171"/>
        <v>#DIV/0!</v>
      </c>
      <c r="F285" s="19">
        <f t="shared" si="172"/>
        <v>0</v>
      </c>
      <c r="G285" s="37">
        <v>0</v>
      </c>
      <c r="H285" s="38"/>
      <c r="I285" s="120" t="e">
        <f t="shared" si="173"/>
        <v>#DIV/0!</v>
      </c>
      <c r="J285" s="19">
        <f t="shared" si="174"/>
        <v>5734.770090000001</v>
      </c>
      <c r="K285" s="63">
        <v>5734.770090000001</v>
      </c>
      <c r="L285" s="38"/>
      <c r="M285" s="120">
        <f t="shared" si="175"/>
        <v>-1</v>
      </c>
      <c r="N285" s="19">
        <f t="shared" si="176"/>
        <v>-5734.770090000001</v>
      </c>
      <c r="O285" s="31">
        <v>0</v>
      </c>
      <c r="P285" s="38"/>
      <c r="Q285" s="121" t="e">
        <f t="shared" si="177"/>
        <v>#DIV/0!</v>
      </c>
      <c r="R285" s="121"/>
      <c r="S285" s="121"/>
      <c r="T285" s="61">
        <f t="shared" si="188"/>
        <v>0</v>
      </c>
      <c r="U285" s="61">
        <f t="shared" si="189"/>
        <v>0</v>
      </c>
      <c r="V285" s="61">
        <f t="shared" si="190"/>
        <v>0</v>
      </c>
      <c r="W285" s="61">
        <f t="shared" si="191"/>
        <v>0</v>
      </c>
      <c r="X285" s="61">
        <f t="shared" si="192"/>
        <v>0</v>
      </c>
      <c r="Y285" s="61">
        <f t="shared" si="193"/>
        <v>0</v>
      </c>
      <c r="Z285" s="61">
        <f t="shared" si="194"/>
        <v>0</v>
      </c>
      <c r="AA285" s="61">
        <f t="shared" si="195"/>
        <v>0</v>
      </c>
      <c r="AB285" s="61">
        <f t="shared" si="196"/>
        <v>0</v>
      </c>
    </row>
    <row r="286" spans="1:28" ht="15.75">
      <c r="A286" s="34" t="s">
        <v>638</v>
      </c>
      <c r="B286" s="23" t="s">
        <v>639</v>
      </c>
      <c r="C286" s="24">
        <v>0</v>
      </c>
      <c r="D286" s="20"/>
      <c r="E286" s="120" t="e">
        <f t="shared" si="171"/>
        <v>#DIV/0!</v>
      </c>
      <c r="F286" s="19">
        <f t="shared" si="172"/>
        <v>563271</v>
      </c>
      <c r="G286" s="24">
        <v>563271</v>
      </c>
      <c r="H286" s="237">
        <f>G286/G248</f>
        <v>0.5942743218325034</v>
      </c>
      <c r="I286" s="120">
        <f t="shared" si="173"/>
        <v>-0.9988312233365467</v>
      </c>
      <c r="J286" s="19">
        <f t="shared" si="174"/>
        <v>-562612.662</v>
      </c>
      <c r="K286" s="25">
        <v>658.338</v>
      </c>
      <c r="L286" s="20"/>
      <c r="M286" s="120">
        <f t="shared" si="175"/>
        <v>-1</v>
      </c>
      <c r="N286" s="19">
        <f t="shared" si="176"/>
        <v>-658.338</v>
      </c>
      <c r="O286" s="25">
        <v>0</v>
      </c>
      <c r="P286" s="20"/>
      <c r="Q286" s="121" t="e">
        <f t="shared" si="177"/>
        <v>#DIV/0!</v>
      </c>
      <c r="R286" s="121"/>
      <c r="S286" s="121"/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</row>
    <row r="287" spans="1:28" ht="15.75">
      <c r="A287" s="67" t="s">
        <v>640</v>
      </c>
      <c r="B287" s="42" t="s">
        <v>641</v>
      </c>
      <c r="C287" s="24">
        <f>SUM(C288)</f>
        <v>0</v>
      </c>
      <c r="D287" s="20"/>
      <c r="E287" s="120" t="e">
        <f t="shared" si="171"/>
        <v>#DIV/0!</v>
      </c>
      <c r="F287" s="19">
        <f t="shared" si="172"/>
        <v>0</v>
      </c>
      <c r="G287" s="24">
        <f>SUM(G288)</f>
        <v>0</v>
      </c>
      <c r="H287" s="232">
        <f>G287/G216</f>
        <v>0</v>
      </c>
      <c r="I287" s="120" t="e">
        <f t="shared" si="173"/>
        <v>#DIV/0!</v>
      </c>
      <c r="J287" s="19">
        <f t="shared" si="174"/>
        <v>1000</v>
      </c>
      <c r="K287" s="25">
        <f>SUM(K288)</f>
        <v>1000</v>
      </c>
      <c r="L287" s="20"/>
      <c r="M287" s="120">
        <f t="shared" si="175"/>
        <v>-1</v>
      </c>
      <c r="N287" s="19">
        <f t="shared" si="176"/>
        <v>-1000</v>
      </c>
      <c r="O287" s="25">
        <f>SUM(O288)</f>
        <v>0</v>
      </c>
      <c r="P287" s="20"/>
      <c r="Q287" s="121" t="e">
        <f t="shared" si="177"/>
        <v>#DIV/0!</v>
      </c>
      <c r="R287" s="121"/>
      <c r="S287" s="121"/>
      <c r="T287" s="25">
        <f aca="true" t="shared" si="197" ref="T287:AB287">SUM(T288)</f>
        <v>0</v>
      </c>
      <c r="U287" s="25">
        <f t="shared" si="197"/>
        <v>0</v>
      </c>
      <c r="V287" s="25">
        <f t="shared" si="197"/>
        <v>0</v>
      </c>
      <c r="W287" s="25">
        <f t="shared" si="197"/>
        <v>0</v>
      </c>
      <c r="X287" s="25">
        <f t="shared" si="197"/>
        <v>0</v>
      </c>
      <c r="Y287" s="25">
        <f t="shared" si="197"/>
        <v>0</v>
      </c>
      <c r="Z287" s="25">
        <f t="shared" si="197"/>
        <v>0</v>
      </c>
      <c r="AA287" s="25">
        <f t="shared" si="197"/>
        <v>0</v>
      </c>
      <c r="AB287" s="25">
        <f t="shared" si="197"/>
        <v>0</v>
      </c>
    </row>
    <row r="288" spans="1:28" ht="15">
      <c r="A288" s="70" t="s">
        <v>642</v>
      </c>
      <c r="B288" s="59" t="s">
        <v>643</v>
      </c>
      <c r="C288" s="37">
        <v>0</v>
      </c>
      <c r="D288" s="38"/>
      <c r="E288" s="120" t="e">
        <f t="shared" si="171"/>
        <v>#DIV/0!</v>
      </c>
      <c r="F288" s="19">
        <f t="shared" si="172"/>
        <v>0</v>
      </c>
      <c r="G288" s="37">
        <v>0</v>
      </c>
      <c r="H288" s="38"/>
      <c r="I288" s="120" t="e">
        <f t="shared" si="173"/>
        <v>#DIV/0!</v>
      </c>
      <c r="J288" s="19">
        <f t="shared" si="174"/>
        <v>1000</v>
      </c>
      <c r="K288" s="63">
        <v>1000</v>
      </c>
      <c r="L288" s="38"/>
      <c r="M288" s="120">
        <f t="shared" si="175"/>
        <v>-1</v>
      </c>
      <c r="N288" s="19">
        <f t="shared" si="176"/>
        <v>-1000</v>
      </c>
      <c r="O288" s="31">
        <v>0</v>
      </c>
      <c r="P288" s="38"/>
      <c r="Q288" s="121" t="e">
        <f t="shared" si="177"/>
        <v>#DIV/0!</v>
      </c>
      <c r="R288" s="121"/>
      <c r="S288" s="121"/>
      <c r="T288" s="61">
        <f>(O288*R288)+O288</f>
        <v>0</v>
      </c>
      <c r="U288" s="61">
        <f>(T288*R288)+T288</f>
        <v>0</v>
      </c>
      <c r="V288" s="61">
        <f>(U288*R288)+U288</f>
        <v>0</v>
      </c>
      <c r="W288" s="61">
        <f>(V288*R288)+V288</f>
        <v>0</v>
      </c>
      <c r="X288" s="61">
        <f>(W288*R288)+W288</f>
        <v>0</v>
      </c>
      <c r="Y288" s="61">
        <f>(X288*R288)+X288</f>
        <v>0</v>
      </c>
      <c r="Z288" s="61">
        <f>(Y288*R288)+Y288</f>
        <v>0</v>
      </c>
      <c r="AA288" s="61">
        <f>(Z288*R288)+Z288</f>
        <v>0</v>
      </c>
      <c r="AB288" s="61">
        <f>(AA288*R288)+AA288</f>
        <v>0</v>
      </c>
    </row>
    <row r="289" spans="1:28" ht="15.75">
      <c r="A289" s="67" t="s">
        <v>644</v>
      </c>
      <c r="B289" s="42" t="s">
        <v>645</v>
      </c>
      <c r="C289" s="24">
        <f>SUM(C290:C292)</f>
        <v>393.01</v>
      </c>
      <c r="D289" s="20"/>
      <c r="E289" s="120">
        <f t="shared" si="171"/>
        <v>-1</v>
      </c>
      <c r="F289" s="19">
        <f t="shared" si="172"/>
        <v>-393.01</v>
      </c>
      <c r="G289" s="24">
        <f>SUM(G290:G292)</f>
        <v>0</v>
      </c>
      <c r="H289" s="232">
        <f>G289/G216</f>
        <v>0</v>
      </c>
      <c r="I289" s="120" t="e">
        <f t="shared" si="173"/>
        <v>#DIV/0!</v>
      </c>
      <c r="J289" s="19">
        <f t="shared" si="174"/>
        <v>0</v>
      </c>
      <c r="K289" s="25">
        <f>SUM(K290:K292)</f>
        <v>0</v>
      </c>
      <c r="L289" s="20"/>
      <c r="M289" s="120" t="e">
        <f t="shared" si="175"/>
        <v>#DIV/0!</v>
      </c>
      <c r="N289" s="19">
        <f t="shared" si="176"/>
        <v>0</v>
      </c>
      <c r="O289" s="25">
        <f>SUM(O290:O292)</f>
        <v>0</v>
      </c>
      <c r="P289" s="20"/>
      <c r="Q289" s="121" t="e">
        <f t="shared" si="177"/>
        <v>#DIV/0!</v>
      </c>
      <c r="R289" s="121"/>
      <c r="S289" s="121"/>
      <c r="T289" s="25">
        <f aca="true" t="shared" si="198" ref="T289:AB289">SUM(T290:T292)</f>
        <v>0</v>
      </c>
      <c r="U289" s="25">
        <f t="shared" si="198"/>
        <v>0</v>
      </c>
      <c r="V289" s="25">
        <f t="shared" si="198"/>
        <v>0</v>
      </c>
      <c r="W289" s="25">
        <f t="shared" si="198"/>
        <v>0</v>
      </c>
      <c r="X289" s="25">
        <f t="shared" si="198"/>
        <v>0</v>
      </c>
      <c r="Y289" s="25">
        <f t="shared" si="198"/>
        <v>0</v>
      </c>
      <c r="Z289" s="25">
        <f t="shared" si="198"/>
        <v>0</v>
      </c>
      <c r="AA289" s="25">
        <f t="shared" si="198"/>
        <v>0</v>
      </c>
      <c r="AB289" s="25">
        <f t="shared" si="198"/>
        <v>0</v>
      </c>
    </row>
    <row r="290" spans="1:28" ht="15">
      <c r="A290" s="70" t="s">
        <v>646</v>
      </c>
      <c r="B290" s="59" t="s">
        <v>647</v>
      </c>
      <c r="C290" s="37">
        <v>393.01</v>
      </c>
      <c r="D290" s="38"/>
      <c r="E290" s="120">
        <f t="shared" si="171"/>
        <v>-1</v>
      </c>
      <c r="F290" s="19">
        <f t="shared" si="172"/>
        <v>-393.01</v>
      </c>
      <c r="G290" s="37">
        <v>0</v>
      </c>
      <c r="H290" s="38"/>
      <c r="I290" s="120" t="e">
        <f t="shared" si="173"/>
        <v>#DIV/0!</v>
      </c>
      <c r="J290" s="19">
        <f t="shared" si="174"/>
        <v>0</v>
      </c>
      <c r="K290" s="63">
        <v>0</v>
      </c>
      <c r="L290" s="38"/>
      <c r="M290" s="120" t="e">
        <f t="shared" si="175"/>
        <v>#DIV/0!</v>
      </c>
      <c r="N290" s="19">
        <f t="shared" si="176"/>
        <v>0</v>
      </c>
      <c r="O290" s="31">
        <v>0</v>
      </c>
      <c r="P290" s="38"/>
      <c r="Q290" s="121" t="e">
        <f t="shared" si="177"/>
        <v>#DIV/0!</v>
      </c>
      <c r="R290" s="121"/>
      <c r="S290" s="121"/>
      <c r="T290" s="61">
        <f>(O290*R290)+O290</f>
        <v>0</v>
      </c>
      <c r="U290" s="61">
        <f>(T290*R290)+T290</f>
        <v>0</v>
      </c>
      <c r="V290" s="61">
        <f>(U290*R290)+U290</f>
        <v>0</v>
      </c>
      <c r="W290" s="61">
        <f>(V290*R290)+V290</f>
        <v>0</v>
      </c>
      <c r="X290" s="61">
        <f>(W290*R290)+W290</f>
        <v>0</v>
      </c>
      <c r="Y290" s="61">
        <f>(X290*R290)+X290</f>
        <v>0</v>
      </c>
      <c r="Z290" s="61">
        <f>(Y290*R290)+Y290</f>
        <v>0</v>
      </c>
      <c r="AA290" s="61">
        <f>(Z290*R290)+Z290</f>
        <v>0</v>
      </c>
      <c r="AB290" s="61">
        <f>(AA290*R290)+AA290</f>
        <v>0</v>
      </c>
    </row>
    <row r="291" spans="1:28" ht="15">
      <c r="A291" s="70" t="s">
        <v>648</v>
      </c>
      <c r="B291" s="59" t="s">
        <v>649</v>
      </c>
      <c r="C291" s="37">
        <v>0</v>
      </c>
      <c r="D291" s="38"/>
      <c r="E291" s="120" t="e">
        <f t="shared" si="171"/>
        <v>#DIV/0!</v>
      </c>
      <c r="F291" s="19">
        <f t="shared" si="172"/>
        <v>0</v>
      </c>
      <c r="G291" s="37">
        <v>0</v>
      </c>
      <c r="H291" s="38"/>
      <c r="I291" s="120" t="e">
        <f t="shared" si="173"/>
        <v>#DIV/0!</v>
      </c>
      <c r="J291" s="19">
        <f t="shared" si="174"/>
        <v>0</v>
      </c>
      <c r="K291" s="63">
        <v>0</v>
      </c>
      <c r="L291" s="38"/>
      <c r="M291" s="120" t="e">
        <f t="shared" si="175"/>
        <v>#DIV/0!</v>
      </c>
      <c r="N291" s="19">
        <f t="shared" si="176"/>
        <v>0</v>
      </c>
      <c r="O291" s="31">
        <v>0</v>
      </c>
      <c r="P291" s="38"/>
      <c r="Q291" s="121" t="e">
        <f t="shared" si="177"/>
        <v>#DIV/0!</v>
      </c>
      <c r="R291" s="121"/>
      <c r="S291" s="121"/>
      <c r="T291" s="61">
        <f>(O291*R291)+O291</f>
        <v>0</v>
      </c>
      <c r="U291" s="61">
        <f>(T291*R291)+T291</f>
        <v>0</v>
      </c>
      <c r="V291" s="61">
        <f>(U291*R291)+U291</f>
        <v>0</v>
      </c>
      <c r="W291" s="61">
        <f>(V291*R291)+V291</f>
        <v>0</v>
      </c>
      <c r="X291" s="61">
        <f>(W291*R291)+W291</f>
        <v>0</v>
      </c>
      <c r="Y291" s="61">
        <f>(X291*R291)+X291</f>
        <v>0</v>
      </c>
      <c r="Z291" s="61">
        <f>(Y291*R291)+Y291</f>
        <v>0</v>
      </c>
      <c r="AA291" s="61">
        <f>(Z291*R291)+Z291</f>
        <v>0</v>
      </c>
      <c r="AB291" s="61">
        <f>(AA291*R291)+AA291</f>
        <v>0</v>
      </c>
    </row>
    <row r="292" spans="1:28" ht="15">
      <c r="A292" s="70" t="s">
        <v>650</v>
      </c>
      <c r="B292" s="59" t="s">
        <v>651</v>
      </c>
      <c r="C292" s="37">
        <v>0</v>
      </c>
      <c r="D292" s="38"/>
      <c r="E292" s="120" t="e">
        <f t="shared" si="171"/>
        <v>#DIV/0!</v>
      </c>
      <c r="F292" s="19">
        <f t="shared" si="172"/>
        <v>0</v>
      </c>
      <c r="G292" s="37">
        <v>0</v>
      </c>
      <c r="H292" s="38"/>
      <c r="I292" s="120" t="e">
        <f t="shared" si="173"/>
        <v>#DIV/0!</v>
      </c>
      <c r="J292" s="19">
        <f t="shared" si="174"/>
        <v>0</v>
      </c>
      <c r="K292" s="63">
        <v>0</v>
      </c>
      <c r="L292" s="38"/>
      <c r="M292" s="120" t="e">
        <f t="shared" si="175"/>
        <v>#DIV/0!</v>
      </c>
      <c r="N292" s="19">
        <f t="shared" si="176"/>
        <v>0</v>
      </c>
      <c r="O292" s="31">
        <v>0</v>
      </c>
      <c r="P292" s="38"/>
      <c r="Q292" s="121" t="e">
        <f t="shared" si="177"/>
        <v>#DIV/0!</v>
      </c>
      <c r="R292" s="121"/>
      <c r="S292" s="121"/>
      <c r="T292" s="61">
        <f>(O292*R292)+O292</f>
        <v>0</v>
      </c>
      <c r="U292" s="61">
        <f>(T292*R292)+T292</f>
        <v>0</v>
      </c>
      <c r="V292" s="61">
        <f>(U292*R292)+U292</f>
        <v>0</v>
      </c>
      <c r="W292" s="61">
        <f>(V292*R292)+V292</f>
        <v>0</v>
      </c>
      <c r="X292" s="61">
        <f>(W292*R292)+W292</f>
        <v>0</v>
      </c>
      <c r="Y292" s="61">
        <f>(X292*R292)+X292</f>
        <v>0</v>
      </c>
      <c r="Z292" s="61">
        <f>(Y292*R292)+Y292</f>
        <v>0</v>
      </c>
      <c r="AA292" s="61">
        <f>(Z292*R292)+Z292</f>
        <v>0</v>
      </c>
      <c r="AB292" s="61">
        <f>(AA292*R292)+AA292</f>
        <v>0</v>
      </c>
    </row>
    <row r="293" spans="1:28" ht="15.75">
      <c r="A293" s="67" t="s">
        <v>652</v>
      </c>
      <c r="B293" s="42" t="s">
        <v>653</v>
      </c>
      <c r="C293" s="24">
        <f>C294+C300+C308</f>
        <v>5904.613</v>
      </c>
      <c r="D293" s="20"/>
      <c r="E293" s="120">
        <f t="shared" si="171"/>
        <v>81.92895378579426</v>
      </c>
      <c r="F293" s="19">
        <f t="shared" si="172"/>
        <v>483758.76560000004</v>
      </c>
      <c r="G293" s="24">
        <f>G294+G300+G308+G302</f>
        <v>489663.37860000005</v>
      </c>
      <c r="H293" s="232">
        <f>G293/G216</f>
        <v>0.22577581198098795</v>
      </c>
      <c r="I293" s="120">
        <f t="shared" si="173"/>
        <v>-0.6775253512903814</v>
      </c>
      <c r="J293" s="19">
        <f t="shared" si="174"/>
        <v>-331759.35260000004</v>
      </c>
      <c r="K293" s="25">
        <v>157904.026</v>
      </c>
      <c r="L293" s="20"/>
      <c r="M293" s="120">
        <f t="shared" si="175"/>
        <v>-1</v>
      </c>
      <c r="N293" s="19">
        <f t="shared" si="176"/>
        <v>-157904.026</v>
      </c>
      <c r="O293" s="25">
        <v>0</v>
      </c>
      <c r="P293" s="20"/>
      <c r="Q293" s="121">
        <f t="shared" si="177"/>
        <v>26.750476144834625</v>
      </c>
      <c r="R293" s="121"/>
      <c r="S293" s="121"/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</row>
    <row r="294" spans="1:28" ht="15.75">
      <c r="A294" s="67" t="s">
        <v>654</v>
      </c>
      <c r="B294" s="42" t="s">
        <v>465</v>
      </c>
      <c r="C294" s="24">
        <f>SUM(C295)</f>
        <v>0</v>
      </c>
      <c r="D294" s="20"/>
      <c r="E294" s="120" t="e">
        <f t="shared" si="171"/>
        <v>#DIV/0!</v>
      </c>
      <c r="F294" s="19">
        <f t="shared" si="172"/>
        <v>97191.48300000001</v>
      </c>
      <c r="G294" s="24">
        <f>SUM(G295)</f>
        <v>97191.48300000001</v>
      </c>
      <c r="H294" s="20">
        <f>G294/G293</f>
        <v>0.19848632192564789</v>
      </c>
      <c r="I294" s="120">
        <f t="shared" si="173"/>
        <v>-0.027692580840648406</v>
      </c>
      <c r="J294" s="19">
        <f t="shared" si="174"/>
        <v>-2691.4830000000075</v>
      </c>
      <c r="K294" s="25">
        <f>SUM(K295)</f>
        <v>94500</v>
      </c>
      <c r="L294" s="20"/>
      <c r="M294" s="120">
        <f t="shared" si="175"/>
        <v>-1</v>
      </c>
      <c r="N294" s="19">
        <f t="shared" si="176"/>
        <v>-94500</v>
      </c>
      <c r="O294" s="25">
        <f>SUM(O295)</f>
        <v>0</v>
      </c>
      <c r="P294" s="20"/>
      <c r="Q294" s="121" t="e">
        <f t="shared" si="177"/>
        <v>#DIV/0!</v>
      </c>
      <c r="R294" s="121"/>
      <c r="S294" s="121"/>
      <c r="T294" s="25">
        <f aca="true" t="shared" si="199" ref="T294:AB294">SUM(T295)</f>
        <v>0</v>
      </c>
      <c r="U294" s="25">
        <f t="shared" si="199"/>
        <v>0</v>
      </c>
      <c r="V294" s="25">
        <f t="shared" si="199"/>
        <v>0</v>
      </c>
      <c r="W294" s="25">
        <f t="shared" si="199"/>
        <v>0</v>
      </c>
      <c r="X294" s="25">
        <f t="shared" si="199"/>
        <v>0</v>
      </c>
      <c r="Y294" s="25">
        <f t="shared" si="199"/>
        <v>0</v>
      </c>
      <c r="Z294" s="25">
        <f t="shared" si="199"/>
        <v>0</v>
      </c>
      <c r="AA294" s="25">
        <f t="shared" si="199"/>
        <v>0</v>
      </c>
      <c r="AB294" s="25">
        <f t="shared" si="199"/>
        <v>0</v>
      </c>
    </row>
    <row r="295" spans="1:28" ht="15.75">
      <c r="A295" s="67" t="s">
        <v>655</v>
      </c>
      <c r="B295" s="42" t="s">
        <v>467</v>
      </c>
      <c r="C295" s="24">
        <f>SUM(C296:C299)</f>
        <v>0</v>
      </c>
      <c r="D295" s="20"/>
      <c r="E295" s="120" t="e">
        <f t="shared" si="171"/>
        <v>#DIV/0!</v>
      </c>
      <c r="F295" s="19">
        <f t="shared" si="172"/>
        <v>97191.48300000001</v>
      </c>
      <c r="G295" s="24">
        <f>SUM(G296:G299)</f>
        <v>97191.48300000001</v>
      </c>
      <c r="H295" s="20">
        <f>G295/G294</f>
        <v>1</v>
      </c>
      <c r="I295" s="120">
        <f t="shared" si="173"/>
        <v>-0.027692580840648406</v>
      </c>
      <c r="J295" s="19">
        <f t="shared" si="174"/>
        <v>-2691.4830000000075</v>
      </c>
      <c r="K295" s="25">
        <f>SUM(K296:K299)</f>
        <v>94500</v>
      </c>
      <c r="L295" s="20"/>
      <c r="M295" s="120">
        <f t="shared" si="175"/>
        <v>-1</v>
      </c>
      <c r="N295" s="19">
        <f t="shared" si="176"/>
        <v>-94500</v>
      </c>
      <c r="O295" s="25">
        <f>SUM(O296:O299)</f>
        <v>0</v>
      </c>
      <c r="P295" s="20"/>
      <c r="Q295" s="121" t="e">
        <f t="shared" si="177"/>
        <v>#DIV/0!</v>
      </c>
      <c r="R295" s="121"/>
      <c r="S295" s="121"/>
      <c r="T295" s="25">
        <f aca="true" t="shared" si="200" ref="T295:AB295">SUM(T296:T299)</f>
        <v>0</v>
      </c>
      <c r="U295" s="25">
        <f t="shared" si="200"/>
        <v>0</v>
      </c>
      <c r="V295" s="25">
        <f t="shared" si="200"/>
        <v>0</v>
      </c>
      <c r="W295" s="25">
        <f t="shared" si="200"/>
        <v>0</v>
      </c>
      <c r="X295" s="25">
        <f t="shared" si="200"/>
        <v>0</v>
      </c>
      <c r="Y295" s="25">
        <f t="shared" si="200"/>
        <v>0</v>
      </c>
      <c r="Z295" s="25">
        <f t="shared" si="200"/>
        <v>0</v>
      </c>
      <c r="AA295" s="25">
        <f t="shared" si="200"/>
        <v>0</v>
      </c>
      <c r="AB295" s="25">
        <f t="shared" si="200"/>
        <v>0</v>
      </c>
    </row>
    <row r="296" spans="1:28" ht="15">
      <c r="A296" s="70" t="s">
        <v>656</v>
      </c>
      <c r="B296" s="59" t="s">
        <v>657</v>
      </c>
      <c r="C296" s="37">
        <v>0</v>
      </c>
      <c r="D296" s="38"/>
      <c r="E296" s="120" t="e">
        <f t="shared" si="171"/>
        <v>#DIV/0!</v>
      </c>
      <c r="F296" s="19">
        <f t="shared" si="172"/>
        <v>97191.48300000001</v>
      </c>
      <c r="G296" s="117">
        <v>97191.48300000001</v>
      </c>
      <c r="H296" s="38">
        <f>G296/G295</f>
        <v>1</v>
      </c>
      <c r="I296" s="120">
        <f t="shared" si="173"/>
        <v>-0.27977228210418403</v>
      </c>
      <c r="J296" s="19">
        <f t="shared" si="174"/>
        <v>-27191.483000000007</v>
      </c>
      <c r="K296" s="63">
        <v>70000</v>
      </c>
      <c r="L296" s="38"/>
      <c r="M296" s="120">
        <f t="shared" si="175"/>
        <v>-1</v>
      </c>
      <c r="N296" s="19">
        <f t="shared" si="176"/>
        <v>-70000</v>
      </c>
      <c r="O296" s="31">
        <v>0</v>
      </c>
      <c r="P296" s="38"/>
      <c r="Q296" s="121" t="e">
        <f t="shared" si="177"/>
        <v>#DIV/0!</v>
      </c>
      <c r="R296" s="121"/>
      <c r="S296" s="121"/>
      <c r="T296" s="61">
        <f>(O296*R296)+O296</f>
        <v>0</v>
      </c>
      <c r="U296" s="61">
        <f>(T296*R296)+T296</f>
        <v>0</v>
      </c>
      <c r="V296" s="61">
        <f>(U296*R296)+U296</f>
        <v>0</v>
      </c>
      <c r="W296" s="61">
        <f aca="true" t="shared" si="201" ref="W296:W301">(V296*R296)+V296</f>
        <v>0</v>
      </c>
      <c r="X296" s="61">
        <f>(W296*R296)+W296</f>
        <v>0</v>
      </c>
      <c r="Y296" s="61">
        <f>(X296*R296)+X296</f>
        <v>0</v>
      </c>
      <c r="Z296" s="61">
        <f>(Y296*R296)+Y296</f>
        <v>0</v>
      </c>
      <c r="AA296" s="61">
        <f>(Z296*R296)+Z296</f>
        <v>0</v>
      </c>
      <c r="AB296" s="61">
        <f>(AA296*R296)+AA296</f>
        <v>0</v>
      </c>
    </row>
    <row r="297" spans="1:28" ht="15">
      <c r="A297" s="70" t="s">
        <v>658</v>
      </c>
      <c r="B297" s="59" t="s">
        <v>659</v>
      </c>
      <c r="C297" s="37">
        <v>0</v>
      </c>
      <c r="D297" s="38"/>
      <c r="E297" s="120" t="e">
        <f t="shared" si="171"/>
        <v>#DIV/0!</v>
      </c>
      <c r="F297" s="19">
        <f t="shared" si="172"/>
        <v>0</v>
      </c>
      <c r="G297" s="37">
        <v>0</v>
      </c>
      <c r="H297" s="38"/>
      <c r="I297" s="120" t="e">
        <f t="shared" si="173"/>
        <v>#DIV/0!</v>
      </c>
      <c r="J297" s="19">
        <f t="shared" si="174"/>
        <v>10000</v>
      </c>
      <c r="K297" s="63">
        <v>10000</v>
      </c>
      <c r="L297" s="38"/>
      <c r="M297" s="120">
        <f t="shared" si="175"/>
        <v>-1</v>
      </c>
      <c r="N297" s="19">
        <f t="shared" si="176"/>
        <v>-10000</v>
      </c>
      <c r="O297" s="31">
        <v>0</v>
      </c>
      <c r="P297" s="38"/>
      <c r="Q297" s="121" t="e">
        <f t="shared" si="177"/>
        <v>#DIV/0!</v>
      </c>
      <c r="R297" s="121"/>
      <c r="S297" s="121"/>
      <c r="T297" s="61">
        <f>(O297*R297)+O297</f>
        <v>0</v>
      </c>
      <c r="U297" s="61">
        <f>(T297*R297)+T297</f>
        <v>0</v>
      </c>
      <c r="V297" s="61">
        <f>(U297*R297)+U297</f>
        <v>0</v>
      </c>
      <c r="W297" s="61">
        <f t="shared" si="201"/>
        <v>0</v>
      </c>
      <c r="X297" s="61">
        <f>(W297*R297)+W297</f>
        <v>0</v>
      </c>
      <c r="Y297" s="61">
        <f>(X297*R297)+X297</f>
        <v>0</v>
      </c>
      <c r="Z297" s="61">
        <f>(Y297*R297)+Y297</f>
        <v>0</v>
      </c>
      <c r="AA297" s="61">
        <f>(Z297*R297)+Z297</f>
        <v>0</v>
      </c>
      <c r="AB297" s="61">
        <f>(AA297*R297)+AA297</f>
        <v>0</v>
      </c>
    </row>
    <row r="298" spans="1:28" ht="15.75" thickBot="1">
      <c r="A298" s="71" t="s">
        <v>660</v>
      </c>
      <c r="B298" s="72" t="s">
        <v>661</v>
      </c>
      <c r="C298" s="37">
        <v>0</v>
      </c>
      <c r="D298" s="38"/>
      <c r="E298" s="120" t="e">
        <f t="shared" si="171"/>
        <v>#DIV/0!</v>
      </c>
      <c r="F298" s="19">
        <f t="shared" si="172"/>
        <v>0</v>
      </c>
      <c r="G298" s="37">
        <v>0</v>
      </c>
      <c r="H298" s="38"/>
      <c r="I298" s="120" t="e">
        <f t="shared" si="173"/>
        <v>#DIV/0!</v>
      </c>
      <c r="J298" s="19">
        <f t="shared" si="174"/>
        <v>5000</v>
      </c>
      <c r="K298" s="63">
        <v>5000</v>
      </c>
      <c r="L298" s="38"/>
      <c r="M298" s="120">
        <f t="shared" si="175"/>
        <v>-1</v>
      </c>
      <c r="N298" s="19">
        <f t="shared" si="176"/>
        <v>-5000</v>
      </c>
      <c r="O298" s="31">
        <v>0</v>
      </c>
      <c r="P298" s="38"/>
      <c r="Q298" s="121" t="e">
        <f t="shared" si="177"/>
        <v>#DIV/0!</v>
      </c>
      <c r="R298" s="121"/>
      <c r="S298" s="121"/>
      <c r="T298" s="61">
        <f>(O298*R298)+O298</f>
        <v>0</v>
      </c>
      <c r="U298" s="61">
        <f>(T298*R298)+T298</f>
        <v>0</v>
      </c>
      <c r="V298" s="61">
        <f>(U298*R298)+U298</f>
        <v>0</v>
      </c>
      <c r="W298" s="61">
        <f t="shared" si="201"/>
        <v>0</v>
      </c>
      <c r="X298" s="61">
        <f>(W298*R298)+W298</f>
        <v>0</v>
      </c>
      <c r="Y298" s="61">
        <f>(X298*R298)+X298</f>
        <v>0</v>
      </c>
      <c r="Z298" s="61">
        <f>(Y298*R298)+Y298</f>
        <v>0</v>
      </c>
      <c r="AA298" s="61">
        <f>(Z298*R298)+Z298</f>
        <v>0</v>
      </c>
      <c r="AB298" s="61">
        <f>(AA298*R298)+AA298</f>
        <v>0</v>
      </c>
    </row>
    <row r="299" spans="1:28" ht="15">
      <c r="A299" s="73" t="s">
        <v>662</v>
      </c>
      <c r="B299" s="59" t="s">
        <v>663</v>
      </c>
      <c r="C299" s="37">
        <v>0</v>
      </c>
      <c r="D299" s="38"/>
      <c r="E299" s="120" t="e">
        <f t="shared" si="171"/>
        <v>#DIV/0!</v>
      </c>
      <c r="F299" s="19">
        <f t="shared" si="172"/>
        <v>0</v>
      </c>
      <c r="G299" s="37">
        <v>0</v>
      </c>
      <c r="H299" s="38"/>
      <c r="I299" s="120" t="e">
        <f t="shared" si="173"/>
        <v>#DIV/0!</v>
      </c>
      <c r="J299" s="19">
        <f t="shared" si="174"/>
        <v>9500</v>
      </c>
      <c r="K299" s="63">
        <v>9500</v>
      </c>
      <c r="L299" s="38"/>
      <c r="M299" s="120">
        <f t="shared" si="175"/>
        <v>-1</v>
      </c>
      <c r="N299" s="19">
        <f t="shared" si="176"/>
        <v>-9500</v>
      </c>
      <c r="O299" s="31">
        <v>0</v>
      </c>
      <c r="P299" s="38"/>
      <c r="Q299" s="121" t="e">
        <f t="shared" si="177"/>
        <v>#DIV/0!</v>
      </c>
      <c r="R299" s="121"/>
      <c r="S299" s="121"/>
      <c r="T299" s="61">
        <f>(O299*R299)+O299</f>
        <v>0</v>
      </c>
      <c r="U299" s="61">
        <f>(T299*R299)+T299</f>
        <v>0</v>
      </c>
      <c r="V299" s="61">
        <f>(U299*R299)+U299</f>
        <v>0</v>
      </c>
      <c r="W299" s="61">
        <f t="shared" si="201"/>
        <v>0</v>
      </c>
      <c r="X299" s="61">
        <f>(W299*R299)+W299</f>
        <v>0</v>
      </c>
      <c r="Y299" s="61">
        <f>(X299*R299)+X299</f>
        <v>0</v>
      </c>
      <c r="Z299" s="61">
        <f>(Y299*R299)+Y299</f>
        <v>0</v>
      </c>
      <c r="AA299" s="61">
        <f>(Z299*R299)+Z299</f>
        <v>0</v>
      </c>
      <c r="AB299" s="61">
        <f>(AA299*R299)+AA299</f>
        <v>0</v>
      </c>
    </row>
    <row r="300" spans="1:28" ht="15.75">
      <c r="A300" s="67" t="s">
        <v>664</v>
      </c>
      <c r="B300" s="42" t="s">
        <v>665</v>
      </c>
      <c r="C300" s="24">
        <f>SUM(C301)</f>
        <v>5904.613</v>
      </c>
      <c r="D300" s="20"/>
      <c r="E300" s="120">
        <f t="shared" si="171"/>
        <v>46.58506858959258</v>
      </c>
      <c r="F300" s="19">
        <f t="shared" si="172"/>
        <v>275066.8016</v>
      </c>
      <c r="G300" s="24">
        <f>SUM(G301)</f>
        <v>280971.4146</v>
      </c>
      <c r="H300" s="20">
        <f>G300/G293</f>
        <v>0.5738052443360729</v>
      </c>
      <c r="I300" s="120">
        <f t="shared" si="173"/>
        <v>-0.9288183816546867</v>
      </c>
      <c r="J300" s="19">
        <f t="shared" si="174"/>
        <v>-260971.41460000002</v>
      </c>
      <c r="K300" s="25">
        <f>SUM(K301)</f>
        <v>20000</v>
      </c>
      <c r="L300" s="20"/>
      <c r="M300" s="120">
        <f t="shared" si="175"/>
        <v>-1</v>
      </c>
      <c r="N300" s="19">
        <f t="shared" si="176"/>
        <v>-20000</v>
      </c>
      <c r="O300" s="25">
        <f>SUM(O301)</f>
        <v>0</v>
      </c>
      <c r="P300" s="20"/>
      <c r="Q300" s="121">
        <f t="shared" si="177"/>
        <v>14.885416735979298</v>
      </c>
      <c r="R300" s="121"/>
      <c r="S300" s="121"/>
      <c r="T300" s="25">
        <f aca="true" t="shared" si="202" ref="T300:AB300">SUM(T301)</f>
        <v>0</v>
      </c>
      <c r="U300" s="25">
        <f t="shared" si="202"/>
        <v>0</v>
      </c>
      <c r="V300" s="25">
        <f t="shared" si="202"/>
        <v>0</v>
      </c>
      <c r="W300" s="25">
        <f t="shared" si="202"/>
        <v>0</v>
      </c>
      <c r="X300" s="25">
        <f t="shared" si="202"/>
        <v>0</v>
      </c>
      <c r="Y300" s="25">
        <f t="shared" si="202"/>
        <v>0</v>
      </c>
      <c r="Z300" s="25">
        <f t="shared" si="202"/>
        <v>0</v>
      </c>
      <c r="AA300" s="25">
        <f t="shared" si="202"/>
        <v>0</v>
      </c>
      <c r="AB300" s="25">
        <f t="shared" si="202"/>
        <v>0</v>
      </c>
    </row>
    <row r="301" spans="1:28" ht="15">
      <c r="A301" s="70" t="s">
        <v>666</v>
      </c>
      <c r="B301" s="59" t="s">
        <v>637</v>
      </c>
      <c r="C301" s="37">
        <v>5904.613</v>
      </c>
      <c r="D301" s="38"/>
      <c r="E301" s="120">
        <f t="shared" si="171"/>
        <v>46.58506858959258</v>
      </c>
      <c r="F301" s="19">
        <f t="shared" si="172"/>
        <v>275066.8016</v>
      </c>
      <c r="G301" s="117">
        <v>280971.4146</v>
      </c>
      <c r="H301" s="38">
        <f>G301/G300</f>
        <v>1</v>
      </c>
      <c r="I301" s="120">
        <f t="shared" si="173"/>
        <v>-0.9288183816546867</v>
      </c>
      <c r="J301" s="19">
        <f t="shared" si="174"/>
        <v>-260971.41460000002</v>
      </c>
      <c r="K301" s="63">
        <v>20000</v>
      </c>
      <c r="L301" s="38"/>
      <c r="M301" s="120">
        <f t="shared" si="175"/>
        <v>-1</v>
      </c>
      <c r="N301" s="19">
        <f t="shared" si="176"/>
        <v>-20000</v>
      </c>
      <c r="O301" s="31">
        <v>0</v>
      </c>
      <c r="P301" s="38"/>
      <c r="Q301" s="121">
        <f t="shared" si="177"/>
        <v>14.885416735979298</v>
      </c>
      <c r="R301" s="121"/>
      <c r="S301" s="121"/>
      <c r="T301" s="61">
        <f>(O301*R301)+O301</f>
        <v>0</v>
      </c>
      <c r="U301" s="61">
        <f>(T301*R301)+T301</f>
        <v>0</v>
      </c>
      <c r="V301" s="61">
        <f>(U301*R301)+U301</f>
        <v>0</v>
      </c>
      <c r="W301" s="61">
        <f t="shared" si="201"/>
        <v>0</v>
      </c>
      <c r="X301" s="61">
        <f>(W301*R301)+W301</f>
        <v>0</v>
      </c>
      <c r="Y301" s="61">
        <f>(X301*R301)+X301</f>
        <v>0</v>
      </c>
      <c r="Z301" s="61">
        <f>(Y301*R301)+Y301</f>
        <v>0</v>
      </c>
      <c r="AA301" s="61">
        <f>(Z301*R301)+Z301</f>
        <v>0</v>
      </c>
      <c r="AB301" s="61">
        <f>(AA301*R301)+AA301</f>
        <v>0</v>
      </c>
    </row>
    <row r="302" spans="1:28" ht="15.75">
      <c r="A302" s="67" t="s">
        <v>667</v>
      </c>
      <c r="B302" s="42" t="s">
        <v>668</v>
      </c>
      <c r="C302" s="24">
        <f>SUM(C303+C304+C306+C307)</f>
        <v>0</v>
      </c>
      <c r="D302" s="20"/>
      <c r="E302" s="120" t="e">
        <f t="shared" si="171"/>
        <v>#DIV/0!</v>
      </c>
      <c r="F302" s="19">
        <f t="shared" si="172"/>
        <v>111500.481</v>
      </c>
      <c r="G302" s="24">
        <f>SUM(G303+G304+G306+G307)</f>
        <v>111500.481</v>
      </c>
      <c r="H302" s="232">
        <f>G302/G216</f>
        <v>0.051411056522178956</v>
      </c>
      <c r="I302" s="120">
        <f t="shared" si="173"/>
        <v>-0.5859412929348708</v>
      </c>
      <c r="J302" s="19">
        <f t="shared" si="174"/>
        <v>-65332.736</v>
      </c>
      <c r="K302" s="25">
        <f>SUM(K303+K304+K306+K307)</f>
        <v>46167.745</v>
      </c>
      <c r="L302" s="20"/>
      <c r="M302" s="120">
        <f t="shared" si="175"/>
        <v>3.3049752592421395</v>
      </c>
      <c r="N302" s="19">
        <f t="shared" si="176"/>
        <v>152583.255</v>
      </c>
      <c r="O302" s="25">
        <f>SUM(O303+O304+O306+O307)</f>
        <v>198751</v>
      </c>
      <c r="P302" s="20"/>
      <c r="Q302" s="121" t="e">
        <f t="shared" si="177"/>
        <v>#DIV/0!</v>
      </c>
      <c r="R302" s="121"/>
      <c r="S302" s="121"/>
      <c r="T302" s="25">
        <f aca="true" t="shared" si="203" ref="T302:AB302">SUM(T303+T304+T306+T307)</f>
        <v>198751</v>
      </c>
      <c r="U302" s="25">
        <f t="shared" si="203"/>
        <v>198751</v>
      </c>
      <c r="V302" s="25">
        <f t="shared" si="203"/>
        <v>198751</v>
      </c>
      <c r="W302" s="25">
        <f t="shared" si="203"/>
        <v>198751</v>
      </c>
      <c r="X302" s="25">
        <f t="shared" si="203"/>
        <v>198751</v>
      </c>
      <c r="Y302" s="25">
        <f t="shared" si="203"/>
        <v>198751</v>
      </c>
      <c r="Z302" s="25">
        <f t="shared" si="203"/>
        <v>198751</v>
      </c>
      <c r="AA302" s="25">
        <f t="shared" si="203"/>
        <v>198751</v>
      </c>
      <c r="AB302" s="25">
        <f t="shared" si="203"/>
        <v>198751</v>
      </c>
    </row>
    <row r="303" spans="1:28" ht="15">
      <c r="A303" s="34" t="s">
        <v>669</v>
      </c>
      <c r="B303" s="29" t="s">
        <v>352</v>
      </c>
      <c r="C303" s="37">
        <v>0</v>
      </c>
      <c r="D303" s="38"/>
      <c r="E303" s="120" t="e">
        <f t="shared" si="171"/>
        <v>#DIV/0!</v>
      </c>
      <c r="F303" s="19">
        <f t="shared" si="172"/>
        <v>44886.481</v>
      </c>
      <c r="G303" s="117">
        <v>44886.481</v>
      </c>
      <c r="H303" s="38">
        <f>G303/G302</f>
        <v>0.4025675996859601</v>
      </c>
      <c r="I303" s="120">
        <f t="shared" si="173"/>
        <v>-0.9216549187716453</v>
      </c>
      <c r="J303" s="19">
        <f t="shared" si="174"/>
        <v>-41369.846</v>
      </c>
      <c r="K303" s="63">
        <v>3516.6349999999993</v>
      </c>
      <c r="L303" s="38"/>
      <c r="M303" s="120">
        <f t="shared" si="175"/>
        <v>-1</v>
      </c>
      <c r="N303" s="19">
        <f t="shared" si="176"/>
        <v>-3516.6349999999993</v>
      </c>
      <c r="O303" s="63">
        <v>0</v>
      </c>
      <c r="P303" s="38"/>
      <c r="Q303" s="121" t="e">
        <f t="shared" si="177"/>
        <v>#DIV/0!</v>
      </c>
      <c r="R303" s="121"/>
      <c r="S303" s="121"/>
      <c r="T303" s="61">
        <f>(O303*R303)+O303</f>
        <v>0</v>
      </c>
      <c r="U303" s="61">
        <f>(T303*R303)+T303</f>
        <v>0</v>
      </c>
      <c r="V303" s="61">
        <f>(U303*R303)+U303</f>
        <v>0</v>
      </c>
      <c r="W303" s="61">
        <f>(V303*R303)+V303</f>
        <v>0</v>
      </c>
      <c r="X303" s="61">
        <f>(W303*R303)+W303</f>
        <v>0</v>
      </c>
      <c r="Y303" s="61">
        <f>(X303*R303)+X303</f>
        <v>0</v>
      </c>
      <c r="Z303" s="61">
        <f>(Y303*R303)+Y303</f>
        <v>0</v>
      </c>
      <c r="AA303" s="61">
        <f>(Z303*R303)+Z303</f>
        <v>0</v>
      </c>
      <c r="AB303" s="61">
        <f>(AA303*R303)+AA303</f>
        <v>0</v>
      </c>
    </row>
    <row r="304" spans="1:28" ht="15.75">
      <c r="A304" s="33" t="s">
        <v>670</v>
      </c>
      <c r="B304" s="23" t="s">
        <v>671</v>
      </c>
      <c r="C304" s="24">
        <f>SUM(C305)</f>
        <v>0</v>
      </c>
      <c r="D304" s="20"/>
      <c r="E304" s="120" t="e">
        <f t="shared" si="171"/>
        <v>#DIV/0!</v>
      </c>
      <c r="F304" s="19">
        <f t="shared" si="172"/>
        <v>0</v>
      </c>
      <c r="G304" s="24">
        <f>SUM(G305)</f>
        <v>0</v>
      </c>
      <c r="H304" s="20"/>
      <c r="I304" s="120" t="e">
        <f t="shared" si="173"/>
        <v>#DIV/0!</v>
      </c>
      <c r="J304" s="19">
        <f t="shared" si="174"/>
        <v>23895.172</v>
      </c>
      <c r="K304" s="25">
        <f>SUM(K305)</f>
        <v>23895.172</v>
      </c>
      <c r="L304" s="20"/>
      <c r="M304" s="120">
        <f t="shared" si="175"/>
        <v>-1</v>
      </c>
      <c r="N304" s="19">
        <f t="shared" si="176"/>
        <v>-23895.172</v>
      </c>
      <c r="O304" s="25">
        <f>SUM(O305)</f>
        <v>0</v>
      </c>
      <c r="P304" s="20"/>
      <c r="Q304" s="121" t="e">
        <f t="shared" si="177"/>
        <v>#DIV/0!</v>
      </c>
      <c r="R304" s="121"/>
      <c r="S304" s="121"/>
      <c r="T304" s="25">
        <f aca="true" t="shared" si="204" ref="T304:AB304">SUM(T305)</f>
        <v>0</v>
      </c>
      <c r="U304" s="25">
        <f t="shared" si="204"/>
        <v>0</v>
      </c>
      <c r="V304" s="25">
        <f t="shared" si="204"/>
        <v>0</v>
      </c>
      <c r="W304" s="25">
        <f t="shared" si="204"/>
        <v>0</v>
      </c>
      <c r="X304" s="25">
        <f t="shared" si="204"/>
        <v>0</v>
      </c>
      <c r="Y304" s="25">
        <f t="shared" si="204"/>
        <v>0</v>
      </c>
      <c r="Z304" s="25">
        <f t="shared" si="204"/>
        <v>0</v>
      </c>
      <c r="AA304" s="25">
        <f t="shared" si="204"/>
        <v>0</v>
      </c>
      <c r="AB304" s="25">
        <f t="shared" si="204"/>
        <v>0</v>
      </c>
    </row>
    <row r="305" spans="1:28" ht="15">
      <c r="A305" s="34" t="s">
        <v>672</v>
      </c>
      <c r="B305" s="29" t="s">
        <v>673</v>
      </c>
      <c r="C305" s="37">
        <v>0</v>
      </c>
      <c r="D305" s="38"/>
      <c r="E305" s="120" t="e">
        <f t="shared" si="171"/>
        <v>#DIV/0!</v>
      </c>
      <c r="F305" s="19">
        <f t="shared" si="172"/>
        <v>0</v>
      </c>
      <c r="G305" s="37">
        <v>0</v>
      </c>
      <c r="H305" s="38"/>
      <c r="I305" s="120" t="e">
        <f t="shared" si="173"/>
        <v>#DIV/0!</v>
      </c>
      <c r="J305" s="19">
        <f t="shared" si="174"/>
        <v>23895.172</v>
      </c>
      <c r="K305" s="63">
        <v>23895.172</v>
      </c>
      <c r="L305" s="38"/>
      <c r="M305" s="120">
        <f t="shared" si="175"/>
        <v>-1</v>
      </c>
      <c r="N305" s="19">
        <f t="shared" si="176"/>
        <v>-23895.172</v>
      </c>
      <c r="O305" s="63">
        <v>0</v>
      </c>
      <c r="P305" s="38"/>
      <c r="Q305" s="121" t="e">
        <f t="shared" si="177"/>
        <v>#DIV/0!</v>
      </c>
      <c r="R305" s="121"/>
      <c r="S305" s="121"/>
      <c r="T305" s="61">
        <f>(O305*R305)+O305</f>
        <v>0</v>
      </c>
      <c r="U305" s="61">
        <f>(T305*R305)+T305</f>
        <v>0</v>
      </c>
      <c r="V305" s="61">
        <f>(U305*R305)+U305</f>
        <v>0</v>
      </c>
      <c r="W305" s="61">
        <f>(V305*R305)+V305</f>
        <v>0</v>
      </c>
      <c r="X305" s="61">
        <f>(W305*R305)+W305</f>
        <v>0</v>
      </c>
      <c r="Y305" s="61">
        <f>(X305*R305)+X305</f>
        <v>0</v>
      </c>
      <c r="Z305" s="61">
        <f>(Y305*R305)+Y305</f>
        <v>0</v>
      </c>
      <c r="AA305" s="61">
        <f>(Z305*R305)+Z305</f>
        <v>0</v>
      </c>
      <c r="AB305" s="61">
        <f>(AA305*R305)+AA305</f>
        <v>0</v>
      </c>
    </row>
    <row r="306" spans="1:28" ht="15">
      <c r="A306" s="34" t="s">
        <v>674</v>
      </c>
      <c r="B306" s="29" t="s">
        <v>675</v>
      </c>
      <c r="C306" s="37">
        <v>0</v>
      </c>
      <c r="D306" s="38"/>
      <c r="E306" s="120" t="e">
        <f t="shared" si="171"/>
        <v>#DIV/0!</v>
      </c>
      <c r="F306" s="19">
        <f t="shared" si="172"/>
        <v>66614</v>
      </c>
      <c r="G306" s="117">
        <v>66614</v>
      </c>
      <c r="H306" s="38">
        <f>G306/G302</f>
        <v>0.5974324003140399</v>
      </c>
      <c r="I306" s="120">
        <f t="shared" si="173"/>
        <v>-0.8520980424535383</v>
      </c>
      <c r="J306" s="19">
        <f t="shared" si="174"/>
        <v>-56761.659</v>
      </c>
      <c r="K306" s="63">
        <v>9852.341</v>
      </c>
      <c r="L306" s="38"/>
      <c r="M306" s="120">
        <f t="shared" si="175"/>
        <v>19.172972088562503</v>
      </c>
      <c r="N306" s="19">
        <f t="shared" si="176"/>
        <v>188898.65899999999</v>
      </c>
      <c r="O306" s="61">
        <v>198751</v>
      </c>
      <c r="P306" s="38"/>
      <c r="Q306" s="121" t="e">
        <f t="shared" si="177"/>
        <v>#DIV/0!</v>
      </c>
      <c r="R306" s="121">
        <v>0</v>
      </c>
      <c r="S306" s="121"/>
      <c r="T306" s="61">
        <f>(O306*R306)+O306</f>
        <v>198751</v>
      </c>
      <c r="U306" s="61">
        <f>(T306*R306)+T306</f>
        <v>198751</v>
      </c>
      <c r="V306" s="137">
        <f>(U306*S306)+U306</f>
        <v>198751</v>
      </c>
      <c r="W306" s="61">
        <f>(V306*R306)+V306</f>
        <v>198751</v>
      </c>
      <c r="X306" s="61">
        <f>(W306*R306)+W306</f>
        <v>198751</v>
      </c>
      <c r="Y306" s="61">
        <f>(X306*R306)+X306</f>
        <v>198751</v>
      </c>
      <c r="Z306" s="61">
        <f>(Y306*R306)+Y306</f>
        <v>198751</v>
      </c>
      <c r="AA306" s="61">
        <f>(Z306*R306)+Z306</f>
        <v>198751</v>
      </c>
      <c r="AB306" s="61">
        <f>(AA306*R306)+AA306</f>
        <v>198751</v>
      </c>
    </row>
    <row r="307" spans="1:28" ht="15">
      <c r="A307" s="34" t="s">
        <v>676</v>
      </c>
      <c r="B307" s="29" t="s">
        <v>677</v>
      </c>
      <c r="C307" s="37">
        <v>0</v>
      </c>
      <c r="D307" s="38"/>
      <c r="E307" s="120" t="e">
        <f t="shared" si="171"/>
        <v>#DIV/0!</v>
      </c>
      <c r="F307" s="19">
        <f t="shared" si="172"/>
        <v>0</v>
      </c>
      <c r="G307" s="37">
        <v>0</v>
      </c>
      <c r="H307" s="38"/>
      <c r="I307" s="120" t="e">
        <f t="shared" si="173"/>
        <v>#DIV/0!</v>
      </c>
      <c r="J307" s="19">
        <f t="shared" si="174"/>
        <v>8903.597</v>
      </c>
      <c r="K307" s="63">
        <v>8903.597</v>
      </c>
      <c r="L307" s="38"/>
      <c r="M307" s="120">
        <f t="shared" si="175"/>
        <v>-1</v>
      </c>
      <c r="N307" s="19">
        <f t="shared" si="176"/>
        <v>-8903.597</v>
      </c>
      <c r="O307" s="63">
        <v>0</v>
      </c>
      <c r="P307" s="38"/>
      <c r="Q307" s="121" t="e">
        <f t="shared" si="177"/>
        <v>#DIV/0!</v>
      </c>
      <c r="R307" s="121"/>
      <c r="S307" s="121"/>
      <c r="T307" s="61">
        <f>(O307*R307)+O307</f>
        <v>0</v>
      </c>
      <c r="U307" s="61">
        <f>(T307*R307)+T307</f>
        <v>0</v>
      </c>
      <c r="V307" s="61">
        <f>(U307*R307)+U307</f>
        <v>0</v>
      </c>
      <c r="W307" s="61">
        <f>(V307*R307)+V307</f>
        <v>0</v>
      </c>
      <c r="X307" s="61">
        <f>(W307*R307)+W307</f>
        <v>0</v>
      </c>
      <c r="Y307" s="61">
        <f>(X307*R307)+X307</f>
        <v>0</v>
      </c>
      <c r="Z307" s="61">
        <f>(Y307*R307)+Y307</f>
        <v>0</v>
      </c>
      <c r="AA307" s="61">
        <f>(Z307*R307)+Z307</f>
        <v>0</v>
      </c>
      <c r="AB307" s="61">
        <f>(AA307*R307)+AA307</f>
        <v>0</v>
      </c>
    </row>
    <row r="308" spans="1:28" ht="15.75">
      <c r="A308" s="34" t="s">
        <v>678</v>
      </c>
      <c r="B308" s="23" t="s">
        <v>679</v>
      </c>
      <c r="C308" s="24">
        <f>SUM(C309+C313)</f>
        <v>0</v>
      </c>
      <c r="D308" s="20"/>
      <c r="E308" s="120" t="e">
        <f t="shared" si="171"/>
        <v>#DIV/0!</v>
      </c>
      <c r="F308" s="19">
        <f t="shared" si="172"/>
        <v>0</v>
      </c>
      <c r="G308" s="24">
        <f>SUM(G309+G313)</f>
        <v>0</v>
      </c>
      <c r="H308" s="20"/>
      <c r="I308" s="120" t="e">
        <f t="shared" si="173"/>
        <v>#DIV/0!</v>
      </c>
      <c r="J308" s="19">
        <f t="shared" si="174"/>
        <v>43404.026</v>
      </c>
      <c r="K308" s="25">
        <f>SUM(K309+K313)</f>
        <v>43404.026</v>
      </c>
      <c r="L308" s="20"/>
      <c r="M308" s="120">
        <f t="shared" si="175"/>
        <v>-1</v>
      </c>
      <c r="N308" s="19">
        <f t="shared" si="176"/>
        <v>-43404.026</v>
      </c>
      <c r="O308" s="25">
        <f>SUM(O309+O313)</f>
        <v>0</v>
      </c>
      <c r="P308" s="20"/>
      <c r="Q308" s="121" t="e">
        <f t="shared" si="177"/>
        <v>#DIV/0!</v>
      </c>
      <c r="R308" s="121"/>
      <c r="S308" s="121"/>
      <c r="T308" s="25">
        <f aca="true" t="shared" si="205" ref="T308:AB308">SUM(T309+T313)</f>
        <v>0</v>
      </c>
      <c r="U308" s="25">
        <f t="shared" si="205"/>
        <v>0</v>
      </c>
      <c r="V308" s="25">
        <f t="shared" si="205"/>
        <v>0</v>
      </c>
      <c r="W308" s="25">
        <f t="shared" si="205"/>
        <v>0</v>
      </c>
      <c r="X308" s="25">
        <f t="shared" si="205"/>
        <v>0</v>
      </c>
      <c r="Y308" s="25">
        <f t="shared" si="205"/>
        <v>0</v>
      </c>
      <c r="Z308" s="25">
        <f t="shared" si="205"/>
        <v>0</v>
      </c>
      <c r="AA308" s="25">
        <f t="shared" si="205"/>
        <v>0</v>
      </c>
      <c r="AB308" s="25">
        <f t="shared" si="205"/>
        <v>0</v>
      </c>
    </row>
    <row r="309" spans="1:28" ht="15.75">
      <c r="A309" s="28" t="s">
        <v>680</v>
      </c>
      <c r="B309" s="23" t="s">
        <v>681</v>
      </c>
      <c r="C309" s="24">
        <f>SUM(C310)</f>
        <v>0</v>
      </c>
      <c r="D309" s="20"/>
      <c r="E309" s="120" t="e">
        <f t="shared" si="171"/>
        <v>#DIV/0!</v>
      </c>
      <c r="F309" s="19">
        <f t="shared" si="172"/>
        <v>0</v>
      </c>
      <c r="G309" s="24">
        <f>SUM(G310)</f>
        <v>0</v>
      </c>
      <c r="H309" s="20"/>
      <c r="I309" s="120" t="e">
        <f t="shared" si="173"/>
        <v>#DIV/0!</v>
      </c>
      <c r="J309" s="19">
        <f t="shared" si="174"/>
        <v>33404.026</v>
      </c>
      <c r="K309" s="25">
        <f>SUM(K310)</f>
        <v>33404.026</v>
      </c>
      <c r="L309" s="20"/>
      <c r="M309" s="120">
        <f t="shared" si="175"/>
        <v>-1</v>
      </c>
      <c r="N309" s="19">
        <f t="shared" si="176"/>
        <v>-33404.026</v>
      </c>
      <c r="O309" s="25">
        <f>SUM(O310)</f>
        <v>0</v>
      </c>
      <c r="P309" s="20"/>
      <c r="Q309" s="121" t="e">
        <f t="shared" si="177"/>
        <v>#DIV/0!</v>
      </c>
      <c r="R309" s="121"/>
      <c r="S309" s="121"/>
      <c r="T309" s="25">
        <f aca="true" t="shared" si="206" ref="T309:AB309">SUM(T310)</f>
        <v>0</v>
      </c>
      <c r="U309" s="25">
        <f t="shared" si="206"/>
        <v>0</v>
      </c>
      <c r="V309" s="25">
        <f t="shared" si="206"/>
        <v>0</v>
      </c>
      <c r="W309" s="25">
        <f t="shared" si="206"/>
        <v>0</v>
      </c>
      <c r="X309" s="25">
        <f t="shared" si="206"/>
        <v>0</v>
      </c>
      <c r="Y309" s="25">
        <f t="shared" si="206"/>
        <v>0</v>
      </c>
      <c r="Z309" s="25">
        <f t="shared" si="206"/>
        <v>0</v>
      </c>
      <c r="AA309" s="25">
        <f t="shared" si="206"/>
        <v>0</v>
      </c>
      <c r="AB309" s="25">
        <f t="shared" si="206"/>
        <v>0</v>
      </c>
    </row>
    <row r="310" spans="1:28" ht="15.75">
      <c r="A310" s="34" t="s">
        <v>682</v>
      </c>
      <c r="B310" s="23" t="s">
        <v>665</v>
      </c>
      <c r="C310" s="24">
        <f>SUM(C311:C312)</f>
        <v>0</v>
      </c>
      <c r="D310" s="20"/>
      <c r="E310" s="120" t="e">
        <f t="shared" si="171"/>
        <v>#DIV/0!</v>
      </c>
      <c r="F310" s="19">
        <f t="shared" si="172"/>
        <v>0</v>
      </c>
      <c r="G310" s="24">
        <f>SUM(G311:G312)</f>
        <v>0</v>
      </c>
      <c r="H310" s="20"/>
      <c r="I310" s="120" t="e">
        <f t="shared" si="173"/>
        <v>#DIV/0!</v>
      </c>
      <c r="J310" s="19">
        <f t="shared" si="174"/>
        <v>33404.026</v>
      </c>
      <c r="K310" s="25">
        <f>SUM(K311:K312)</f>
        <v>33404.026</v>
      </c>
      <c r="L310" s="20"/>
      <c r="M310" s="120">
        <f t="shared" si="175"/>
        <v>-1</v>
      </c>
      <c r="N310" s="19">
        <f t="shared" si="176"/>
        <v>-33404.026</v>
      </c>
      <c r="O310" s="25">
        <f>SUM(O311:O312)</f>
        <v>0</v>
      </c>
      <c r="P310" s="20"/>
      <c r="Q310" s="121" t="e">
        <f t="shared" si="177"/>
        <v>#DIV/0!</v>
      </c>
      <c r="R310" s="121"/>
      <c r="S310" s="121"/>
      <c r="T310" s="25">
        <f aca="true" t="shared" si="207" ref="T310:AB310">SUM(T311:T312)</f>
        <v>0</v>
      </c>
      <c r="U310" s="25">
        <f t="shared" si="207"/>
        <v>0</v>
      </c>
      <c r="V310" s="25">
        <f t="shared" si="207"/>
        <v>0</v>
      </c>
      <c r="W310" s="25">
        <f t="shared" si="207"/>
        <v>0</v>
      </c>
      <c r="X310" s="25">
        <f t="shared" si="207"/>
        <v>0</v>
      </c>
      <c r="Y310" s="25">
        <f t="shared" si="207"/>
        <v>0</v>
      </c>
      <c r="Z310" s="25">
        <f t="shared" si="207"/>
        <v>0</v>
      </c>
      <c r="AA310" s="25">
        <f t="shared" si="207"/>
        <v>0</v>
      </c>
      <c r="AB310" s="25">
        <f t="shared" si="207"/>
        <v>0</v>
      </c>
    </row>
    <row r="311" spans="1:28" ht="15">
      <c r="A311" s="34" t="s">
        <v>683</v>
      </c>
      <c r="B311" s="59" t="s">
        <v>684</v>
      </c>
      <c r="C311" s="37">
        <v>0</v>
      </c>
      <c r="D311" s="38"/>
      <c r="E311" s="120" t="e">
        <f t="shared" si="171"/>
        <v>#DIV/0!</v>
      </c>
      <c r="F311" s="19">
        <f t="shared" si="172"/>
        <v>0</v>
      </c>
      <c r="G311" s="37">
        <v>0</v>
      </c>
      <c r="H311" s="38"/>
      <c r="I311" s="120" t="e">
        <f t="shared" si="173"/>
        <v>#DIV/0!</v>
      </c>
      <c r="J311" s="19">
        <f t="shared" si="174"/>
        <v>18404.025999999998</v>
      </c>
      <c r="K311" s="63">
        <v>18404.025999999998</v>
      </c>
      <c r="L311" s="38"/>
      <c r="M311" s="120">
        <f t="shared" si="175"/>
        <v>-1</v>
      </c>
      <c r="N311" s="19">
        <f t="shared" si="176"/>
        <v>-18404.025999999998</v>
      </c>
      <c r="O311" s="63">
        <v>0</v>
      </c>
      <c r="P311" s="38"/>
      <c r="Q311" s="121" t="e">
        <f t="shared" si="177"/>
        <v>#DIV/0!</v>
      </c>
      <c r="R311" s="121"/>
      <c r="S311" s="121"/>
      <c r="T311" s="61">
        <f>(O311*R311)+O311</f>
        <v>0</v>
      </c>
      <c r="U311" s="61">
        <f>(T311*R311)+T311</f>
        <v>0</v>
      </c>
      <c r="V311" s="61">
        <f>(U311*R311)+U311</f>
        <v>0</v>
      </c>
      <c r="W311" s="61">
        <f>(V311*R311)+V311</f>
        <v>0</v>
      </c>
      <c r="X311" s="61">
        <f>(W311*R311)+W311</f>
        <v>0</v>
      </c>
      <c r="Y311" s="61">
        <f>(X311*R311)+X311</f>
        <v>0</v>
      </c>
      <c r="Z311" s="61">
        <f>(Y311*R311)+Y311</f>
        <v>0</v>
      </c>
      <c r="AA311" s="61">
        <f>(Z311*R311)+Z311</f>
        <v>0</v>
      </c>
      <c r="AB311" s="61">
        <f>(AA311*R311)+AA311</f>
        <v>0</v>
      </c>
    </row>
    <row r="312" spans="1:28" ht="15">
      <c r="A312" s="34" t="s">
        <v>685</v>
      </c>
      <c r="B312" s="59" t="s">
        <v>686</v>
      </c>
      <c r="C312" s="37">
        <v>0</v>
      </c>
      <c r="D312" s="38"/>
      <c r="E312" s="120" t="e">
        <f t="shared" si="171"/>
        <v>#DIV/0!</v>
      </c>
      <c r="F312" s="19">
        <f t="shared" si="172"/>
        <v>0</v>
      </c>
      <c r="G312" s="37">
        <v>0</v>
      </c>
      <c r="H312" s="38"/>
      <c r="I312" s="120" t="e">
        <f t="shared" si="173"/>
        <v>#DIV/0!</v>
      </c>
      <c r="J312" s="19">
        <f t="shared" si="174"/>
        <v>15000</v>
      </c>
      <c r="K312" s="63">
        <v>15000</v>
      </c>
      <c r="L312" s="38"/>
      <c r="M312" s="120">
        <f t="shared" si="175"/>
        <v>-1</v>
      </c>
      <c r="N312" s="19">
        <f t="shared" si="176"/>
        <v>-15000</v>
      </c>
      <c r="O312" s="63">
        <v>0</v>
      </c>
      <c r="P312" s="38"/>
      <c r="Q312" s="121" t="e">
        <f t="shared" si="177"/>
        <v>#DIV/0!</v>
      </c>
      <c r="R312" s="121"/>
      <c r="S312" s="121"/>
      <c r="T312" s="61">
        <f>(O312*R312)+O312</f>
        <v>0</v>
      </c>
      <c r="U312" s="61">
        <f>(T312*R312)+T312</f>
        <v>0</v>
      </c>
      <c r="V312" s="61">
        <f>(U312*R312)+U312</f>
        <v>0</v>
      </c>
      <c r="W312" s="61">
        <f>(V312*R312)+V312</f>
        <v>0</v>
      </c>
      <c r="X312" s="61">
        <f>(W312*R312)+W312</f>
        <v>0</v>
      </c>
      <c r="Y312" s="61">
        <f>(X312*R312)+X312</f>
        <v>0</v>
      </c>
      <c r="Z312" s="61">
        <f>(Y312*R312)+Y312</f>
        <v>0</v>
      </c>
      <c r="AA312" s="61">
        <f>(Z312*R312)+Z312</f>
        <v>0</v>
      </c>
      <c r="AB312" s="61">
        <f>(AA312*R312)+AA312</f>
        <v>0</v>
      </c>
    </row>
    <row r="313" spans="1:28" ht="15.75">
      <c r="A313" s="33" t="s">
        <v>687</v>
      </c>
      <c r="B313" s="42" t="s">
        <v>688</v>
      </c>
      <c r="C313" s="24">
        <f>SUM(C314)</f>
        <v>0</v>
      </c>
      <c r="D313" s="20"/>
      <c r="E313" s="120" t="e">
        <f t="shared" si="171"/>
        <v>#DIV/0!</v>
      </c>
      <c r="F313" s="19">
        <f t="shared" si="172"/>
        <v>0</v>
      </c>
      <c r="G313" s="24">
        <f>SUM(G314)</f>
        <v>0</v>
      </c>
      <c r="H313" s="20"/>
      <c r="I313" s="120" t="e">
        <f t="shared" si="173"/>
        <v>#DIV/0!</v>
      </c>
      <c r="J313" s="19">
        <f t="shared" si="174"/>
        <v>10000</v>
      </c>
      <c r="K313" s="25">
        <f>SUM(K314)</f>
        <v>10000</v>
      </c>
      <c r="L313" s="20"/>
      <c r="M313" s="120">
        <f t="shared" si="175"/>
        <v>-1</v>
      </c>
      <c r="N313" s="19">
        <f t="shared" si="176"/>
        <v>-10000</v>
      </c>
      <c r="O313" s="25">
        <f>SUM(O314)</f>
        <v>0</v>
      </c>
      <c r="P313" s="20"/>
      <c r="Q313" s="121" t="e">
        <f t="shared" si="177"/>
        <v>#DIV/0!</v>
      </c>
      <c r="R313" s="121"/>
      <c r="S313" s="121"/>
      <c r="T313" s="25">
        <f aca="true" t="shared" si="208" ref="T313:AB314">SUM(T314)</f>
        <v>0</v>
      </c>
      <c r="U313" s="25">
        <f t="shared" si="208"/>
        <v>0</v>
      </c>
      <c r="V313" s="25">
        <f t="shared" si="208"/>
        <v>0</v>
      </c>
      <c r="W313" s="25">
        <f t="shared" si="208"/>
        <v>0</v>
      </c>
      <c r="X313" s="25">
        <f t="shared" si="208"/>
        <v>0</v>
      </c>
      <c r="Y313" s="25">
        <f t="shared" si="208"/>
        <v>0</v>
      </c>
      <c r="Z313" s="25">
        <f t="shared" si="208"/>
        <v>0</v>
      </c>
      <c r="AA313" s="25">
        <f t="shared" si="208"/>
        <v>0</v>
      </c>
      <c r="AB313" s="25">
        <f t="shared" si="208"/>
        <v>0</v>
      </c>
    </row>
    <row r="314" spans="1:28" ht="15.75">
      <c r="A314" s="33" t="s">
        <v>689</v>
      </c>
      <c r="B314" s="42" t="s">
        <v>467</v>
      </c>
      <c r="C314" s="24">
        <f>SUM(C315)</f>
        <v>0</v>
      </c>
      <c r="D314" s="20"/>
      <c r="E314" s="120" t="e">
        <f t="shared" si="171"/>
        <v>#DIV/0!</v>
      </c>
      <c r="F314" s="19">
        <f t="shared" si="172"/>
        <v>0</v>
      </c>
      <c r="G314" s="24">
        <f>SUM(G315)</f>
        <v>0</v>
      </c>
      <c r="H314" s="20"/>
      <c r="I314" s="120" t="e">
        <f t="shared" si="173"/>
        <v>#DIV/0!</v>
      </c>
      <c r="J314" s="19">
        <f t="shared" si="174"/>
        <v>10000</v>
      </c>
      <c r="K314" s="25">
        <f>SUM(K315)</f>
        <v>10000</v>
      </c>
      <c r="L314" s="20"/>
      <c r="M314" s="120">
        <f t="shared" si="175"/>
        <v>-1</v>
      </c>
      <c r="N314" s="19">
        <f t="shared" si="176"/>
        <v>-10000</v>
      </c>
      <c r="O314" s="25">
        <f>SUM(O315)</f>
        <v>0</v>
      </c>
      <c r="P314" s="20"/>
      <c r="Q314" s="121" t="e">
        <f t="shared" si="177"/>
        <v>#DIV/0!</v>
      </c>
      <c r="R314" s="121"/>
      <c r="S314" s="121"/>
      <c r="T314" s="25">
        <f t="shared" si="208"/>
        <v>0</v>
      </c>
      <c r="U314" s="25">
        <f t="shared" si="208"/>
        <v>0</v>
      </c>
      <c r="V314" s="25">
        <f t="shared" si="208"/>
        <v>0</v>
      </c>
      <c r="W314" s="25">
        <f t="shared" si="208"/>
        <v>0</v>
      </c>
      <c r="X314" s="25">
        <f t="shared" si="208"/>
        <v>0</v>
      </c>
      <c r="Y314" s="25">
        <f t="shared" si="208"/>
        <v>0</v>
      </c>
      <c r="Z314" s="25">
        <f t="shared" si="208"/>
        <v>0</v>
      </c>
      <c r="AA314" s="25">
        <f t="shared" si="208"/>
        <v>0</v>
      </c>
      <c r="AB314" s="25">
        <f t="shared" si="208"/>
        <v>0</v>
      </c>
    </row>
    <row r="315" spans="1:28" ht="15">
      <c r="A315" s="34" t="s">
        <v>690</v>
      </c>
      <c r="B315" s="59" t="s">
        <v>691</v>
      </c>
      <c r="C315" s="37">
        <v>0</v>
      </c>
      <c r="D315" s="38"/>
      <c r="E315" s="120" t="e">
        <f t="shared" si="171"/>
        <v>#DIV/0!</v>
      </c>
      <c r="F315" s="19">
        <f t="shared" si="172"/>
        <v>0</v>
      </c>
      <c r="G315" s="37">
        <v>0</v>
      </c>
      <c r="H315" s="38"/>
      <c r="I315" s="120" t="e">
        <f t="shared" si="173"/>
        <v>#DIV/0!</v>
      </c>
      <c r="J315" s="19">
        <f t="shared" si="174"/>
        <v>10000</v>
      </c>
      <c r="K315" s="63">
        <v>10000</v>
      </c>
      <c r="L315" s="38"/>
      <c r="M315" s="120">
        <f t="shared" si="175"/>
        <v>-1</v>
      </c>
      <c r="N315" s="19">
        <f t="shared" si="176"/>
        <v>-10000</v>
      </c>
      <c r="O315" s="63">
        <v>0</v>
      </c>
      <c r="P315" s="38"/>
      <c r="Q315" s="121" t="e">
        <f t="shared" si="177"/>
        <v>#DIV/0!</v>
      </c>
      <c r="R315" s="121"/>
      <c r="S315" s="121"/>
      <c r="T315" s="61">
        <f>(O315*R315)+O315</f>
        <v>0</v>
      </c>
      <c r="U315" s="61">
        <f>(T315*R315)+T315</f>
        <v>0</v>
      </c>
      <c r="V315" s="61">
        <f>(U315*R315)+U315</f>
        <v>0</v>
      </c>
      <c r="W315" s="61">
        <f>(V315*R315)+V315</f>
        <v>0</v>
      </c>
      <c r="X315" s="61">
        <f>(W315*R315)+W315</f>
        <v>0</v>
      </c>
      <c r="Y315" s="61">
        <f>(X315*R315)+X315</f>
        <v>0</v>
      </c>
      <c r="Z315" s="61">
        <f>(Y315*R315)+Y315</f>
        <v>0</v>
      </c>
      <c r="AA315" s="61">
        <f>(Z315*R315)+Z315</f>
        <v>0</v>
      </c>
      <c r="AB315" s="61">
        <f>(AA315*R315)+AA315</f>
        <v>0</v>
      </c>
    </row>
    <row r="316" spans="1:28" ht="15.75" thickBot="1">
      <c r="A316" s="39"/>
      <c r="B316" s="72"/>
      <c r="C316" s="37"/>
      <c r="D316" s="38"/>
      <c r="E316" s="120" t="e">
        <f t="shared" si="171"/>
        <v>#DIV/0!</v>
      </c>
      <c r="F316" s="19">
        <f t="shared" si="172"/>
        <v>0</v>
      </c>
      <c r="G316" s="37"/>
      <c r="H316" s="38"/>
      <c r="I316" s="120" t="e">
        <f t="shared" si="173"/>
        <v>#DIV/0!</v>
      </c>
      <c r="J316" s="19">
        <f t="shared" si="174"/>
        <v>0</v>
      </c>
      <c r="K316" s="63"/>
      <c r="L316" s="38"/>
      <c r="M316" s="120" t="e">
        <f t="shared" si="175"/>
        <v>#DIV/0!</v>
      </c>
      <c r="N316" s="19">
        <f t="shared" si="176"/>
        <v>0</v>
      </c>
      <c r="O316" s="63"/>
      <c r="P316" s="38"/>
      <c r="Q316" s="121" t="e">
        <f t="shared" si="177"/>
        <v>#DIV/0!</v>
      </c>
      <c r="R316" s="121"/>
      <c r="S316" s="121"/>
      <c r="T316" s="61">
        <f>(O316*R316)+O316</f>
        <v>0</v>
      </c>
      <c r="U316" s="61">
        <f>(T316*R316)+T316</f>
        <v>0</v>
      </c>
      <c r="V316" s="61">
        <f>(U316*R316)+U316</f>
        <v>0</v>
      </c>
      <c r="W316" s="61">
        <f>(V316*R316)+V316</f>
        <v>0</v>
      </c>
      <c r="X316" s="61">
        <f>(W316*R316)+W316</f>
        <v>0</v>
      </c>
      <c r="Y316" s="61">
        <f>(X316*R316)+X316</f>
        <v>0</v>
      </c>
      <c r="Z316" s="61">
        <f>(Y316*R316)+Y316</f>
        <v>0</v>
      </c>
      <c r="AA316" s="61">
        <f>(Z316*R316)+Z316</f>
        <v>0</v>
      </c>
      <c r="AB316" s="61">
        <f>(AA316*R316)+AA316</f>
        <v>0</v>
      </c>
    </row>
    <row r="317" spans="1:28" ht="15.75">
      <c r="A317" s="274" t="s">
        <v>692</v>
      </c>
      <c r="B317" s="274"/>
      <c r="C317" s="37">
        <f>SUM(C4)</f>
        <v>14199057.210959999</v>
      </c>
      <c r="D317" s="38"/>
      <c r="E317" s="120">
        <f t="shared" si="171"/>
        <v>0.28374248056696216</v>
      </c>
      <c r="F317" s="19">
        <f t="shared" si="172"/>
        <v>4028875.714750001</v>
      </c>
      <c r="G317" s="37">
        <f>SUM(G4)</f>
        <v>18227932.92571</v>
      </c>
      <c r="H317" s="38"/>
      <c r="I317" s="120">
        <f t="shared" si="173"/>
        <v>0.27582784101254143</v>
      </c>
      <c r="J317" s="19">
        <f t="shared" si="174"/>
        <v>5027771.385020006</v>
      </c>
      <c r="K317" s="63">
        <f>SUM(K4)</f>
        <v>23255704.310730007</v>
      </c>
      <c r="L317" s="38"/>
      <c r="M317" s="120">
        <f t="shared" si="175"/>
        <v>-0.08022531959477952</v>
      </c>
      <c r="N317" s="19">
        <f t="shared" si="176"/>
        <v>-1865696.3107300065</v>
      </c>
      <c r="O317" s="31">
        <f>SUM(O4)</f>
        <v>21390008</v>
      </c>
      <c r="P317" s="38"/>
      <c r="Q317" s="121">
        <f t="shared" si="177"/>
        <v>0.15978166732824137</v>
      </c>
      <c r="R317" s="121"/>
      <c r="S317" s="121"/>
      <c r="T317" s="61">
        <f>(O317*R317)+O317</f>
        <v>21390008</v>
      </c>
      <c r="U317" s="31">
        <f aca="true" t="shared" si="209" ref="U317:AB317">SUM(U4)</f>
        <v>25094546.372363217</v>
      </c>
      <c r="V317" s="31">
        <f t="shared" si="209"/>
        <v>27286373.099658832</v>
      </c>
      <c r="W317" s="31">
        <f t="shared" si="209"/>
        <v>29688355.34028878</v>
      </c>
      <c r="X317" s="31">
        <f t="shared" si="209"/>
        <v>31666034.668025453</v>
      </c>
      <c r="Y317" s="31">
        <f t="shared" si="209"/>
        <v>34513061.13355221</v>
      </c>
      <c r="Z317" s="63">
        <f t="shared" si="209"/>
        <v>37642146.70159334</v>
      </c>
      <c r="AA317" s="31">
        <f t="shared" si="209"/>
        <v>41084215.48280056</v>
      </c>
      <c r="AB317" s="31">
        <f t="shared" si="209"/>
        <v>44873927.43945348</v>
      </c>
    </row>
    <row r="319" ht="13.5" thickBot="1">
      <c r="Q319" s="121"/>
    </row>
    <row r="320" spans="2:27" ht="12.75">
      <c r="B320" s="255" t="s">
        <v>1143</v>
      </c>
      <c r="C320" s="239">
        <f>+C321+C380</f>
        <v>14199058</v>
      </c>
      <c r="D320" s="146"/>
      <c r="E320" s="120">
        <f>C320/G320</f>
        <v>0.785146020306329</v>
      </c>
      <c r="F320" s="100">
        <f>G320-C320</f>
        <v>3885550</v>
      </c>
      <c r="G320" s="239">
        <f>+G321+G380</f>
        <v>18084608</v>
      </c>
      <c r="I320" s="120">
        <f>G320/K320</f>
        <v>0.777641781781862</v>
      </c>
      <c r="J320" s="247">
        <f>K320-G320</f>
        <v>5171097.16358</v>
      </c>
      <c r="K320" s="239">
        <f>+K321+K380</f>
        <v>23255705.16358</v>
      </c>
      <c r="M320" s="120">
        <f aca="true" t="shared" si="210" ref="M320:M383">O320/K320-1</f>
        <v>-0.08022535332542002</v>
      </c>
      <c r="N320" s="19">
        <f aca="true" t="shared" si="211" ref="N320:N383">O320-K320</f>
        <v>-1865697.1635800004</v>
      </c>
      <c r="O320" s="239">
        <f>+O321+O380</f>
        <v>21390008</v>
      </c>
      <c r="Q320" s="121">
        <f t="shared" si="177"/>
        <v>0.4941874829209237</v>
      </c>
      <c r="T320" s="239">
        <f aca="true" t="shared" si="212" ref="T320:AA320">+T321+T380</f>
        <v>23161891</v>
      </c>
      <c r="U320" s="239">
        <f t="shared" si="212"/>
        <v>25096593</v>
      </c>
      <c r="V320" s="239">
        <f t="shared" si="212"/>
        <v>27210873</v>
      </c>
      <c r="W320" s="239">
        <f t="shared" si="212"/>
        <v>29523463</v>
      </c>
      <c r="X320" s="239">
        <f t="shared" si="212"/>
        <v>31261876</v>
      </c>
      <c r="Y320" s="239">
        <f t="shared" si="212"/>
        <v>33981340</v>
      </c>
      <c r="Z320" s="239">
        <f t="shared" si="212"/>
        <v>36965738</v>
      </c>
      <c r="AA320" s="239">
        <f t="shared" si="212"/>
        <v>40244140</v>
      </c>
    </row>
    <row r="321" spans="2:27" ht="12.75">
      <c r="B321" s="248" t="s">
        <v>1144</v>
      </c>
      <c r="C321" s="239">
        <f>+C322+C343</f>
        <v>11903589</v>
      </c>
      <c r="D321" s="256">
        <f>C321/C320</f>
        <v>0.8383365290852394</v>
      </c>
      <c r="E321" s="120">
        <f aca="true" t="shared" si="213" ref="E321:E384">C321/G321</f>
        <v>0.9466428566316196</v>
      </c>
      <c r="F321" s="100">
        <f aca="true" t="shared" si="214" ref="F321:F384">G321-C321</f>
        <v>670941</v>
      </c>
      <c r="G321" s="239">
        <f>+G322+G343</f>
        <v>12574530</v>
      </c>
      <c r="H321" s="250">
        <f>G321/G320</f>
        <v>0.6953167024687513</v>
      </c>
      <c r="I321" s="120">
        <f aca="true" t="shared" si="215" ref="I321:I384">G321/K321</f>
        <v>0.5625374984279164</v>
      </c>
      <c r="J321" s="247">
        <f aca="true" t="shared" si="216" ref="J321:J384">K321-G321</f>
        <v>9778699.847150002</v>
      </c>
      <c r="K321" s="239">
        <f>+K322+K343</f>
        <v>22353229.84715</v>
      </c>
      <c r="L321" s="250">
        <f>K321/K320</f>
        <v>0.9611933798574581</v>
      </c>
      <c r="M321" s="120">
        <f t="shared" si="210"/>
        <v>-0.05405410562196922</v>
      </c>
      <c r="N321" s="19">
        <f t="shared" si="211"/>
        <v>-1208283.8471500017</v>
      </c>
      <c r="O321" s="239">
        <f>+O322+O343</f>
        <v>21144946</v>
      </c>
      <c r="Q321" s="121">
        <f t="shared" si="177"/>
        <v>0.4850420831458557</v>
      </c>
      <c r="T321" s="239">
        <f aca="true" t="shared" si="217" ref="T321:AA321">+T322+T343</f>
        <v>22916829</v>
      </c>
      <c r="U321" s="239">
        <f t="shared" si="217"/>
        <v>24851531</v>
      </c>
      <c r="V321" s="239">
        <f t="shared" si="217"/>
        <v>26965811</v>
      </c>
      <c r="W321" s="239">
        <f t="shared" si="217"/>
        <v>29278401</v>
      </c>
      <c r="X321" s="239">
        <f t="shared" si="217"/>
        <v>31016814</v>
      </c>
      <c r="Y321" s="239">
        <f t="shared" si="217"/>
        <v>33736278</v>
      </c>
      <c r="Z321" s="239">
        <f t="shared" si="217"/>
        <v>36720676</v>
      </c>
      <c r="AA321" s="239">
        <f t="shared" si="217"/>
        <v>39999078</v>
      </c>
    </row>
    <row r="322" spans="2:27" ht="12.75">
      <c r="B322" s="194" t="s">
        <v>1145</v>
      </c>
      <c r="C322" s="239">
        <f>+C323+C325+C326+C327+C328+C329+C330+C331+C332+C333+C335+C341+C342+C324+C334</f>
        <v>5112508</v>
      </c>
      <c r="D322" s="249">
        <f>C322/C321</f>
        <v>0.42949298736708735</v>
      </c>
      <c r="E322" s="120">
        <f t="shared" si="213"/>
        <v>0.8271215857930422</v>
      </c>
      <c r="F322" s="100">
        <f t="shared" si="214"/>
        <v>1068576</v>
      </c>
      <c r="G322" s="239">
        <f>+G323+G325+G326+G327+G328+G329+G330+G331+G332+G333+G335+G341+G342+G324+G334</f>
        <v>6181084</v>
      </c>
      <c r="H322" s="249">
        <f>G322/G321</f>
        <v>0.4915558672968294</v>
      </c>
      <c r="I322" s="120">
        <f t="shared" si="215"/>
        <v>0.8028513867831778</v>
      </c>
      <c r="J322" s="247">
        <f t="shared" si="216"/>
        <v>1517830.2720000008</v>
      </c>
      <c r="K322" s="239">
        <f>+K323+K325+K326+K327+K328+K329+K330+K331+K332+K333+K335+K341+K342+K324+K334</f>
        <v>7698914.272000001</v>
      </c>
      <c r="L322" s="249">
        <f>K322/K321</f>
        <v>0.3444206642460485</v>
      </c>
      <c r="M322" s="120">
        <f t="shared" si="210"/>
        <v>0.03620493983336548</v>
      </c>
      <c r="N322" s="19">
        <f t="shared" si="211"/>
        <v>278738.7279999992</v>
      </c>
      <c r="O322" s="239">
        <f>+O323+O325+O326+O327+O328+O329+O330+O331+O332+O333+O335+O341+O342+O324+O334</f>
        <v>7977653</v>
      </c>
      <c r="Q322" s="121">
        <f t="shared" si="177"/>
        <v>0.5553926374698618</v>
      </c>
      <c r="T322" s="239">
        <f aca="true" t="shared" si="218" ref="T322:AA322">+T323+T325+T326+T327+T328+T329+T330+T331+T332+T333+T335+T341+T342+T324+T334</f>
        <v>8748527</v>
      </c>
      <c r="U322" s="239">
        <f t="shared" si="218"/>
        <v>9605123</v>
      </c>
      <c r="V322" s="239">
        <f t="shared" si="218"/>
        <v>10558150</v>
      </c>
      <c r="W322" s="239">
        <f t="shared" si="218"/>
        <v>11619783</v>
      </c>
      <c r="X322" s="239">
        <f t="shared" si="218"/>
        <v>12147110</v>
      </c>
      <c r="Y322" s="239">
        <f t="shared" si="218"/>
        <v>13424641</v>
      </c>
      <c r="Z322" s="239">
        <f t="shared" si="218"/>
        <v>14855139</v>
      </c>
      <c r="AA322" s="239">
        <f t="shared" si="218"/>
        <v>16458762</v>
      </c>
    </row>
    <row r="323" spans="2:27" ht="12.75">
      <c r="B323" s="198" t="s">
        <v>1146</v>
      </c>
      <c r="C323" s="257">
        <v>2208112</v>
      </c>
      <c r="D323" s="146">
        <f>C323/C322</f>
        <v>0.43190387183746215</v>
      </c>
      <c r="E323" s="120">
        <f t="shared" si="213"/>
        <v>0.9175928703990744</v>
      </c>
      <c r="F323" s="100">
        <f t="shared" si="214"/>
        <v>198306</v>
      </c>
      <c r="G323" s="257">
        <v>2406418</v>
      </c>
      <c r="H323" s="146">
        <f>G323/G322</f>
        <v>0.38931973744411175</v>
      </c>
      <c r="I323" s="120">
        <f t="shared" si="215"/>
        <v>0.9185482546106526</v>
      </c>
      <c r="J323" s="247">
        <f t="shared" si="216"/>
        <v>213387.75100000016</v>
      </c>
      <c r="K323" s="240">
        <v>2619805.751</v>
      </c>
      <c r="L323" s="146">
        <f>K323/K322</f>
        <v>0.3402824941859542</v>
      </c>
      <c r="M323" s="120">
        <f t="shared" si="210"/>
        <v>0.0544266493596226</v>
      </c>
      <c r="N323" s="19">
        <f t="shared" si="211"/>
        <v>142587.24899999984</v>
      </c>
      <c r="O323" s="240">
        <v>2762393</v>
      </c>
      <c r="Q323" s="121">
        <f t="shared" si="177"/>
        <v>0.6301892581231165</v>
      </c>
      <c r="T323" s="220">
        <v>2976755</v>
      </c>
      <c r="U323" s="220">
        <v>3207751</v>
      </c>
      <c r="V323" s="220">
        <v>3456672</v>
      </c>
      <c r="W323" s="220">
        <v>3724910</v>
      </c>
      <c r="X323" s="220">
        <v>4013963</v>
      </c>
      <c r="Y323" s="220">
        <v>4325447</v>
      </c>
      <c r="Z323" s="220">
        <v>4661101</v>
      </c>
      <c r="AA323" s="220">
        <v>5022803</v>
      </c>
    </row>
    <row r="324" spans="2:27" ht="12.75">
      <c r="B324" s="198" t="s">
        <v>1147</v>
      </c>
      <c r="C324" s="257">
        <v>547886</v>
      </c>
      <c r="D324" s="146">
        <f>C324/C322</f>
        <v>0.10716579807796878</v>
      </c>
      <c r="E324" s="120">
        <f t="shared" si="213"/>
        <v>0.9351361776718798</v>
      </c>
      <c r="F324" s="100">
        <f t="shared" si="214"/>
        <v>38003</v>
      </c>
      <c r="G324" s="257">
        <v>585889</v>
      </c>
      <c r="H324" s="146">
        <f>G324/G322</f>
        <v>0.09478741916466432</v>
      </c>
      <c r="I324" s="120">
        <f t="shared" si="215"/>
        <v>0.9108123412629215</v>
      </c>
      <c r="J324" s="247">
        <f t="shared" si="216"/>
        <v>57370.839000000036</v>
      </c>
      <c r="K324" s="240">
        <v>643259.839</v>
      </c>
      <c r="L324" s="146">
        <f>K324/K322</f>
        <v>0.0835520199698101</v>
      </c>
      <c r="M324" s="120">
        <f t="shared" si="210"/>
        <v>-0.003721418398700993</v>
      </c>
      <c r="N324" s="19">
        <f t="shared" si="211"/>
        <v>-2393.8390000000363</v>
      </c>
      <c r="O324" s="240">
        <v>640866</v>
      </c>
      <c r="Q324" s="121">
        <f t="shared" si="177"/>
        <v>0.6140757001787001</v>
      </c>
      <c r="T324" s="220">
        <v>675793</v>
      </c>
      <c r="U324" s="220">
        <v>712624</v>
      </c>
      <c r="V324" s="220">
        <v>751462</v>
      </c>
      <c r="W324" s="220">
        <v>792417</v>
      </c>
      <c r="X324" s="220">
        <v>835603</v>
      </c>
      <c r="Y324" s="220">
        <v>881144</v>
      </c>
      <c r="Z324" s="220">
        <v>929166</v>
      </c>
      <c r="AA324" s="220">
        <v>979806</v>
      </c>
    </row>
    <row r="325" spans="2:27" ht="12.75">
      <c r="B325" s="201" t="s">
        <v>1148</v>
      </c>
      <c r="C325" s="257">
        <v>54292</v>
      </c>
      <c r="D325" s="146">
        <f>C325/C322</f>
        <v>0.010619445485464276</v>
      </c>
      <c r="E325" s="120">
        <f t="shared" si="213"/>
        <v>0.5657243484875324</v>
      </c>
      <c r="F325" s="100">
        <f t="shared" si="214"/>
        <v>41677</v>
      </c>
      <c r="G325" s="257">
        <v>95969</v>
      </c>
      <c r="H325" s="146">
        <f>G325/G322</f>
        <v>0.01552624102827271</v>
      </c>
      <c r="I325" s="120">
        <f t="shared" si="215"/>
        <v>0.8574912514564302</v>
      </c>
      <c r="J325" s="247">
        <f t="shared" si="216"/>
        <v>15949.342999999993</v>
      </c>
      <c r="K325" s="240">
        <v>111918.343</v>
      </c>
      <c r="L325" s="146">
        <f>K325/K322</f>
        <v>0.01453689949595012</v>
      </c>
      <c r="M325" s="120">
        <f t="shared" si="210"/>
        <v>-0.20347283912164416</v>
      </c>
      <c r="N325" s="19">
        <f t="shared" si="211"/>
        <v>-22772.342999999993</v>
      </c>
      <c r="O325" s="240">
        <v>89146</v>
      </c>
      <c r="Q325" s="121">
        <f aca="true" t="shared" si="219" ref="Q325:Q388">SUM(E325+I325+M325)/3</f>
        <v>0.4065809202741062</v>
      </c>
      <c r="T325" s="220">
        <v>99844</v>
      </c>
      <c r="U325" s="220">
        <v>111825</v>
      </c>
      <c r="V325" s="220">
        <v>125244</v>
      </c>
      <c r="W325" s="220">
        <v>140273</v>
      </c>
      <c r="X325" s="220">
        <v>157106</v>
      </c>
      <c r="Y325" s="220">
        <v>175958</v>
      </c>
      <c r="Z325" s="220">
        <v>197073</v>
      </c>
      <c r="AA325" s="220">
        <v>220722</v>
      </c>
    </row>
    <row r="326" spans="2:27" ht="12.75">
      <c r="B326" s="198" t="s">
        <v>1149</v>
      </c>
      <c r="C326" s="257">
        <v>648334</v>
      </c>
      <c r="D326" s="146">
        <f>C326/C322</f>
        <v>0.12681329789606197</v>
      </c>
      <c r="E326" s="120">
        <f t="shared" si="213"/>
        <v>0.4337471432929603</v>
      </c>
      <c r="F326" s="100">
        <f t="shared" si="214"/>
        <v>846394</v>
      </c>
      <c r="G326" s="257">
        <v>1494728</v>
      </c>
      <c r="H326" s="146">
        <f>G326/G322</f>
        <v>0.24182295532628256</v>
      </c>
      <c r="I326" s="120">
        <f t="shared" si="215"/>
        <v>0.8460685055215215</v>
      </c>
      <c r="J326" s="247">
        <f t="shared" si="216"/>
        <v>271946.909</v>
      </c>
      <c r="K326" s="240">
        <v>1766674.909</v>
      </c>
      <c r="L326" s="146">
        <f>K326/K322</f>
        <v>0.22947065606707406</v>
      </c>
      <c r="M326" s="120">
        <f t="shared" si="210"/>
        <v>0.1358960212639777</v>
      </c>
      <c r="N326" s="19">
        <f t="shared" si="211"/>
        <v>240084.09100000001</v>
      </c>
      <c r="O326" s="240">
        <v>2006759</v>
      </c>
      <c r="Q326" s="121">
        <f t="shared" si="219"/>
        <v>0.4719038900261532</v>
      </c>
      <c r="T326" s="220">
        <v>2307773</v>
      </c>
      <c r="U326" s="220">
        <v>2653939</v>
      </c>
      <c r="V326" s="220">
        <v>3052030</v>
      </c>
      <c r="W326" s="220">
        <v>3509834</v>
      </c>
      <c r="X326" s="220">
        <v>4036309</v>
      </c>
      <c r="Y326" s="220">
        <v>4641756</v>
      </c>
      <c r="Z326" s="220">
        <v>5338019</v>
      </c>
      <c r="AA326" s="220">
        <v>6138722</v>
      </c>
    </row>
    <row r="327" spans="2:27" ht="12.75">
      <c r="B327" s="198" t="s">
        <v>1150</v>
      </c>
      <c r="C327" s="257">
        <v>1094460</v>
      </c>
      <c r="D327" s="146">
        <f>C327/C322</f>
        <v>0.21407497064063274</v>
      </c>
      <c r="E327" s="120">
        <f t="shared" si="213"/>
        <v>0.9053983401940411</v>
      </c>
      <c r="F327" s="100">
        <f t="shared" si="214"/>
        <v>114356</v>
      </c>
      <c r="G327" s="257">
        <v>1208816</v>
      </c>
      <c r="H327" s="146">
        <f>G327/G322</f>
        <v>0.19556699116206802</v>
      </c>
      <c r="I327" s="120">
        <f t="shared" si="215"/>
        <v>0.7656942115728005</v>
      </c>
      <c r="J327" s="247">
        <f t="shared" si="216"/>
        <v>369903</v>
      </c>
      <c r="K327" s="240">
        <v>1578719</v>
      </c>
      <c r="L327" s="146">
        <f>K327/K322</f>
        <v>0.2050573553912148</v>
      </c>
      <c r="M327" s="120">
        <f t="shared" si="210"/>
        <v>0.06801020320905748</v>
      </c>
      <c r="N327" s="19">
        <f t="shared" si="211"/>
        <v>107369</v>
      </c>
      <c r="O327" s="240">
        <v>1686088</v>
      </c>
      <c r="Q327" s="121">
        <f t="shared" si="219"/>
        <v>0.5797009183252997</v>
      </c>
      <c r="T327" s="220">
        <v>1800742</v>
      </c>
      <c r="U327" s="220">
        <v>1923192</v>
      </c>
      <c r="V327" s="220">
        <v>2053970</v>
      </c>
      <c r="W327" s="220">
        <v>2193639</v>
      </c>
      <c r="X327" s="220">
        <v>1686088</v>
      </c>
      <c r="Y327" s="220">
        <v>1800742</v>
      </c>
      <c r="Z327" s="220">
        <v>1923192</v>
      </c>
      <c r="AA327" s="220">
        <v>2053970</v>
      </c>
    </row>
    <row r="328" spans="2:27" ht="12.75">
      <c r="B328" s="198" t="s">
        <v>1151</v>
      </c>
      <c r="C328" s="257">
        <v>3583</v>
      </c>
      <c r="D328" s="146">
        <f>C328/C322</f>
        <v>0.0007008301991899083</v>
      </c>
      <c r="E328" s="120">
        <f t="shared" si="213"/>
        <v>1.0782425519109238</v>
      </c>
      <c r="F328" s="100">
        <f t="shared" si="214"/>
        <v>-260</v>
      </c>
      <c r="G328" s="257">
        <v>3323</v>
      </c>
      <c r="H328" s="146">
        <f>G328/G322</f>
        <v>0.00053760796649908</v>
      </c>
      <c r="I328" s="120">
        <f t="shared" si="215"/>
        <v>0.4944204731438774</v>
      </c>
      <c r="J328" s="247">
        <f t="shared" si="216"/>
        <v>3398</v>
      </c>
      <c r="K328" s="240">
        <v>6721</v>
      </c>
      <c r="L328" s="146">
        <f>K328/K322</f>
        <v>0.0008729802362449269</v>
      </c>
      <c r="M328" s="120">
        <f t="shared" si="210"/>
        <v>-0.2895402469870555</v>
      </c>
      <c r="N328" s="19">
        <f t="shared" si="211"/>
        <v>-1946</v>
      </c>
      <c r="O328" s="220">
        <v>4775</v>
      </c>
      <c r="Q328" s="121">
        <f t="shared" si="219"/>
        <v>0.42770759268924863</v>
      </c>
      <c r="T328" s="220">
        <v>5074</v>
      </c>
      <c r="U328" s="220">
        <v>5392</v>
      </c>
      <c r="V328" s="220">
        <v>5729</v>
      </c>
      <c r="W328" s="220">
        <v>6088</v>
      </c>
      <c r="X328" s="220">
        <v>6469</v>
      </c>
      <c r="Y328" s="220">
        <v>6874</v>
      </c>
      <c r="Z328" s="220">
        <v>7304</v>
      </c>
      <c r="AA328" s="220">
        <v>7761</v>
      </c>
    </row>
    <row r="329" spans="2:27" ht="12.75">
      <c r="B329" s="201" t="s">
        <v>1152</v>
      </c>
      <c r="C329" s="220">
        <v>0</v>
      </c>
      <c r="D329" s="146">
        <f>C329/C322</f>
        <v>0</v>
      </c>
      <c r="E329" s="120" t="e">
        <f t="shared" si="213"/>
        <v>#DIV/0!</v>
      </c>
      <c r="F329" s="100">
        <f t="shared" si="214"/>
        <v>0</v>
      </c>
      <c r="G329" s="220">
        <v>0</v>
      </c>
      <c r="H329" s="146">
        <f>G329/G322</f>
        <v>0</v>
      </c>
      <c r="I329" s="120" t="e">
        <f t="shared" si="215"/>
        <v>#DIV/0!</v>
      </c>
      <c r="J329" s="247">
        <f t="shared" si="216"/>
        <v>0</v>
      </c>
      <c r="K329" s="220">
        <v>0</v>
      </c>
      <c r="L329" s="146">
        <f>K329/K322</f>
        <v>0</v>
      </c>
      <c r="M329" s="120" t="e">
        <f t="shared" si="210"/>
        <v>#DIV/0!</v>
      </c>
      <c r="N329" s="19">
        <f t="shared" si="211"/>
        <v>0</v>
      </c>
      <c r="O329" s="220">
        <v>0</v>
      </c>
      <c r="Q329" s="121" t="e">
        <f t="shared" si="219"/>
        <v>#DIV/0!</v>
      </c>
      <c r="T329" s="220">
        <v>0</v>
      </c>
      <c r="U329" s="220">
        <v>0</v>
      </c>
      <c r="V329" s="220">
        <v>0</v>
      </c>
      <c r="W329" s="220">
        <v>0</v>
      </c>
      <c r="X329" s="220">
        <v>0</v>
      </c>
      <c r="Y329" s="220">
        <v>0</v>
      </c>
      <c r="Z329" s="220">
        <v>0</v>
      </c>
      <c r="AA329" s="220">
        <v>0</v>
      </c>
    </row>
    <row r="330" spans="2:27" ht="12.75">
      <c r="B330" s="198" t="s">
        <v>1153</v>
      </c>
      <c r="C330" s="257">
        <v>82823</v>
      </c>
      <c r="D330" s="146">
        <f>C330/C322</f>
        <v>0.01620007244976438</v>
      </c>
      <c r="E330" s="120">
        <f t="shared" si="213"/>
        <v>1.0688079906053607</v>
      </c>
      <c r="F330" s="100">
        <f t="shared" si="214"/>
        <v>-5332</v>
      </c>
      <c r="G330" s="257">
        <v>77491</v>
      </c>
      <c r="H330" s="146">
        <f>G330/G322</f>
        <v>0.01253679775262721</v>
      </c>
      <c r="I330" s="120">
        <f t="shared" si="215"/>
        <v>0.4965681266882033</v>
      </c>
      <c r="J330" s="247">
        <f t="shared" si="216"/>
        <v>78562.109</v>
      </c>
      <c r="K330" s="240">
        <v>156053.109</v>
      </c>
      <c r="L330" s="146">
        <f>K330/K322</f>
        <v>0.020269495605055098</v>
      </c>
      <c r="M330" s="120">
        <f t="shared" si="210"/>
        <v>0.1713127740377156</v>
      </c>
      <c r="N330" s="19">
        <f t="shared" si="211"/>
        <v>26733.891000000003</v>
      </c>
      <c r="O330" s="220">
        <v>182787</v>
      </c>
      <c r="Q330" s="121">
        <f t="shared" si="219"/>
        <v>0.5788962971104266</v>
      </c>
      <c r="T330" s="220">
        <v>194229</v>
      </c>
      <c r="U330" s="220">
        <v>206388</v>
      </c>
      <c r="V330" s="220">
        <v>219308</v>
      </c>
      <c r="W330" s="220">
        <v>233037</v>
      </c>
      <c r="X330" s="220">
        <v>247625</v>
      </c>
      <c r="Y330" s="220">
        <v>263126</v>
      </c>
      <c r="Z330" s="220">
        <v>279598</v>
      </c>
      <c r="AA330" s="220">
        <v>297101</v>
      </c>
    </row>
    <row r="331" spans="2:27" ht="12.75">
      <c r="B331" s="198" t="s">
        <v>1154</v>
      </c>
      <c r="C331" s="257">
        <v>2862</v>
      </c>
      <c r="D331" s="146">
        <f>C331/C322</f>
        <v>0.000559803525001819</v>
      </c>
      <c r="E331" s="120">
        <f t="shared" si="213"/>
        <v>0.7451184587347045</v>
      </c>
      <c r="F331" s="100">
        <f t="shared" si="214"/>
        <v>979</v>
      </c>
      <c r="G331" s="257">
        <v>3841</v>
      </c>
      <c r="H331" s="146">
        <f>G331/G322</f>
        <v>0.000621412037111937</v>
      </c>
      <c r="I331" s="120">
        <f t="shared" si="215"/>
        <v>0.9017814233026799</v>
      </c>
      <c r="J331" s="247">
        <f t="shared" si="216"/>
        <v>418.34700000000066</v>
      </c>
      <c r="K331" s="240">
        <v>4259.347000000001</v>
      </c>
      <c r="L331" s="146">
        <f>K331/K322</f>
        <v>0.0005532399568976523</v>
      </c>
      <c r="M331" s="120">
        <f t="shared" si="210"/>
        <v>-0.14423502006293465</v>
      </c>
      <c r="N331" s="19">
        <f t="shared" si="211"/>
        <v>-614.3470000000007</v>
      </c>
      <c r="O331" s="220">
        <v>3645</v>
      </c>
      <c r="Q331" s="121">
        <f t="shared" si="219"/>
        <v>0.5008882873248166</v>
      </c>
      <c r="T331" s="220">
        <v>3873</v>
      </c>
      <c r="U331" s="220">
        <v>4116</v>
      </c>
      <c r="V331" s="220">
        <v>4373</v>
      </c>
      <c r="W331" s="220">
        <v>4647</v>
      </c>
      <c r="X331" s="220">
        <v>4938</v>
      </c>
      <c r="Y331" s="220">
        <v>5247</v>
      </c>
      <c r="Z331" s="220">
        <v>5576</v>
      </c>
      <c r="AA331" s="220">
        <v>5925</v>
      </c>
    </row>
    <row r="332" spans="2:27" ht="12.75">
      <c r="B332" s="198" t="s">
        <v>1155</v>
      </c>
      <c r="C332" s="257">
        <v>795</v>
      </c>
      <c r="D332" s="146">
        <f>C332/C322</f>
        <v>0.00015550097916717197</v>
      </c>
      <c r="E332" s="120">
        <f t="shared" si="213"/>
        <v>0.04784257086116628</v>
      </c>
      <c r="F332" s="100">
        <f t="shared" si="214"/>
        <v>15822</v>
      </c>
      <c r="G332" s="257">
        <v>16617</v>
      </c>
      <c r="H332" s="146">
        <f>G332/G322</f>
        <v>0.0026883634003356045</v>
      </c>
      <c r="I332" s="120">
        <f t="shared" si="215"/>
        <v>0.36273681554709597</v>
      </c>
      <c r="J332" s="247">
        <f t="shared" si="216"/>
        <v>29193.072999999997</v>
      </c>
      <c r="K332" s="240">
        <v>45810.073</v>
      </c>
      <c r="L332" s="146">
        <f>K332/K322</f>
        <v>0.005950199129584488</v>
      </c>
      <c r="M332" s="120">
        <f t="shared" si="210"/>
        <v>-0.20050334781173562</v>
      </c>
      <c r="N332" s="19">
        <f t="shared" si="211"/>
        <v>-9185.072999999997</v>
      </c>
      <c r="O332" s="220">
        <v>36625</v>
      </c>
      <c r="Q332" s="121">
        <f t="shared" si="219"/>
        <v>0.07002534619884221</v>
      </c>
      <c r="T332" s="220">
        <v>38918</v>
      </c>
      <c r="U332" s="220">
        <v>41354</v>
      </c>
      <c r="V332" s="220">
        <v>43943</v>
      </c>
      <c r="W332" s="220">
        <v>46694</v>
      </c>
      <c r="X332" s="220">
        <v>49617</v>
      </c>
      <c r="Y332" s="220">
        <v>52723</v>
      </c>
      <c r="Z332" s="220">
        <v>56023</v>
      </c>
      <c r="AA332" s="220">
        <v>59530</v>
      </c>
    </row>
    <row r="333" spans="2:27" ht="12.75">
      <c r="B333" s="201" t="s">
        <v>1156</v>
      </c>
      <c r="C333" s="257">
        <v>387861</v>
      </c>
      <c r="D333" s="146">
        <f>C333/C322</f>
        <v>0.0758651135607025</v>
      </c>
      <c r="E333" s="120">
        <f t="shared" si="213"/>
        <v>1.5836814189644401</v>
      </c>
      <c r="F333" s="100">
        <f t="shared" si="214"/>
        <v>-142950</v>
      </c>
      <c r="G333" s="257">
        <v>244911</v>
      </c>
      <c r="H333" s="146">
        <f>G333/G322</f>
        <v>0.03962266165611081</v>
      </c>
      <c r="I333" s="120">
        <f t="shared" si="215"/>
        <v>0.32166188942287605</v>
      </c>
      <c r="J333" s="247">
        <f t="shared" si="216"/>
        <v>516481.655</v>
      </c>
      <c r="K333" s="240">
        <v>761392.655</v>
      </c>
      <c r="L333" s="146">
        <f>K333/K322</f>
        <v>0.09889610769782058</v>
      </c>
      <c r="M333" s="120">
        <f t="shared" si="210"/>
        <v>-0.29742033038130633</v>
      </c>
      <c r="N333" s="19">
        <f t="shared" si="211"/>
        <v>-226453.65500000003</v>
      </c>
      <c r="O333" s="240">
        <v>534939</v>
      </c>
      <c r="Q333" s="121">
        <f t="shared" si="219"/>
        <v>0.5359743260020032</v>
      </c>
      <c r="T333" s="220">
        <v>615180</v>
      </c>
      <c r="U333" s="220">
        <v>707457</v>
      </c>
      <c r="V333" s="220">
        <v>813575</v>
      </c>
      <c r="W333" s="220">
        <v>935612</v>
      </c>
      <c r="X333" s="220">
        <v>1075953</v>
      </c>
      <c r="Y333" s="220">
        <v>1237346</v>
      </c>
      <c r="Z333" s="220">
        <v>1422948</v>
      </c>
      <c r="AA333" s="220">
        <v>1636391</v>
      </c>
    </row>
    <row r="334" spans="2:27" ht="12.75">
      <c r="B334" s="201" t="s">
        <v>1157</v>
      </c>
      <c r="C334" s="220">
        <v>0</v>
      </c>
      <c r="D334" s="146"/>
      <c r="E334" s="120" t="e">
        <f t="shared" si="213"/>
        <v>#DIV/0!</v>
      </c>
      <c r="F334" s="100">
        <f t="shared" si="214"/>
        <v>0</v>
      </c>
      <c r="G334" s="220"/>
      <c r="I334" s="120" t="e">
        <f t="shared" si="215"/>
        <v>#DIV/0!</v>
      </c>
      <c r="J334" s="247">
        <f t="shared" si="216"/>
        <v>0</v>
      </c>
      <c r="K334" s="220"/>
      <c r="M334" s="120" t="e">
        <f t="shared" si="210"/>
        <v>#DIV/0!</v>
      </c>
      <c r="N334" s="19">
        <f t="shared" si="211"/>
        <v>0</v>
      </c>
      <c r="O334" s="220">
        <v>0</v>
      </c>
      <c r="Q334" s="121" t="e">
        <f t="shared" si="219"/>
        <v>#DIV/0!</v>
      </c>
      <c r="T334" s="220">
        <v>0</v>
      </c>
      <c r="U334" s="220">
        <v>0</v>
      </c>
      <c r="V334" s="220">
        <v>0</v>
      </c>
      <c r="W334" s="220">
        <v>0</v>
      </c>
      <c r="X334" s="220">
        <v>0</v>
      </c>
      <c r="Y334" s="220">
        <v>0</v>
      </c>
      <c r="Z334" s="220">
        <v>0</v>
      </c>
      <c r="AA334" s="220">
        <v>0</v>
      </c>
    </row>
    <row r="335" spans="2:27" ht="12.75">
      <c r="B335" s="201" t="s">
        <v>1158</v>
      </c>
      <c r="C335" s="196">
        <f>SUM(C336:C340)</f>
        <v>0</v>
      </c>
      <c r="D335" s="146">
        <f>C335/C322</f>
        <v>0</v>
      </c>
      <c r="E335" s="120">
        <f t="shared" si="213"/>
        <v>0</v>
      </c>
      <c r="F335" s="100">
        <f t="shared" si="214"/>
        <v>3</v>
      </c>
      <c r="G335" s="196">
        <f>SUM(G336:G340)</f>
        <v>3</v>
      </c>
      <c r="H335" s="146">
        <f>G335/G322</f>
        <v>4.853517603061211E-07</v>
      </c>
      <c r="I335" s="120">
        <f t="shared" si="215"/>
        <v>0.00187207488299532</v>
      </c>
      <c r="J335" s="247">
        <f t="shared" si="216"/>
        <v>1599.5</v>
      </c>
      <c r="K335" s="196">
        <f>SUM(K336:K340)</f>
        <v>1602.5</v>
      </c>
      <c r="L335" s="146">
        <f>K335/K322</f>
        <v>0.00020814623249255994</v>
      </c>
      <c r="M335" s="120">
        <f t="shared" si="210"/>
        <v>-0.15132605304212166</v>
      </c>
      <c r="N335" s="19">
        <f t="shared" si="211"/>
        <v>-242.5</v>
      </c>
      <c r="O335" s="196">
        <f>SUM(O336:O340)</f>
        <v>1360</v>
      </c>
      <c r="Q335" s="121">
        <f t="shared" si="219"/>
        <v>-0.04981799271970878</v>
      </c>
      <c r="T335" s="196">
        <f aca="true" t="shared" si="220" ref="T335:AA335">SUM(T336:T340)</f>
        <v>1445</v>
      </c>
      <c r="U335" s="196">
        <f t="shared" si="220"/>
        <v>1536</v>
      </c>
      <c r="V335" s="196">
        <f t="shared" si="220"/>
        <v>1632</v>
      </c>
      <c r="W335" s="196">
        <f t="shared" si="220"/>
        <v>1734</v>
      </c>
      <c r="X335" s="196">
        <f t="shared" si="220"/>
        <v>1842</v>
      </c>
      <c r="Y335" s="196">
        <f t="shared" si="220"/>
        <v>1958</v>
      </c>
      <c r="Z335" s="196">
        <f t="shared" si="220"/>
        <v>2080</v>
      </c>
      <c r="AA335" s="196">
        <f t="shared" si="220"/>
        <v>2211</v>
      </c>
    </row>
    <row r="336" spans="2:27" ht="12.75">
      <c r="B336" s="198" t="s">
        <v>1159</v>
      </c>
      <c r="C336" s="220">
        <v>0</v>
      </c>
      <c r="D336" s="146"/>
      <c r="E336" s="120" t="e">
        <f t="shared" si="213"/>
        <v>#DIV/0!</v>
      </c>
      <c r="F336" s="100">
        <f t="shared" si="214"/>
        <v>0</v>
      </c>
      <c r="G336" s="220"/>
      <c r="I336" s="120" t="e">
        <f t="shared" si="215"/>
        <v>#DIV/0!</v>
      </c>
      <c r="J336" s="247">
        <f t="shared" si="216"/>
        <v>0</v>
      </c>
      <c r="K336" s="220"/>
      <c r="M336" s="120" t="e">
        <f t="shared" si="210"/>
        <v>#DIV/0!</v>
      </c>
      <c r="N336" s="19">
        <f t="shared" si="211"/>
        <v>0</v>
      </c>
      <c r="O336" s="220"/>
      <c r="Q336" s="121" t="e">
        <f t="shared" si="219"/>
        <v>#DIV/0!</v>
      </c>
      <c r="T336" s="220"/>
      <c r="U336" s="220">
        <v>0</v>
      </c>
      <c r="V336" s="220"/>
      <c r="W336" s="220"/>
      <c r="X336" s="220"/>
      <c r="Y336" s="220"/>
      <c r="Z336" s="220"/>
      <c r="AA336" s="220"/>
    </row>
    <row r="337" spans="2:27" ht="12.75">
      <c r="B337" s="198" t="s">
        <v>1160</v>
      </c>
      <c r="C337" s="220">
        <v>0</v>
      </c>
      <c r="D337" s="146"/>
      <c r="E337" s="120" t="e">
        <f t="shared" si="213"/>
        <v>#DIV/0!</v>
      </c>
      <c r="F337" s="100">
        <f t="shared" si="214"/>
        <v>0</v>
      </c>
      <c r="G337" s="220"/>
      <c r="I337" s="120" t="e">
        <f t="shared" si="215"/>
        <v>#DIV/0!</v>
      </c>
      <c r="J337" s="247">
        <f t="shared" si="216"/>
        <v>0</v>
      </c>
      <c r="K337" s="220"/>
      <c r="M337" s="120" t="e">
        <f t="shared" si="210"/>
        <v>#DIV/0!</v>
      </c>
      <c r="N337" s="19">
        <f t="shared" si="211"/>
        <v>0</v>
      </c>
      <c r="O337" s="220"/>
      <c r="Q337" s="121" t="e">
        <f t="shared" si="219"/>
        <v>#DIV/0!</v>
      </c>
      <c r="T337" s="220"/>
      <c r="U337" s="220">
        <v>0</v>
      </c>
      <c r="V337" s="220"/>
      <c r="W337" s="220"/>
      <c r="X337" s="220"/>
      <c r="Y337" s="220"/>
      <c r="Z337" s="220"/>
      <c r="AA337" s="220"/>
    </row>
    <row r="338" spans="2:27" ht="12.75">
      <c r="B338" s="198" t="s">
        <v>1161</v>
      </c>
      <c r="C338" s="220">
        <v>0</v>
      </c>
      <c r="D338" s="146"/>
      <c r="E338" s="120" t="e">
        <f t="shared" si="213"/>
        <v>#DIV/0!</v>
      </c>
      <c r="F338" s="100">
        <f t="shared" si="214"/>
        <v>0</v>
      </c>
      <c r="G338" s="220"/>
      <c r="I338" s="120" t="e">
        <f t="shared" si="215"/>
        <v>#DIV/0!</v>
      </c>
      <c r="J338" s="247">
        <f t="shared" si="216"/>
        <v>0</v>
      </c>
      <c r="K338" s="220"/>
      <c r="M338" s="120" t="e">
        <f t="shared" si="210"/>
        <v>#DIV/0!</v>
      </c>
      <c r="N338" s="19">
        <f t="shared" si="211"/>
        <v>0</v>
      </c>
      <c r="O338" s="220"/>
      <c r="Q338" s="121" t="e">
        <f t="shared" si="219"/>
        <v>#DIV/0!</v>
      </c>
      <c r="T338" s="220"/>
      <c r="U338" s="220">
        <v>0</v>
      </c>
      <c r="V338" s="220"/>
      <c r="W338" s="220"/>
      <c r="X338" s="220"/>
      <c r="Y338" s="220"/>
      <c r="Z338" s="220"/>
      <c r="AA338" s="220"/>
    </row>
    <row r="339" spans="2:27" ht="12.75">
      <c r="B339" s="198" t="s">
        <v>1162</v>
      </c>
      <c r="C339" s="220">
        <v>0</v>
      </c>
      <c r="D339" s="146"/>
      <c r="E339" s="120" t="e">
        <f t="shared" si="213"/>
        <v>#DIV/0!</v>
      </c>
      <c r="F339" s="100">
        <f t="shared" si="214"/>
        <v>0</v>
      </c>
      <c r="G339" s="220"/>
      <c r="I339" s="120" t="e">
        <f t="shared" si="215"/>
        <v>#DIV/0!</v>
      </c>
      <c r="J339" s="247">
        <f t="shared" si="216"/>
        <v>0</v>
      </c>
      <c r="K339" s="220"/>
      <c r="M339" s="120" t="e">
        <f t="shared" si="210"/>
        <v>#DIV/0!</v>
      </c>
      <c r="N339" s="19">
        <f t="shared" si="211"/>
        <v>0</v>
      </c>
      <c r="O339" s="220"/>
      <c r="Q339" s="121" t="e">
        <f t="shared" si="219"/>
        <v>#DIV/0!</v>
      </c>
      <c r="T339" s="220"/>
      <c r="U339" s="220">
        <v>0</v>
      </c>
      <c r="V339" s="220"/>
      <c r="W339" s="220"/>
      <c r="X339" s="220"/>
      <c r="Y339" s="220"/>
      <c r="Z339" s="220"/>
      <c r="AA339" s="220"/>
    </row>
    <row r="340" spans="2:27" ht="12.75">
      <c r="B340" s="198" t="s">
        <v>1163</v>
      </c>
      <c r="C340" s="240">
        <v>0</v>
      </c>
      <c r="D340" s="146">
        <v>0</v>
      </c>
      <c r="E340" s="120">
        <f t="shared" si="213"/>
        <v>0</v>
      </c>
      <c r="F340" s="100">
        <f t="shared" si="214"/>
        <v>3</v>
      </c>
      <c r="G340" s="257">
        <v>3</v>
      </c>
      <c r="H340" s="146">
        <f>G340/G335</f>
        <v>1</v>
      </c>
      <c r="I340" s="120">
        <f t="shared" si="215"/>
        <v>0.00187207488299532</v>
      </c>
      <c r="J340" s="247">
        <f t="shared" si="216"/>
        <v>1599.5</v>
      </c>
      <c r="K340" s="240">
        <v>1602.5</v>
      </c>
      <c r="L340" s="146">
        <f>K340/K335</f>
        <v>1</v>
      </c>
      <c r="M340" s="120">
        <f t="shared" si="210"/>
        <v>-0.15132605304212166</v>
      </c>
      <c r="N340" s="19">
        <f t="shared" si="211"/>
        <v>-242.5</v>
      </c>
      <c r="O340" s="220">
        <v>1360</v>
      </c>
      <c r="Q340" s="121">
        <f t="shared" si="219"/>
        <v>-0.04981799271970878</v>
      </c>
      <c r="T340" s="220">
        <v>1445</v>
      </c>
      <c r="U340" s="220">
        <v>1536</v>
      </c>
      <c r="V340" s="220">
        <v>1632</v>
      </c>
      <c r="W340" s="220">
        <v>1734</v>
      </c>
      <c r="X340" s="220">
        <v>1842</v>
      </c>
      <c r="Y340" s="220">
        <v>1958</v>
      </c>
      <c r="Z340" s="220">
        <v>2080</v>
      </c>
      <c r="AA340" s="220">
        <v>2211</v>
      </c>
    </row>
    <row r="341" spans="2:27" ht="12.75">
      <c r="B341" s="198" t="s">
        <v>1164</v>
      </c>
      <c r="C341" s="220">
        <v>0</v>
      </c>
      <c r="D341" s="146"/>
      <c r="E341" s="120" t="e">
        <f t="shared" si="213"/>
        <v>#DIV/0!</v>
      </c>
      <c r="F341" s="100">
        <f t="shared" si="214"/>
        <v>0</v>
      </c>
      <c r="G341" s="220">
        <v>0</v>
      </c>
      <c r="I341" s="120" t="e">
        <f t="shared" si="215"/>
        <v>#DIV/0!</v>
      </c>
      <c r="J341" s="247">
        <f t="shared" si="216"/>
        <v>0</v>
      </c>
      <c r="K341" s="220">
        <v>0</v>
      </c>
      <c r="M341" s="120" t="e">
        <f t="shared" si="210"/>
        <v>#DIV/0!</v>
      </c>
      <c r="N341" s="19">
        <f t="shared" si="211"/>
        <v>0</v>
      </c>
      <c r="O341" s="220">
        <v>0</v>
      </c>
      <c r="Q341" s="121" t="e">
        <f t="shared" si="219"/>
        <v>#DIV/0!</v>
      </c>
      <c r="T341" s="220">
        <v>0</v>
      </c>
      <c r="U341" s="220">
        <v>0</v>
      </c>
      <c r="V341" s="220">
        <v>0</v>
      </c>
      <c r="W341" s="220">
        <v>0</v>
      </c>
      <c r="X341" s="220">
        <v>0</v>
      </c>
      <c r="Y341" s="220">
        <v>0</v>
      </c>
      <c r="Z341" s="220">
        <v>0</v>
      </c>
      <c r="AA341" s="220">
        <v>0</v>
      </c>
    </row>
    <row r="342" spans="2:27" ht="12.75">
      <c r="B342" s="194" t="s">
        <v>1165</v>
      </c>
      <c r="C342" s="257">
        <f>504+17+556+721+4300+75402</f>
        <v>81500</v>
      </c>
      <c r="D342" s="146">
        <f>C342/C322</f>
        <v>0.015941295348584295</v>
      </c>
      <c r="E342" s="120">
        <f t="shared" si="213"/>
        <v>1.891916987789591</v>
      </c>
      <c r="F342" s="100">
        <f t="shared" si="214"/>
        <v>-38422</v>
      </c>
      <c r="G342" s="257">
        <f>42335+26+661+56</f>
        <v>43078</v>
      </c>
      <c r="H342" s="146">
        <f>G342/G322</f>
        <v>0.006969327710155695</v>
      </c>
      <c r="I342" s="120">
        <f t="shared" si="215"/>
        <v>15.968145259042178</v>
      </c>
      <c r="J342" s="247">
        <f t="shared" si="216"/>
        <v>-40380.254</v>
      </c>
      <c r="K342" s="240">
        <f>990.746+65+391+1251</f>
        <v>2697.746</v>
      </c>
      <c r="L342" s="146">
        <f>K342/K322</f>
        <v>0.0003504060319013252</v>
      </c>
      <c r="M342" s="120">
        <f t="shared" si="210"/>
        <v>9.47911849373514</v>
      </c>
      <c r="N342" s="19">
        <f t="shared" si="211"/>
        <v>25572.254</v>
      </c>
      <c r="O342" s="220">
        <f>26733+552+6+322+657</f>
        <v>28270</v>
      </c>
      <c r="Q342" s="121">
        <f t="shared" si="219"/>
        <v>9.113060246855637</v>
      </c>
      <c r="T342" s="220">
        <f>27268+587+6+342+698</f>
        <v>28901</v>
      </c>
      <c r="U342" s="220">
        <f>27813+623+7+364+742</f>
        <v>29549</v>
      </c>
      <c r="V342" s="220">
        <f>28369+662+7+386+788</f>
        <v>30212</v>
      </c>
      <c r="W342" s="220">
        <f>28937+704+8+411+838</f>
        <v>30898</v>
      </c>
      <c r="X342" s="220">
        <f>29515+748+8+436+890</f>
        <v>31597</v>
      </c>
      <c r="Y342" s="220">
        <f>30106+795+9+464+946</f>
        <v>32320</v>
      </c>
      <c r="Z342" s="220">
        <f>30708+844+9+493+1005</f>
        <v>33059</v>
      </c>
      <c r="AA342" s="220">
        <f>31322+897+10+523+1068</f>
        <v>33820</v>
      </c>
    </row>
    <row r="343" spans="2:27" ht="12.75">
      <c r="B343" s="251" t="s">
        <v>1166</v>
      </c>
      <c r="C343" s="196">
        <f>SUM(C344:C347)+C350+C379+C375</f>
        <v>6791081</v>
      </c>
      <c r="D343" s="249">
        <f>C343/C321</f>
        <v>0.5705070126329126</v>
      </c>
      <c r="E343" s="120">
        <f t="shared" si="213"/>
        <v>1.0621941594564184</v>
      </c>
      <c r="F343" s="100">
        <f t="shared" si="214"/>
        <v>-397635</v>
      </c>
      <c r="G343" s="196">
        <f>SUM(G344:G347)+G350+G379+G375</f>
        <v>6393446</v>
      </c>
      <c r="H343" s="249">
        <f>G343/G321</f>
        <v>0.5084441327031706</v>
      </c>
      <c r="I343" s="120">
        <f t="shared" si="215"/>
        <v>0.43628417630378186</v>
      </c>
      <c r="J343" s="247">
        <f t="shared" si="216"/>
        <v>8260869.575150002</v>
      </c>
      <c r="K343" s="196">
        <f>SUM(K344:K347)+K350+K379+K375</f>
        <v>14654315.575150002</v>
      </c>
      <c r="L343" s="249">
        <f>K343/K321</f>
        <v>0.6555793357539516</v>
      </c>
      <c r="M343" s="120">
        <f t="shared" si="210"/>
        <v>-0.10147335558076931</v>
      </c>
      <c r="N343" s="19">
        <f t="shared" si="211"/>
        <v>-1487022.5751500018</v>
      </c>
      <c r="O343" s="196">
        <f>SUM(O344:O347)+O350+O379+O375</f>
        <v>13167293</v>
      </c>
      <c r="Q343" s="121">
        <f t="shared" si="219"/>
        <v>0.46566832672647696</v>
      </c>
      <c r="T343" s="196">
        <f aca="true" t="shared" si="221" ref="T343:AA343">SUM(T344:T347)+T350+T379+T375</f>
        <v>14168302</v>
      </c>
      <c r="U343" s="196">
        <f t="shared" si="221"/>
        <v>15246408</v>
      </c>
      <c r="V343" s="196">
        <f t="shared" si="221"/>
        <v>16407661</v>
      </c>
      <c r="W343" s="196">
        <f t="shared" si="221"/>
        <v>17658618</v>
      </c>
      <c r="X343" s="196">
        <f t="shared" si="221"/>
        <v>18869704</v>
      </c>
      <c r="Y343" s="196">
        <f t="shared" si="221"/>
        <v>20311637</v>
      </c>
      <c r="Z343" s="196">
        <f t="shared" si="221"/>
        <v>21865537</v>
      </c>
      <c r="AA343" s="196">
        <f t="shared" si="221"/>
        <v>23540316</v>
      </c>
    </row>
    <row r="344" spans="2:27" ht="12.75">
      <c r="B344" s="198" t="s">
        <v>1167</v>
      </c>
      <c r="C344" s="257">
        <v>9724</v>
      </c>
      <c r="D344" s="250">
        <f>C344/C343</f>
        <v>0.0014318780765536444</v>
      </c>
      <c r="E344" s="120">
        <f t="shared" si="213"/>
        <v>0.19447222111115556</v>
      </c>
      <c r="F344" s="100">
        <f t="shared" si="214"/>
        <v>40278</v>
      </c>
      <c r="G344" s="257">
        <v>50002</v>
      </c>
      <c r="H344" s="250">
        <f>G344/G343</f>
        <v>0.007820821510027613</v>
      </c>
      <c r="I344" s="120">
        <f t="shared" si="215"/>
        <v>0.5852389858868786</v>
      </c>
      <c r="J344" s="247">
        <f t="shared" si="216"/>
        <v>35436.60064999999</v>
      </c>
      <c r="K344" s="240">
        <v>85438.60065</v>
      </c>
      <c r="L344" s="250">
        <f>K344/K343</f>
        <v>0.005830268920568502</v>
      </c>
      <c r="M344" s="120">
        <f t="shared" si="210"/>
        <v>-0.18193884885449596</v>
      </c>
      <c r="N344" s="19">
        <f t="shared" si="211"/>
        <v>-15544.600649999993</v>
      </c>
      <c r="O344" s="240">
        <v>69894</v>
      </c>
      <c r="Q344" s="121">
        <f t="shared" si="219"/>
        <v>0.19925745271451276</v>
      </c>
      <c r="T344" s="220">
        <v>75486</v>
      </c>
      <c r="U344" s="220">
        <v>81524</v>
      </c>
      <c r="V344" s="220">
        <v>88046</v>
      </c>
      <c r="W344" s="220">
        <v>95090</v>
      </c>
      <c r="X344" s="220">
        <v>102697</v>
      </c>
      <c r="Y344" s="220">
        <v>110913</v>
      </c>
      <c r="Z344" s="220">
        <v>119786</v>
      </c>
      <c r="AA344" s="220">
        <v>129369</v>
      </c>
    </row>
    <row r="345" spans="2:27" ht="12.75">
      <c r="B345" s="198" t="s">
        <v>1168</v>
      </c>
      <c r="C345" s="257">
        <v>10432</v>
      </c>
      <c r="D345" s="250">
        <f>C345/C343</f>
        <v>0.0015361324655088048</v>
      </c>
      <c r="E345" s="120">
        <f t="shared" si="213"/>
        <v>0.7392290249433107</v>
      </c>
      <c r="F345" s="100">
        <f t="shared" si="214"/>
        <v>3680</v>
      </c>
      <c r="G345" s="257">
        <v>14112</v>
      </c>
      <c r="H345" s="250">
        <f>G345/G343</f>
        <v>0.0022072603725752904</v>
      </c>
      <c r="I345" s="120">
        <f t="shared" si="215"/>
        <v>0.4053542493674885</v>
      </c>
      <c r="J345" s="247">
        <f t="shared" si="216"/>
        <v>20701.993000000002</v>
      </c>
      <c r="K345" s="240">
        <v>34813.993</v>
      </c>
      <c r="L345" s="250">
        <f>K345/K343</f>
        <v>0.0023756819498984786</v>
      </c>
      <c r="M345" s="120">
        <f t="shared" si="210"/>
        <v>-0.0063765452012356505</v>
      </c>
      <c r="N345" s="19">
        <f t="shared" si="211"/>
        <v>-221.9930000000022</v>
      </c>
      <c r="O345" s="240">
        <v>34592</v>
      </c>
      <c r="Q345" s="121">
        <f t="shared" si="219"/>
        <v>0.37940224303652115</v>
      </c>
      <c r="T345" s="220">
        <v>39781</v>
      </c>
      <c r="U345" s="220">
        <v>45748</v>
      </c>
      <c r="V345" s="220">
        <v>52610</v>
      </c>
      <c r="W345" s="220">
        <v>60502</v>
      </c>
      <c r="X345" s="220">
        <v>69577</v>
      </c>
      <c r="Y345" s="220">
        <v>80013</v>
      </c>
      <c r="Z345" s="220">
        <v>92015</v>
      </c>
      <c r="AA345" s="220">
        <v>105818</v>
      </c>
    </row>
    <row r="346" spans="2:27" ht="12.75">
      <c r="B346" s="198" t="s">
        <v>1169</v>
      </c>
      <c r="C346" s="220">
        <v>0</v>
      </c>
      <c r="D346" s="250">
        <f>C346/C343</f>
        <v>0</v>
      </c>
      <c r="E346" s="120" t="e">
        <f t="shared" si="213"/>
        <v>#DIV/0!</v>
      </c>
      <c r="F346" s="100">
        <f t="shared" si="214"/>
        <v>0</v>
      </c>
      <c r="G346" s="220">
        <v>0</v>
      </c>
      <c r="H346" s="250">
        <f>G346/G343</f>
        <v>0</v>
      </c>
      <c r="I346" s="120" t="e">
        <f t="shared" si="215"/>
        <v>#DIV/0!</v>
      </c>
      <c r="J346" s="247">
        <f t="shared" si="216"/>
        <v>0</v>
      </c>
      <c r="K346" s="220">
        <v>0</v>
      </c>
      <c r="L346" s="250">
        <f>K346/K343</f>
        <v>0</v>
      </c>
      <c r="M346" s="120" t="e">
        <f t="shared" si="210"/>
        <v>#DIV/0!</v>
      </c>
      <c r="N346" s="19">
        <f t="shared" si="211"/>
        <v>0</v>
      </c>
      <c r="O346" s="220">
        <v>0</v>
      </c>
      <c r="Q346" s="121" t="e">
        <f t="shared" si="219"/>
        <v>#DIV/0!</v>
      </c>
      <c r="T346" s="220">
        <v>0</v>
      </c>
      <c r="U346" s="220">
        <v>0</v>
      </c>
      <c r="V346" s="220">
        <v>0</v>
      </c>
      <c r="W346" s="220">
        <v>0</v>
      </c>
      <c r="X346" s="220">
        <v>0</v>
      </c>
      <c r="Y346" s="220">
        <v>0</v>
      </c>
      <c r="Z346" s="220">
        <v>0</v>
      </c>
      <c r="AA346" s="220">
        <v>0</v>
      </c>
    </row>
    <row r="347" spans="2:27" ht="12.75">
      <c r="B347" s="198" t="s">
        <v>1170</v>
      </c>
      <c r="C347" s="196">
        <f>SUM(C348:C349)</f>
        <v>250228</v>
      </c>
      <c r="D347" s="250">
        <f>C347/C343</f>
        <v>0.036846563897559165</v>
      </c>
      <c r="E347" s="120">
        <f t="shared" si="213"/>
        <v>1.2221267118604333</v>
      </c>
      <c r="F347" s="100">
        <f t="shared" si="214"/>
        <v>-45480</v>
      </c>
      <c r="G347" s="196">
        <f>SUM(G348:G349)</f>
        <v>204748</v>
      </c>
      <c r="H347" s="250">
        <f>G347/G343</f>
        <v>0.032024670263892115</v>
      </c>
      <c r="I347" s="120">
        <f t="shared" si="215"/>
        <v>0.6117393939389774</v>
      </c>
      <c r="J347" s="247">
        <f t="shared" si="216"/>
        <v>129950.07900000003</v>
      </c>
      <c r="K347" s="196">
        <f>SUM(K348:K349)</f>
        <v>334698.079</v>
      </c>
      <c r="L347" s="250">
        <f>K347/K343</f>
        <v>0.022839557213273267</v>
      </c>
      <c r="M347" s="120">
        <f t="shared" si="210"/>
        <v>-0.06621513653802602</v>
      </c>
      <c r="N347" s="19">
        <f t="shared" si="211"/>
        <v>-22162.079000000027</v>
      </c>
      <c r="O347" s="196">
        <f>SUM(O348:O349)</f>
        <v>312536</v>
      </c>
      <c r="Q347" s="121">
        <f t="shared" si="219"/>
        <v>0.5892169897537949</v>
      </c>
      <c r="T347" s="196">
        <f aca="true" t="shared" si="222" ref="T347:AA347">SUM(T348:T349)</f>
        <v>351188</v>
      </c>
      <c r="U347" s="196">
        <f t="shared" si="222"/>
        <v>394621</v>
      </c>
      <c r="V347" s="196">
        <f t="shared" si="222"/>
        <v>443423</v>
      </c>
      <c r="W347" s="196">
        <f t="shared" si="222"/>
        <v>498264</v>
      </c>
      <c r="X347" s="196">
        <f t="shared" si="222"/>
        <v>559888</v>
      </c>
      <c r="Y347" s="196">
        <f t="shared" si="222"/>
        <v>629133</v>
      </c>
      <c r="Z347" s="196">
        <f t="shared" si="222"/>
        <v>706945</v>
      </c>
      <c r="AA347" s="196">
        <f t="shared" si="222"/>
        <v>794381</v>
      </c>
    </row>
    <row r="348" spans="2:27" ht="12.75">
      <c r="B348" s="198" t="s">
        <v>1171</v>
      </c>
      <c r="C348" s="220"/>
      <c r="D348" s="146">
        <f>C348/C347</f>
        <v>0</v>
      </c>
      <c r="E348" s="120" t="e">
        <f t="shared" si="213"/>
        <v>#DIV/0!</v>
      </c>
      <c r="F348" s="100">
        <f t="shared" si="214"/>
        <v>0</v>
      </c>
      <c r="G348" s="220"/>
      <c r="H348" s="146">
        <f>G348/G347</f>
        <v>0</v>
      </c>
      <c r="I348" s="120" t="e">
        <f t="shared" si="215"/>
        <v>#DIV/0!</v>
      </c>
      <c r="J348" s="247">
        <f t="shared" si="216"/>
        <v>0</v>
      </c>
      <c r="K348" s="220"/>
      <c r="L348" s="146">
        <f>K348/K347</f>
        <v>0</v>
      </c>
      <c r="M348" s="120" t="e">
        <f t="shared" si="210"/>
        <v>#DIV/0!</v>
      </c>
      <c r="N348" s="19">
        <f t="shared" si="211"/>
        <v>0</v>
      </c>
      <c r="O348" s="220"/>
      <c r="Q348" s="121" t="e">
        <f t="shared" si="219"/>
        <v>#DIV/0!</v>
      </c>
      <c r="T348" s="220"/>
      <c r="U348" s="220">
        <v>0</v>
      </c>
      <c r="V348" s="220">
        <v>0</v>
      </c>
      <c r="W348" s="220">
        <v>0</v>
      </c>
      <c r="X348" s="220">
        <v>0</v>
      </c>
      <c r="Y348" s="220">
        <v>0</v>
      </c>
      <c r="Z348" s="220">
        <v>0</v>
      </c>
      <c r="AA348" s="220">
        <v>0</v>
      </c>
    </row>
    <row r="349" spans="2:27" ht="12.75">
      <c r="B349" s="198" t="s">
        <v>1172</v>
      </c>
      <c r="C349" s="257">
        <f>24016+25059+10945+13869+176339</f>
        <v>250228</v>
      </c>
      <c r="D349" s="146">
        <f>C349/C347</f>
        <v>1</v>
      </c>
      <c r="E349" s="120">
        <f t="shared" si="213"/>
        <v>1.2221267118604333</v>
      </c>
      <c r="F349" s="100">
        <f t="shared" si="214"/>
        <v>-45480</v>
      </c>
      <c r="G349" s="257">
        <f>12002+10030+11365+107214+2060+7214+14611+5615+31878+2759</f>
        <v>204748</v>
      </c>
      <c r="H349" s="146">
        <f>G349/G347</f>
        <v>1</v>
      </c>
      <c r="I349" s="120">
        <f t="shared" si="215"/>
        <v>0.6117393939389774</v>
      </c>
      <c r="J349" s="247">
        <f t="shared" si="216"/>
        <v>129950.07900000003</v>
      </c>
      <c r="K349" s="240">
        <f>22830.079+27378+12487+167681+4902+5801+15093+2183+63450+12893</f>
        <v>334698.079</v>
      </c>
      <c r="L349" s="146">
        <f>K349/K347</f>
        <v>1</v>
      </c>
      <c r="M349" s="120">
        <f t="shared" si="210"/>
        <v>-0.06621513653802602</v>
      </c>
      <c r="N349" s="19">
        <f t="shared" si="211"/>
        <v>-22162.079000000027</v>
      </c>
      <c r="O349" s="220">
        <f>25249+10618+161904+4522+5227+13884+2322+50409+38401</f>
        <v>312536</v>
      </c>
      <c r="Q349" s="121">
        <f t="shared" si="219"/>
        <v>0.5892169897537949</v>
      </c>
      <c r="T349" s="220">
        <f>28380+11935+181980+5083+5875+15606+2610+56710+43009</f>
        <v>351188</v>
      </c>
      <c r="U349" s="220">
        <f>31899+13415+204546+5713+6604+17541+2934+63799+48170</f>
        <v>394621</v>
      </c>
      <c r="V349" s="220">
        <f>35854+15078+229909+6421+7423+19716+3297+71774+53951</f>
        <v>443423</v>
      </c>
      <c r="W349" s="220">
        <f>40300+16948+258418+7218+8343+22161+3706+80745+60425</f>
        <v>498264</v>
      </c>
      <c r="X349" s="220">
        <f>45298+19049+290462+8113+9377+24908+4166+90839+67676</f>
        <v>559888</v>
      </c>
      <c r="Y349" s="220">
        <f>50915+21411+326479+9119+10540+27997+4682+102193+75797</f>
        <v>629133</v>
      </c>
      <c r="Z349" s="220">
        <f>57228+24066+366963+10249+11847+31469+5263+114968+84892</f>
        <v>706945</v>
      </c>
      <c r="AA349" s="220">
        <f>64324+27050+412466+11520+13316+35371+5916+129339+95079</f>
        <v>794381</v>
      </c>
    </row>
    <row r="350" spans="2:27" ht="12.75">
      <c r="B350" s="252" t="s">
        <v>1173</v>
      </c>
      <c r="C350" s="196">
        <f>+C354+C351+C367+C371</f>
        <v>6296301</v>
      </c>
      <c r="D350" s="250">
        <f>C350/C343</f>
        <v>0.9271426743400646</v>
      </c>
      <c r="E350" s="120">
        <f t="shared" si="213"/>
        <v>1.1131200096739224</v>
      </c>
      <c r="F350" s="100">
        <f t="shared" si="214"/>
        <v>-639857</v>
      </c>
      <c r="G350" s="196">
        <f>+G354+G351+G367+G371</f>
        <v>5656444</v>
      </c>
      <c r="H350" s="250">
        <f>G350/G343</f>
        <v>0.8847253890937689</v>
      </c>
      <c r="I350" s="120">
        <f t="shared" si="215"/>
        <v>0.4113527464412314</v>
      </c>
      <c r="J350" s="247">
        <f t="shared" si="216"/>
        <v>8094391.624500001</v>
      </c>
      <c r="K350" s="196">
        <f>+K354+K351+K367+K371</f>
        <v>13750835.6245</v>
      </c>
      <c r="L350" s="250">
        <f>K350/K343</f>
        <v>0.9383471752046835</v>
      </c>
      <c r="M350" s="120">
        <f t="shared" si="210"/>
        <v>-0.09551227724371525</v>
      </c>
      <c r="N350" s="19">
        <f t="shared" si="211"/>
        <v>-1313373.6245000008</v>
      </c>
      <c r="O350" s="196">
        <f>+O354+O351+O367+O371</f>
        <v>12437462</v>
      </c>
      <c r="Q350" s="121">
        <f t="shared" si="219"/>
        <v>0.47632015962381286</v>
      </c>
      <c r="T350" s="196">
        <f aca="true" t="shared" si="223" ref="T350:AA350">+T354+T351+T367+T371</f>
        <v>13370269</v>
      </c>
      <c r="U350" s="196">
        <f t="shared" si="223"/>
        <v>14373043</v>
      </c>
      <c r="V350" s="196">
        <f t="shared" si="223"/>
        <v>15451023</v>
      </c>
      <c r="W350" s="196">
        <f t="shared" si="223"/>
        <v>16609848</v>
      </c>
      <c r="X350" s="196">
        <f t="shared" si="223"/>
        <v>17718933</v>
      </c>
      <c r="Y350" s="196">
        <f t="shared" si="223"/>
        <v>19047852</v>
      </c>
      <c r="Z350" s="196">
        <f t="shared" si="223"/>
        <v>20476442</v>
      </c>
      <c r="AA350" s="196">
        <f t="shared" si="223"/>
        <v>22012179</v>
      </c>
    </row>
    <row r="351" spans="2:27" ht="12.75">
      <c r="B351" s="194" t="s">
        <v>1174</v>
      </c>
      <c r="C351" s="196">
        <f>+C352+C353</f>
        <v>376464</v>
      </c>
      <c r="D351" s="249">
        <f>C351/C350</f>
        <v>0.05979129650885496</v>
      </c>
      <c r="E351" s="120">
        <f t="shared" si="213"/>
        <v>0.41614831993756624</v>
      </c>
      <c r="F351" s="100">
        <f t="shared" si="214"/>
        <v>528175</v>
      </c>
      <c r="G351" s="196">
        <f>+G352+G353</f>
        <v>904639</v>
      </c>
      <c r="H351" s="249">
        <f>G351/G350</f>
        <v>0.15993069143794228</v>
      </c>
      <c r="I351" s="120">
        <f t="shared" si="215"/>
        <v>1.3470137614141764</v>
      </c>
      <c r="J351" s="247">
        <f t="shared" si="216"/>
        <v>-233050.46400000004</v>
      </c>
      <c r="K351" s="196">
        <f>+K352+K353</f>
        <v>671588.536</v>
      </c>
      <c r="L351" s="249">
        <f>K351/K350</f>
        <v>0.0488398344900163</v>
      </c>
      <c r="M351" s="120">
        <f t="shared" si="210"/>
        <v>6.908992264964553E-07</v>
      </c>
      <c r="N351" s="19">
        <f t="shared" si="211"/>
        <v>0.4640000000363216</v>
      </c>
      <c r="O351" s="196">
        <f>+O352+O353</f>
        <v>671589</v>
      </c>
      <c r="Q351" s="121">
        <f t="shared" si="219"/>
        <v>0.5877209240836564</v>
      </c>
      <c r="T351" s="196">
        <f aca="true" t="shared" si="224" ref="T351:AA351">+T352+T353</f>
        <v>721958</v>
      </c>
      <c r="U351" s="196">
        <f t="shared" si="224"/>
        <v>776105</v>
      </c>
      <c r="V351" s="196">
        <f t="shared" si="224"/>
        <v>834313</v>
      </c>
      <c r="W351" s="196">
        <f t="shared" si="224"/>
        <v>896886</v>
      </c>
      <c r="X351" s="196">
        <f t="shared" si="224"/>
        <v>925890</v>
      </c>
      <c r="Y351" s="196">
        <f t="shared" si="224"/>
        <v>995332</v>
      </c>
      <c r="Z351" s="196">
        <f t="shared" si="224"/>
        <v>1069982</v>
      </c>
      <c r="AA351" s="196">
        <f t="shared" si="224"/>
        <v>1150231</v>
      </c>
    </row>
    <row r="352" spans="2:27" ht="12.75">
      <c r="B352" s="194" t="s">
        <v>1175</v>
      </c>
      <c r="C352" s="257">
        <f>376464</f>
        <v>376464</v>
      </c>
      <c r="D352" s="146">
        <f>C352/C351</f>
        <v>1</v>
      </c>
      <c r="E352" s="120">
        <f t="shared" si="213"/>
        <v>0.41614831993756624</v>
      </c>
      <c r="F352" s="100">
        <f t="shared" si="214"/>
        <v>528175</v>
      </c>
      <c r="G352" s="257">
        <f>870415+34224</f>
        <v>904639</v>
      </c>
      <c r="H352" s="146">
        <f>G352/G351</f>
        <v>1</v>
      </c>
      <c r="I352" s="120">
        <f t="shared" si="215"/>
        <v>1.3470137614141764</v>
      </c>
      <c r="J352" s="247">
        <f t="shared" si="216"/>
        <v>-233050.46400000004</v>
      </c>
      <c r="K352" s="240">
        <f>583755.536+87833</f>
        <v>671588.536</v>
      </c>
      <c r="L352" s="146">
        <f>K352/K351</f>
        <v>1</v>
      </c>
      <c r="M352" s="120">
        <f t="shared" si="210"/>
        <v>6.908992264964553E-07</v>
      </c>
      <c r="N352" s="19">
        <f t="shared" si="211"/>
        <v>0.4640000000363216</v>
      </c>
      <c r="O352" s="220">
        <f>583756+87833</f>
        <v>671589</v>
      </c>
      <c r="Q352" s="121">
        <f t="shared" si="219"/>
        <v>0.5877209240836564</v>
      </c>
      <c r="T352" s="220">
        <f>94420+627538</f>
        <v>721958</v>
      </c>
      <c r="U352" s="220">
        <f>674603+101502</f>
        <v>776105</v>
      </c>
      <c r="V352" s="220">
        <f>725198+109115</f>
        <v>834313</v>
      </c>
      <c r="W352" s="220">
        <f>779588+117298</f>
        <v>896886</v>
      </c>
      <c r="X352" s="220">
        <f>838057+87833</f>
        <v>925890</v>
      </c>
      <c r="Y352" s="220">
        <f>900912+94420</f>
        <v>995332</v>
      </c>
      <c r="Z352" s="220">
        <f>968480+101502</f>
        <v>1069982</v>
      </c>
      <c r="AA352" s="220">
        <f>1041116+109115</f>
        <v>1150231</v>
      </c>
    </row>
    <row r="353" spans="2:27" ht="12.75">
      <c r="B353" s="194" t="s">
        <v>1176</v>
      </c>
      <c r="C353" s="220">
        <v>0</v>
      </c>
      <c r="D353" s="146">
        <f>C353/C350</f>
        <v>0</v>
      </c>
      <c r="E353" s="120" t="e">
        <f t="shared" si="213"/>
        <v>#DIV/0!</v>
      </c>
      <c r="F353" s="100">
        <f t="shared" si="214"/>
        <v>0</v>
      </c>
      <c r="G353" s="220">
        <v>0</v>
      </c>
      <c r="H353" s="146">
        <f>G353/G350</f>
        <v>0</v>
      </c>
      <c r="I353" s="120" t="e">
        <f t="shared" si="215"/>
        <v>#DIV/0!</v>
      </c>
      <c r="J353" s="247">
        <f t="shared" si="216"/>
        <v>0</v>
      </c>
      <c r="K353" s="220">
        <v>0</v>
      </c>
      <c r="L353" s="146">
        <f>K353/K350</f>
        <v>0</v>
      </c>
      <c r="M353" s="120" t="e">
        <f t="shared" si="210"/>
        <v>#DIV/0!</v>
      </c>
      <c r="N353" s="19">
        <f t="shared" si="211"/>
        <v>0</v>
      </c>
      <c r="O353" s="220">
        <v>0</v>
      </c>
      <c r="Q353" s="121" t="e">
        <f t="shared" si="219"/>
        <v>#DIV/0!</v>
      </c>
      <c r="T353" s="220">
        <v>0</v>
      </c>
      <c r="U353" s="220">
        <v>0</v>
      </c>
      <c r="V353" s="220">
        <v>0</v>
      </c>
      <c r="W353" s="220">
        <v>0</v>
      </c>
      <c r="X353" s="220">
        <v>0</v>
      </c>
      <c r="Y353" s="220">
        <v>0</v>
      </c>
      <c r="Z353" s="220">
        <v>0</v>
      </c>
      <c r="AA353" s="220">
        <v>0</v>
      </c>
    </row>
    <row r="354" spans="2:27" ht="12.75">
      <c r="B354" s="253" t="s">
        <v>1177</v>
      </c>
      <c r="C354" s="196">
        <f>+C355+C358+C364+C365+C366</f>
        <v>4604959</v>
      </c>
      <c r="D354" s="249">
        <f>C354/C350</f>
        <v>0.7313752947961033</v>
      </c>
      <c r="E354" s="120">
        <f t="shared" si="213"/>
        <v>1.1296468331951823</v>
      </c>
      <c r="F354" s="100">
        <f t="shared" si="214"/>
        <v>-528500</v>
      </c>
      <c r="G354" s="196">
        <f>+G355+G358+G364+G365+G366</f>
        <v>4076459</v>
      </c>
      <c r="H354" s="249">
        <f>G354/G350</f>
        <v>0.720675215736247</v>
      </c>
      <c r="I354" s="120">
        <f t="shared" si="215"/>
        <v>1.0855687773821665</v>
      </c>
      <c r="J354" s="247">
        <f t="shared" si="216"/>
        <v>-321322.44399999967</v>
      </c>
      <c r="K354" s="196">
        <f>+K355+K358+K364+K365+K366</f>
        <v>3755136.5560000003</v>
      </c>
      <c r="L354" s="249">
        <f>K354/K350</f>
        <v>0.2730842443719883</v>
      </c>
      <c r="M354" s="120">
        <f t="shared" si="210"/>
        <v>-0.04266437547897273</v>
      </c>
      <c r="N354" s="19">
        <f t="shared" si="211"/>
        <v>-160210.55600000033</v>
      </c>
      <c r="O354" s="196">
        <f>+O355+O358+O364+O365+O366</f>
        <v>3594926</v>
      </c>
      <c r="Q354" s="121">
        <f t="shared" si="219"/>
        <v>0.724183745032792</v>
      </c>
      <c r="T354" s="196">
        <f aca="true" t="shared" si="225" ref="T354:AA354">+T355+T358+T364+T365+T366</f>
        <v>3864543</v>
      </c>
      <c r="U354" s="196">
        <f t="shared" si="225"/>
        <v>4154387</v>
      </c>
      <c r="V354" s="196">
        <f t="shared" si="225"/>
        <v>4465967</v>
      </c>
      <c r="W354" s="196">
        <f t="shared" si="225"/>
        <v>4800914</v>
      </c>
      <c r="X354" s="196">
        <f t="shared" si="225"/>
        <v>5062592</v>
      </c>
      <c r="Y354" s="196">
        <f t="shared" si="225"/>
        <v>5442286</v>
      </c>
      <c r="Z354" s="196">
        <f t="shared" si="225"/>
        <v>5850456</v>
      </c>
      <c r="AA354" s="196">
        <f t="shared" si="225"/>
        <v>6289244</v>
      </c>
    </row>
    <row r="355" spans="2:27" ht="12.75">
      <c r="B355" s="194" t="s">
        <v>1178</v>
      </c>
      <c r="C355" s="196">
        <f>SUM(C356:C357)</f>
        <v>1172429</v>
      </c>
      <c r="D355" s="254">
        <f>C355/C354</f>
        <v>0.2546013981883444</v>
      </c>
      <c r="E355" s="120">
        <f t="shared" si="213"/>
        <v>16.983110016658216</v>
      </c>
      <c r="F355" s="100">
        <f t="shared" si="214"/>
        <v>-1103394</v>
      </c>
      <c r="G355" s="196">
        <f>SUM(G356:G357)</f>
        <v>69035</v>
      </c>
      <c r="H355" s="254">
        <f>G355/G354</f>
        <v>0.01693504092645112</v>
      </c>
      <c r="I355" s="120">
        <f t="shared" si="215"/>
        <v>0.17037198399788142</v>
      </c>
      <c r="J355" s="247">
        <f t="shared" si="216"/>
        <v>336166.597</v>
      </c>
      <c r="K355" s="196">
        <f>SUM(K356:K357)</f>
        <v>405201.597</v>
      </c>
      <c r="L355" s="254">
        <f>K355/K354</f>
        <v>0.10790595520489507</v>
      </c>
      <c r="M355" s="120">
        <f t="shared" si="210"/>
        <v>-0.3087218755458163</v>
      </c>
      <c r="N355" s="19">
        <f t="shared" si="211"/>
        <v>-125094.59700000001</v>
      </c>
      <c r="O355" s="196">
        <f>SUM(O356:O357)</f>
        <v>280107</v>
      </c>
      <c r="Q355" s="121">
        <f t="shared" si="219"/>
        <v>5.614920041703427</v>
      </c>
      <c r="T355" s="196">
        <f aca="true" t="shared" si="226" ref="T355:AA355">SUM(T356:T357)</f>
        <v>301115</v>
      </c>
      <c r="U355" s="196">
        <f t="shared" si="226"/>
        <v>323699</v>
      </c>
      <c r="V355" s="196">
        <f t="shared" si="226"/>
        <v>347977</v>
      </c>
      <c r="W355" s="196">
        <f t="shared" si="226"/>
        <v>374074</v>
      </c>
      <c r="X355" s="196">
        <f t="shared" si="226"/>
        <v>402130</v>
      </c>
      <c r="Y355" s="196">
        <f t="shared" si="226"/>
        <v>432290</v>
      </c>
      <c r="Z355" s="196">
        <f t="shared" si="226"/>
        <v>464711</v>
      </c>
      <c r="AA355" s="196">
        <f t="shared" si="226"/>
        <v>499565</v>
      </c>
    </row>
    <row r="356" spans="2:27" ht="12.75">
      <c r="B356" s="198" t="s">
        <v>1179</v>
      </c>
      <c r="C356" s="258">
        <v>288152</v>
      </c>
      <c r="D356" s="146">
        <f>C356/C355</f>
        <v>0.2457735180552511</v>
      </c>
      <c r="E356" s="120" t="e">
        <f t="shared" si="213"/>
        <v>#DIV/0!</v>
      </c>
      <c r="F356" s="100">
        <f t="shared" si="214"/>
        <v>-288152</v>
      </c>
      <c r="G356" s="258"/>
      <c r="H356" s="146">
        <f>G356/G355</f>
        <v>0</v>
      </c>
      <c r="I356" s="120" t="e">
        <f t="shared" si="215"/>
        <v>#DIV/0!</v>
      </c>
      <c r="J356" s="247">
        <f t="shared" si="216"/>
        <v>0</v>
      </c>
      <c r="K356" s="220"/>
      <c r="L356" s="146">
        <f>K356/K355</f>
        <v>0</v>
      </c>
      <c r="M356" s="120" t="e">
        <f t="shared" si="210"/>
        <v>#DIV/0!</v>
      </c>
      <c r="N356" s="19">
        <f t="shared" si="211"/>
        <v>0</v>
      </c>
      <c r="O356" s="220">
        <v>0</v>
      </c>
      <c r="Q356" s="121" t="e">
        <f t="shared" si="219"/>
        <v>#DIV/0!</v>
      </c>
      <c r="T356" s="220">
        <v>0</v>
      </c>
      <c r="U356" s="220">
        <v>0</v>
      </c>
      <c r="V356" s="220">
        <v>0</v>
      </c>
      <c r="W356" s="220">
        <v>0</v>
      </c>
      <c r="X356" s="220">
        <v>0</v>
      </c>
      <c r="Y356" s="220">
        <v>0</v>
      </c>
      <c r="Z356" s="220">
        <v>0</v>
      </c>
      <c r="AA356" s="220">
        <v>0</v>
      </c>
    </row>
    <row r="357" spans="2:27" ht="12.75">
      <c r="B357" s="198" t="s">
        <v>1180</v>
      </c>
      <c r="C357" s="257">
        <v>884277</v>
      </c>
      <c r="D357" s="146">
        <f>C357/C355</f>
        <v>0.7542264819447488</v>
      </c>
      <c r="E357" s="120">
        <f t="shared" si="213"/>
        <v>12.809111320344753</v>
      </c>
      <c r="F357" s="100">
        <f t="shared" si="214"/>
        <v>-815242</v>
      </c>
      <c r="G357" s="257">
        <f>63838+5197</f>
        <v>69035</v>
      </c>
      <c r="H357" s="146">
        <f>G357/G355</f>
        <v>1</v>
      </c>
      <c r="I357" s="120">
        <f t="shared" si="215"/>
        <v>0.17037198399788142</v>
      </c>
      <c r="J357" s="247">
        <f t="shared" si="216"/>
        <v>336166.597</v>
      </c>
      <c r="K357" s="240">
        <f>379083.597+26118</f>
        <v>405201.597</v>
      </c>
      <c r="L357" s="146">
        <f>K357/K355</f>
        <v>1</v>
      </c>
      <c r="M357" s="120">
        <f t="shared" si="210"/>
        <v>-0.3087218755458163</v>
      </c>
      <c r="N357" s="19">
        <f t="shared" si="211"/>
        <v>-125094.59700000001</v>
      </c>
      <c r="O357" s="220">
        <f>253989+26118</f>
        <v>280107</v>
      </c>
      <c r="Q357" s="121">
        <f t="shared" si="219"/>
        <v>4.223587142932273</v>
      </c>
      <c r="T357" s="220">
        <f>273038+28077</f>
        <v>301115</v>
      </c>
      <c r="U357" s="220">
        <f>30183+293516</f>
        <v>323699</v>
      </c>
      <c r="V357" s="220">
        <f>315531+32446</f>
        <v>347977</v>
      </c>
      <c r="W357" s="220">
        <f>339194+34880</f>
        <v>374074</v>
      </c>
      <c r="X357" s="220">
        <f>364634+37496</f>
        <v>402130</v>
      </c>
      <c r="Y357" s="220">
        <f>391982+40308</f>
        <v>432290</v>
      </c>
      <c r="Z357" s="220">
        <f>421380+43331</f>
        <v>464711</v>
      </c>
      <c r="AA357" s="220">
        <f>452984+46581</f>
        <v>499565</v>
      </c>
    </row>
    <row r="358" spans="2:27" ht="12.75">
      <c r="B358" s="194" t="s">
        <v>1181</v>
      </c>
      <c r="C358" s="196">
        <f>SUM(C359:C363)</f>
        <v>1312833</v>
      </c>
      <c r="D358" s="254">
        <f>C358/C354</f>
        <v>0.28509113761924915</v>
      </c>
      <c r="E358" s="120">
        <f t="shared" si="213"/>
        <v>0.839095578944139</v>
      </c>
      <c r="F358" s="100">
        <f t="shared" si="214"/>
        <v>251748</v>
      </c>
      <c r="G358" s="196">
        <f>SUM(G359:G363)</f>
        <v>1564581</v>
      </c>
      <c r="H358" s="254">
        <f>G358/G354</f>
        <v>0.38380883997606746</v>
      </c>
      <c r="I358" s="120">
        <f t="shared" si="215"/>
        <v>0.8891397428229866</v>
      </c>
      <c r="J358" s="247">
        <f t="shared" si="216"/>
        <v>195076.03099999996</v>
      </c>
      <c r="K358" s="196">
        <f>SUM(K359:K363)</f>
        <v>1759657.031</v>
      </c>
      <c r="L358" s="254">
        <f>K358/K354</f>
        <v>0.4686000108806695</v>
      </c>
      <c r="M358" s="120">
        <f t="shared" si="210"/>
        <v>-0.056696293222153415</v>
      </c>
      <c r="N358" s="19">
        <f t="shared" si="211"/>
        <v>-99766.03099999996</v>
      </c>
      <c r="O358" s="196">
        <f>SUM(O359:O363)</f>
        <v>1659891</v>
      </c>
      <c r="Q358" s="121">
        <f t="shared" si="219"/>
        <v>0.5571796761816574</v>
      </c>
      <c r="T358" s="196">
        <f aca="true" t="shared" si="227" ref="T358:AA358">SUM(T359:T363)</f>
        <v>1784382</v>
      </c>
      <c r="U358" s="196">
        <f t="shared" si="227"/>
        <v>1918211</v>
      </c>
      <c r="V358" s="196">
        <f t="shared" si="227"/>
        <v>2062077</v>
      </c>
      <c r="W358" s="196">
        <f t="shared" si="227"/>
        <v>2216733</v>
      </c>
      <c r="X358" s="196">
        <f t="shared" si="227"/>
        <v>2382988</v>
      </c>
      <c r="Y358" s="196">
        <f t="shared" si="227"/>
        <v>2561712</v>
      </c>
      <c r="Z358" s="196">
        <f t="shared" si="227"/>
        <v>2753840</v>
      </c>
      <c r="AA358" s="196">
        <f t="shared" si="227"/>
        <v>2960380</v>
      </c>
    </row>
    <row r="359" spans="2:27" ht="12.75">
      <c r="B359" s="198" t="s">
        <v>1182</v>
      </c>
      <c r="C359" s="257">
        <f>838524+11716</f>
        <v>850240</v>
      </c>
      <c r="D359" s="146">
        <f>C359/C358</f>
        <v>0.6476375898533934</v>
      </c>
      <c r="E359" s="120">
        <f t="shared" si="213"/>
        <v>0.8204676889703335</v>
      </c>
      <c r="F359" s="100">
        <f t="shared" si="214"/>
        <v>186047</v>
      </c>
      <c r="G359" s="257">
        <f>958334+77953</f>
        <v>1036287</v>
      </c>
      <c r="H359" s="146">
        <f>G359/G358</f>
        <v>0.6623415470339983</v>
      </c>
      <c r="I359" s="120">
        <f t="shared" si="215"/>
        <v>0.8663175955113775</v>
      </c>
      <c r="J359" s="247">
        <f t="shared" si="216"/>
        <v>159910.56700000004</v>
      </c>
      <c r="K359" s="240">
        <f>1108872.567+87325</f>
        <v>1196197.567</v>
      </c>
      <c r="L359" s="146">
        <f>K359/K358</f>
        <v>0.6797901783850515</v>
      </c>
      <c r="M359" s="120">
        <f t="shared" si="210"/>
        <v>-0.027402302014546742</v>
      </c>
      <c r="N359" s="19">
        <f t="shared" si="211"/>
        <v>-32778.56700000004</v>
      </c>
      <c r="O359" s="220">
        <f>1058724+104695</f>
        <v>1163419</v>
      </c>
      <c r="Q359" s="121">
        <f t="shared" si="219"/>
        <v>0.5531276608223882</v>
      </c>
      <c r="T359" s="220">
        <f>1138128+112547</f>
        <v>1250675</v>
      </c>
      <c r="U359" s="220">
        <f>1223488+120988</f>
        <v>1344476</v>
      </c>
      <c r="V359" s="220">
        <f>1315250+130062</f>
        <v>1445312</v>
      </c>
      <c r="W359" s="220">
        <f>1413893+139817</f>
        <v>1553710</v>
      </c>
      <c r="X359" s="220">
        <f>1519935+150303</f>
        <v>1670238</v>
      </c>
      <c r="Y359" s="220">
        <f>1633930+161576</f>
        <v>1795506</v>
      </c>
      <c r="Z359" s="220">
        <f>1756475+173694</f>
        <v>1930169</v>
      </c>
      <c r="AA359" s="220">
        <f>1888211+186721</f>
        <v>2074932</v>
      </c>
    </row>
    <row r="360" spans="2:27" ht="12.75">
      <c r="B360" s="198" t="s">
        <v>1183</v>
      </c>
      <c r="C360" s="257">
        <f>35281+15019</f>
        <v>50300</v>
      </c>
      <c r="D360" s="146">
        <f>C360/C358</f>
        <v>0.0383140886921642</v>
      </c>
      <c r="E360" s="120">
        <f t="shared" si="213"/>
        <v>1.1443001114725755</v>
      </c>
      <c r="F360" s="100">
        <f t="shared" si="214"/>
        <v>-6343</v>
      </c>
      <c r="G360" s="257">
        <f>39930+4027</f>
        <v>43957</v>
      </c>
      <c r="H360" s="146">
        <f>G360/G358</f>
        <v>0.028095061872795337</v>
      </c>
      <c r="I360" s="120">
        <f t="shared" si="215"/>
        <v>12.82867702681248</v>
      </c>
      <c r="J360" s="247">
        <f t="shared" si="216"/>
        <v>-40530.536</v>
      </c>
      <c r="K360" s="240">
        <v>3426.464</v>
      </c>
      <c r="L360" s="146">
        <f>K360/K358</f>
        <v>0.0019472340005101823</v>
      </c>
      <c r="M360" s="120">
        <f t="shared" si="210"/>
        <v>8.861478188593255</v>
      </c>
      <c r="N360" s="19">
        <f t="shared" si="211"/>
        <v>30363.536</v>
      </c>
      <c r="O360" s="220">
        <v>33790</v>
      </c>
      <c r="Q360" s="121">
        <f t="shared" si="219"/>
        <v>7.611485108959438</v>
      </c>
      <c r="T360" s="220">
        <v>36324</v>
      </c>
      <c r="U360" s="220">
        <v>39049</v>
      </c>
      <c r="V360" s="220">
        <v>41977</v>
      </c>
      <c r="W360" s="220">
        <v>45126</v>
      </c>
      <c r="X360" s="220">
        <v>48510</v>
      </c>
      <c r="Y360" s="220">
        <v>52148</v>
      </c>
      <c r="Z360" s="220">
        <v>56059</v>
      </c>
      <c r="AA360" s="220">
        <v>60264</v>
      </c>
    </row>
    <row r="361" spans="2:27" ht="12.75">
      <c r="B361" s="198" t="s">
        <v>1184</v>
      </c>
      <c r="C361" s="257">
        <f>92053+25581+86554</f>
        <v>204188</v>
      </c>
      <c r="D361" s="146">
        <f>C361/C358</f>
        <v>0.1555323487450422</v>
      </c>
      <c r="E361" s="120">
        <f t="shared" si="213"/>
        <v>1.0515452237368614</v>
      </c>
      <c r="F361" s="100">
        <f t="shared" si="214"/>
        <v>-10009</v>
      </c>
      <c r="G361" s="257">
        <f>97170+61990+15949+19070</f>
        <v>194179</v>
      </c>
      <c r="H361" s="146">
        <f>G361/G358</f>
        <v>0.12410926631475136</v>
      </c>
      <c r="I361" s="120">
        <f t="shared" si="215"/>
        <v>0.8055181053758177</v>
      </c>
      <c r="J361" s="247">
        <f t="shared" si="216"/>
        <v>46882</v>
      </c>
      <c r="K361" s="240">
        <v>241061</v>
      </c>
      <c r="L361" s="146">
        <f>K361/K358</f>
        <v>0.13699317296110075</v>
      </c>
      <c r="M361" s="120">
        <f t="shared" si="210"/>
        <v>-0.5335330061685631</v>
      </c>
      <c r="N361" s="19">
        <f t="shared" si="211"/>
        <v>-128614</v>
      </c>
      <c r="O361" s="220">
        <f>99953+12494</f>
        <v>112447</v>
      </c>
      <c r="Q361" s="121">
        <f t="shared" si="219"/>
        <v>0.44117677431470526</v>
      </c>
      <c r="T361" s="220">
        <f>107449+13431</f>
        <v>120880</v>
      </c>
      <c r="U361" s="220">
        <f>115508+14438</f>
        <v>129946</v>
      </c>
      <c r="V361" s="220">
        <f>124171+15521</f>
        <v>139692</v>
      </c>
      <c r="W361" s="220">
        <f>133484+16685</f>
        <v>150169</v>
      </c>
      <c r="X361" s="220">
        <f>143495+17937</f>
        <v>161432</v>
      </c>
      <c r="Y361" s="220">
        <f>154258+19282</f>
        <v>173540</v>
      </c>
      <c r="Z361" s="220">
        <f>165827+20728</f>
        <v>186555</v>
      </c>
      <c r="AA361" s="220">
        <f>178264+22283</f>
        <v>200547</v>
      </c>
    </row>
    <row r="362" spans="2:27" ht="12.75">
      <c r="B362" s="198" t="s">
        <v>1185</v>
      </c>
      <c r="C362" s="257">
        <v>0</v>
      </c>
      <c r="D362" s="146">
        <f>C362/C358</f>
        <v>0</v>
      </c>
      <c r="E362" s="120" t="e">
        <f t="shared" si="213"/>
        <v>#DIV/0!</v>
      </c>
      <c r="F362" s="100">
        <f t="shared" si="214"/>
        <v>0</v>
      </c>
      <c r="G362" s="240">
        <v>0</v>
      </c>
      <c r="H362" s="146">
        <f>G362/G358</f>
        <v>0</v>
      </c>
      <c r="I362" s="120">
        <f t="shared" si="215"/>
        <v>0</v>
      </c>
      <c r="J362" s="247">
        <f t="shared" si="216"/>
        <v>93146</v>
      </c>
      <c r="K362" s="240">
        <v>93146</v>
      </c>
      <c r="L362" s="146">
        <f>K362/K358</f>
        <v>0.052934178853629124</v>
      </c>
      <c r="M362" s="120">
        <f t="shared" si="210"/>
        <v>0</v>
      </c>
      <c r="N362" s="19">
        <f t="shared" si="211"/>
        <v>0</v>
      </c>
      <c r="O362" s="220">
        <v>93146</v>
      </c>
      <c r="Q362" s="121" t="e">
        <f t="shared" si="219"/>
        <v>#DIV/0!</v>
      </c>
      <c r="T362" s="220">
        <v>100132</v>
      </c>
      <c r="U362" s="220">
        <v>107642</v>
      </c>
      <c r="V362" s="220">
        <v>115715</v>
      </c>
      <c r="W362" s="220">
        <v>124394</v>
      </c>
      <c r="X362" s="220">
        <v>133723</v>
      </c>
      <c r="Y362" s="220">
        <v>143752</v>
      </c>
      <c r="Z362" s="220">
        <v>154534</v>
      </c>
      <c r="AA362" s="220">
        <v>166124</v>
      </c>
    </row>
    <row r="363" spans="2:27" ht="12.75">
      <c r="B363" s="198" t="s">
        <v>1186</v>
      </c>
      <c r="C363" s="257">
        <f>176507+31598</f>
        <v>208105</v>
      </c>
      <c r="D363" s="146">
        <f>C363/C358</f>
        <v>0.1585159727094002</v>
      </c>
      <c r="E363" s="120">
        <f t="shared" si="213"/>
        <v>0.7172126910166186</v>
      </c>
      <c r="F363" s="100">
        <f t="shared" si="214"/>
        <v>82053</v>
      </c>
      <c r="G363" s="257">
        <f>288586+1572</f>
        <v>290158</v>
      </c>
      <c r="H363" s="146">
        <f>G363/G358</f>
        <v>0.18545412477845508</v>
      </c>
      <c r="I363" s="120">
        <f t="shared" si="215"/>
        <v>1.2848741951768174</v>
      </c>
      <c r="J363" s="247">
        <f t="shared" si="216"/>
        <v>-64332</v>
      </c>
      <c r="K363" s="240">
        <v>225826</v>
      </c>
      <c r="L363" s="146">
        <f>K363/K358</f>
        <v>0.1283352357997085</v>
      </c>
      <c r="M363" s="120">
        <f t="shared" si="210"/>
        <v>0.13843844375758318</v>
      </c>
      <c r="N363" s="19">
        <f t="shared" si="211"/>
        <v>31263</v>
      </c>
      <c r="O363" s="220">
        <f>219213+37876</f>
        <v>257089</v>
      </c>
      <c r="Q363" s="121">
        <f t="shared" si="219"/>
        <v>0.7135084433170066</v>
      </c>
      <c r="T363" s="220">
        <f>235654+40717</f>
        <v>276371</v>
      </c>
      <c r="U363" s="220">
        <f>253328+43770</f>
        <v>297098</v>
      </c>
      <c r="V363" s="220">
        <f>272328+47053</f>
        <v>319381</v>
      </c>
      <c r="W363" s="220">
        <f>292752+50582</f>
        <v>343334</v>
      </c>
      <c r="X363" s="220">
        <f>314709+54376</f>
        <v>369085</v>
      </c>
      <c r="Y363" s="220">
        <f>338312+58454</f>
        <v>396766</v>
      </c>
      <c r="Z363" s="220">
        <f>363685+62838</f>
        <v>426523</v>
      </c>
      <c r="AA363" s="220">
        <f>390962+67551</f>
        <v>458513</v>
      </c>
    </row>
    <row r="364" spans="2:27" ht="12.75">
      <c r="B364" s="194" t="s">
        <v>1187</v>
      </c>
      <c r="C364" s="257">
        <f>398571+70404+26401+474345+1108784</f>
        <v>2078505</v>
      </c>
      <c r="D364" s="254">
        <f>C364/C354</f>
        <v>0.45136232483285954</v>
      </c>
      <c r="E364" s="120">
        <f t="shared" si="213"/>
        <v>0.8935137121891141</v>
      </c>
      <c r="F364" s="100">
        <f t="shared" si="214"/>
        <v>247710</v>
      </c>
      <c r="G364" s="257">
        <f>917664+67148+1096723+156676+36082+2640+43122+6160</f>
        <v>2326215</v>
      </c>
      <c r="H364" s="254">
        <f>G364/G354</f>
        <v>0.5706459944770694</v>
      </c>
      <c r="I364" s="120">
        <f t="shared" si="215"/>
        <v>1.5336402663805073</v>
      </c>
      <c r="J364" s="247">
        <f t="shared" si="216"/>
        <v>-809421.8829999999</v>
      </c>
      <c r="K364" s="240">
        <f>615445.117+45033+630459+92601+15810+6776+110669</f>
        <v>1516793.117</v>
      </c>
      <c r="L364" s="254">
        <f>K364/K354</f>
        <v>0.40392488911660235</v>
      </c>
      <c r="M364" s="120">
        <f t="shared" si="210"/>
        <v>0.03628700735988377</v>
      </c>
      <c r="N364" s="19">
        <f t="shared" si="211"/>
        <v>55039.882999999914</v>
      </c>
      <c r="O364" s="220">
        <f>615445+60043+40033+630456+92601+15810+6776+110669</f>
        <v>1571833</v>
      </c>
      <c r="Q364" s="121">
        <f t="shared" si="219"/>
        <v>0.8211469953098351</v>
      </c>
      <c r="T364" s="220">
        <f>661603+64546+43035+677740+99546+16996+7284+118969</f>
        <v>1689719</v>
      </c>
      <c r="U364" s="220">
        <f>711224+69387+46263+728571+107012+18270+7831+127892</f>
        <v>1816450</v>
      </c>
      <c r="V364" s="220">
        <f>764565+74591+49733+783214+115038+19641+8418+137484</f>
        <v>1952684</v>
      </c>
      <c r="W364" s="220">
        <f>821908+80186+53463+841955+123666+21114+9049+147795</f>
        <v>2099136</v>
      </c>
      <c r="X364" s="220">
        <f>883551+86199+57473+905101+92601+15810+6776+110669</f>
        <v>2158180</v>
      </c>
      <c r="Y364" s="220">
        <f>949817+92664+61783+972984+99546+16996+7284+118969</f>
        <v>2320043</v>
      </c>
      <c r="Z364" s="220">
        <f>1021053+99614+66417+1045957+107012+18270+7831+127892</f>
        <v>2494046</v>
      </c>
      <c r="AA364" s="220">
        <f>1097633+107085+71398+1124404+115038+19641+8418+137484</f>
        <v>2681101</v>
      </c>
    </row>
    <row r="365" spans="2:27" ht="12.75">
      <c r="B365" s="241" t="s">
        <v>1188</v>
      </c>
      <c r="C365" s="257">
        <v>41192</v>
      </c>
      <c r="D365" s="254">
        <f>C365/C358</f>
        <v>0.03137642030631466</v>
      </c>
      <c r="E365" s="120">
        <f t="shared" si="213"/>
        <v>0.35319134341667524</v>
      </c>
      <c r="F365" s="100">
        <f t="shared" si="214"/>
        <v>75436</v>
      </c>
      <c r="G365" s="257">
        <f>95239+21389</f>
        <v>116628</v>
      </c>
      <c r="H365" s="254">
        <f>G365/G358</f>
        <v>0.07454264112883897</v>
      </c>
      <c r="I365" s="120">
        <f t="shared" si="215"/>
        <v>1.58710348999877</v>
      </c>
      <c r="J365" s="247">
        <f t="shared" si="216"/>
        <v>-43143.189</v>
      </c>
      <c r="K365" s="240">
        <f>63873.811+9611</f>
        <v>73484.811</v>
      </c>
      <c r="L365" s="254">
        <f>K365/K358</f>
        <v>0.04176087141153815</v>
      </c>
      <c r="M365" s="120">
        <f t="shared" si="210"/>
        <v>0.13077789640093096</v>
      </c>
      <c r="N365" s="19">
        <f t="shared" si="211"/>
        <v>9610.188999999998</v>
      </c>
      <c r="O365" s="220">
        <f>73484+9611</f>
        <v>83095</v>
      </c>
      <c r="Q365" s="121">
        <f t="shared" si="219"/>
        <v>0.6903575766054587</v>
      </c>
      <c r="T365" s="220">
        <f>78995+10332</f>
        <v>89327</v>
      </c>
      <c r="U365" s="220">
        <f>84920+11107</f>
        <v>96027</v>
      </c>
      <c r="V365" s="220">
        <f>91289+11940</f>
        <v>103229</v>
      </c>
      <c r="W365" s="220">
        <f>98136+12835</f>
        <v>110971</v>
      </c>
      <c r="X365" s="220">
        <f>105496+13798</f>
        <v>119294</v>
      </c>
      <c r="Y365" s="220">
        <f>14833+113408</f>
        <v>128241</v>
      </c>
      <c r="Z365" s="220">
        <f>15945+121914</f>
        <v>137859</v>
      </c>
      <c r="AA365" s="220">
        <f>131057+17141</f>
        <v>148198</v>
      </c>
    </row>
    <row r="366" spans="2:27" ht="12.75">
      <c r="B366" s="241" t="s">
        <v>1189</v>
      </c>
      <c r="C366" s="220">
        <v>0</v>
      </c>
      <c r="D366" s="254">
        <f>C366/C354</f>
        <v>0</v>
      </c>
      <c r="E366" s="120" t="e">
        <f t="shared" si="213"/>
        <v>#DIV/0!</v>
      </c>
      <c r="F366" s="100">
        <f t="shared" si="214"/>
        <v>0</v>
      </c>
      <c r="G366" s="220">
        <v>0</v>
      </c>
      <c r="H366" s="254">
        <f>G366/G354</f>
        <v>0</v>
      </c>
      <c r="I366" s="120" t="e">
        <f t="shared" si="215"/>
        <v>#DIV/0!</v>
      </c>
      <c r="J366" s="247">
        <f t="shared" si="216"/>
        <v>0</v>
      </c>
      <c r="K366" s="220">
        <v>0</v>
      </c>
      <c r="L366" s="254">
        <f>K366/K354</f>
        <v>0</v>
      </c>
      <c r="M366" s="120" t="e">
        <f t="shared" si="210"/>
        <v>#DIV/0!</v>
      </c>
      <c r="N366" s="19">
        <f t="shared" si="211"/>
        <v>0</v>
      </c>
      <c r="O366" s="220">
        <v>0</v>
      </c>
      <c r="Q366" s="121" t="e">
        <f t="shared" si="219"/>
        <v>#DIV/0!</v>
      </c>
      <c r="T366" s="220">
        <v>0</v>
      </c>
      <c r="U366" s="220">
        <v>0</v>
      </c>
      <c r="V366" s="220">
        <v>0</v>
      </c>
      <c r="W366" s="220">
        <v>0</v>
      </c>
      <c r="X366" s="220">
        <v>0</v>
      </c>
      <c r="Y366" s="220">
        <v>0</v>
      </c>
      <c r="Z366" s="220">
        <v>0</v>
      </c>
      <c r="AA366" s="220">
        <v>0</v>
      </c>
    </row>
    <row r="367" spans="2:27" ht="12.75">
      <c r="B367" s="194" t="s">
        <v>1190</v>
      </c>
      <c r="C367" s="196">
        <f>SUM(C368:C370)</f>
        <v>1234521</v>
      </c>
      <c r="D367" s="249">
        <f>C367/C350</f>
        <v>0.1960708358764932</v>
      </c>
      <c r="E367" s="120">
        <f t="shared" si="213"/>
        <v>1.8555408257128942</v>
      </c>
      <c r="F367" s="100">
        <f t="shared" si="214"/>
        <v>-569205</v>
      </c>
      <c r="G367" s="196">
        <f>SUM(G368:G370)</f>
        <v>665316</v>
      </c>
      <c r="H367" s="249">
        <f>G367/G350</f>
        <v>0.11762089397508399</v>
      </c>
      <c r="I367" s="120">
        <f t="shared" si="215"/>
        <v>0.07185819162845042</v>
      </c>
      <c r="J367" s="247">
        <f t="shared" si="216"/>
        <v>8593419.642</v>
      </c>
      <c r="K367" s="196">
        <f>SUM(K368:K370)</f>
        <v>9258735.642</v>
      </c>
      <c r="L367" s="249">
        <f>K367/K350</f>
        <v>0.6733216725755647</v>
      </c>
      <c r="M367" s="120">
        <f t="shared" si="210"/>
        <v>-0.1203018084831502</v>
      </c>
      <c r="N367" s="19">
        <f t="shared" si="211"/>
        <v>-1113842.642000001</v>
      </c>
      <c r="O367" s="196">
        <f>SUM(O368:O370)</f>
        <v>8144893</v>
      </c>
      <c r="Q367" s="121">
        <f t="shared" si="219"/>
        <v>0.6023657362860648</v>
      </c>
      <c r="T367" s="196">
        <f aca="true" t="shared" si="228" ref="T367:AA367">SUM(T368:T370)</f>
        <v>8755760</v>
      </c>
      <c r="U367" s="196">
        <f t="shared" si="228"/>
        <v>9412442</v>
      </c>
      <c r="V367" s="196">
        <f t="shared" si="228"/>
        <v>10118376</v>
      </c>
      <c r="W367" s="196">
        <f t="shared" si="228"/>
        <v>10877254</v>
      </c>
      <c r="X367" s="196">
        <f t="shared" si="228"/>
        <v>11693047</v>
      </c>
      <c r="Y367" s="196">
        <f t="shared" si="228"/>
        <v>12570025</v>
      </c>
      <c r="Z367" s="196">
        <f t="shared" si="228"/>
        <v>13512779</v>
      </c>
      <c r="AA367" s="196">
        <f t="shared" si="228"/>
        <v>14526237</v>
      </c>
    </row>
    <row r="368" spans="2:27" ht="12.75">
      <c r="B368" s="198" t="s">
        <v>1191</v>
      </c>
      <c r="C368" s="257">
        <v>32255</v>
      </c>
      <c r="D368" s="146">
        <f>C368/C367</f>
        <v>0.026127542585342816</v>
      </c>
      <c r="E368" s="120">
        <f t="shared" si="213"/>
        <v>0.16727949756509924</v>
      </c>
      <c r="F368" s="100">
        <f t="shared" si="214"/>
        <v>160566</v>
      </c>
      <c r="G368" s="257">
        <v>192821</v>
      </c>
      <c r="H368" s="146">
        <f>G368/G367</f>
        <v>0.2898186726307499</v>
      </c>
      <c r="I368" s="120">
        <f t="shared" si="215"/>
        <v>2.506803188316782</v>
      </c>
      <c r="J368" s="247">
        <f t="shared" si="216"/>
        <v>-115901.91799999999</v>
      </c>
      <c r="K368" s="240">
        <v>76919.08200000001</v>
      </c>
      <c r="L368" s="146">
        <f>K368/K367</f>
        <v>0.008307730663685365</v>
      </c>
      <c r="M368" s="120">
        <f t="shared" si="210"/>
        <v>-0.2785535323991517</v>
      </c>
      <c r="N368" s="19">
        <f t="shared" si="211"/>
        <v>-21426.08200000001</v>
      </c>
      <c r="O368" s="240">
        <v>55493</v>
      </c>
      <c r="Q368" s="121">
        <f t="shared" si="219"/>
        <v>0.7985097178275765</v>
      </c>
      <c r="T368" s="220">
        <v>59655</v>
      </c>
      <c r="U368" s="220">
        <v>64129</v>
      </c>
      <c r="V368" s="220">
        <v>68939</v>
      </c>
      <c r="W368" s="220">
        <v>74109</v>
      </c>
      <c r="X368" s="220">
        <v>79667</v>
      </c>
      <c r="Y368" s="220">
        <v>85642</v>
      </c>
      <c r="Z368" s="220">
        <v>92066</v>
      </c>
      <c r="AA368" s="220">
        <v>98971</v>
      </c>
    </row>
    <row r="369" spans="2:27" ht="12.75">
      <c r="B369" s="198" t="s">
        <v>1192</v>
      </c>
      <c r="C369" s="257">
        <v>448582</v>
      </c>
      <c r="D369" s="146">
        <f>C369/C367</f>
        <v>0.36336522424486906</v>
      </c>
      <c r="E369" s="120">
        <f t="shared" si="213"/>
        <v>0.9493899406342924</v>
      </c>
      <c r="F369" s="100">
        <f t="shared" si="214"/>
        <v>23913</v>
      </c>
      <c r="G369" s="257">
        <v>472495</v>
      </c>
      <c r="H369" s="146">
        <f>G369/G367</f>
        <v>0.7101813273692501</v>
      </c>
      <c r="I369" s="120">
        <f t="shared" si="215"/>
        <v>0.6291634457762397</v>
      </c>
      <c r="J369" s="247">
        <f t="shared" si="216"/>
        <v>278494.2749999999</v>
      </c>
      <c r="K369" s="240">
        <v>750989.2749999999</v>
      </c>
      <c r="L369" s="146">
        <f>K369/K367</f>
        <v>0.08111142860514559</v>
      </c>
      <c r="M369" s="120">
        <f t="shared" si="210"/>
        <v>-0.21516855217406394</v>
      </c>
      <c r="N369" s="19">
        <f t="shared" si="211"/>
        <v>-161589.2749999999</v>
      </c>
      <c r="O369" s="240">
        <v>589400</v>
      </c>
      <c r="Q369" s="121">
        <f t="shared" si="219"/>
        <v>0.4544616114121561</v>
      </c>
      <c r="T369" s="220">
        <v>633605</v>
      </c>
      <c r="U369" s="220">
        <v>681125</v>
      </c>
      <c r="V369" s="220">
        <v>732210</v>
      </c>
      <c r="W369" s="220">
        <v>787126</v>
      </c>
      <c r="X369" s="220">
        <v>846160</v>
      </c>
      <c r="Y369" s="220">
        <v>909622</v>
      </c>
      <c r="Z369" s="220">
        <v>977844</v>
      </c>
      <c r="AA369" s="220">
        <v>1051182</v>
      </c>
    </row>
    <row r="370" spans="2:27" ht="12.75">
      <c r="B370" s="198" t="s">
        <v>1193</v>
      </c>
      <c r="C370" s="257">
        <v>753684</v>
      </c>
      <c r="D370" s="146">
        <f>C370/C367</f>
        <v>0.6105072331697882</v>
      </c>
      <c r="E370" s="120" t="e">
        <f t="shared" si="213"/>
        <v>#DIV/0!</v>
      </c>
      <c r="F370" s="100">
        <f t="shared" si="214"/>
        <v>-753684</v>
      </c>
      <c r="G370" s="240">
        <v>0</v>
      </c>
      <c r="H370" s="146">
        <f>G370/G367</f>
        <v>0</v>
      </c>
      <c r="I370" s="120">
        <f t="shared" si="215"/>
        <v>0</v>
      </c>
      <c r="J370" s="247">
        <f t="shared" si="216"/>
        <v>8430827.285</v>
      </c>
      <c r="K370" s="240">
        <v>8430827.285</v>
      </c>
      <c r="L370" s="146">
        <f>K370/K367</f>
        <v>0.910580840731169</v>
      </c>
      <c r="M370" s="120">
        <f t="shared" si="210"/>
        <v>-0.11040758558251029</v>
      </c>
      <c r="N370" s="19">
        <f t="shared" si="211"/>
        <v>-930827.2850000001</v>
      </c>
      <c r="O370" s="240">
        <v>7500000</v>
      </c>
      <c r="Q370" s="121" t="e">
        <f t="shared" si="219"/>
        <v>#DIV/0!</v>
      </c>
      <c r="T370" s="220">
        <v>8062500</v>
      </c>
      <c r="U370" s="220">
        <v>8667188</v>
      </c>
      <c r="V370" s="220">
        <v>9317227</v>
      </c>
      <c r="W370" s="220">
        <v>10016019</v>
      </c>
      <c r="X370" s="220">
        <v>10767220</v>
      </c>
      <c r="Y370" s="220">
        <v>11574761</v>
      </c>
      <c r="Z370" s="220">
        <v>12442869</v>
      </c>
      <c r="AA370" s="220">
        <v>13376084</v>
      </c>
    </row>
    <row r="371" spans="2:27" ht="12.75">
      <c r="B371" s="194" t="s">
        <v>1194</v>
      </c>
      <c r="C371" s="196">
        <f>SUM(C372:C374)</f>
        <v>80357</v>
      </c>
      <c r="D371" s="249">
        <f>C371/C350</f>
        <v>0.012762572818548541</v>
      </c>
      <c r="E371" s="120">
        <f t="shared" si="213"/>
        <v>8.011665004985044</v>
      </c>
      <c r="F371" s="100">
        <f t="shared" si="214"/>
        <v>-70327</v>
      </c>
      <c r="G371" s="196">
        <f>SUM(G372:G374)</f>
        <v>10030</v>
      </c>
      <c r="H371" s="249">
        <f>G371/G350</f>
        <v>0.001773198850726711</v>
      </c>
      <c r="I371" s="120">
        <f t="shared" si="215"/>
        <v>0.15342281911737965</v>
      </c>
      <c r="J371" s="247">
        <f t="shared" si="216"/>
        <v>55344.890499999994</v>
      </c>
      <c r="K371" s="196">
        <f>SUM(K372:K374)</f>
        <v>65374.890499999994</v>
      </c>
      <c r="L371" s="249">
        <f>K371/K350</f>
        <v>0.004754248562430701</v>
      </c>
      <c r="M371" s="120">
        <f t="shared" si="210"/>
        <v>-0.6014677837204179</v>
      </c>
      <c r="N371" s="19">
        <f t="shared" si="211"/>
        <v>-39320.890499999994</v>
      </c>
      <c r="O371" s="196">
        <f>SUM(O372:O374)</f>
        <v>26054</v>
      </c>
      <c r="Q371" s="121">
        <f t="shared" si="219"/>
        <v>2.521206680127335</v>
      </c>
      <c r="T371" s="196">
        <f aca="true" t="shared" si="229" ref="T371:AA371">SUM(T372:T374)</f>
        <v>28008</v>
      </c>
      <c r="U371" s="196">
        <f t="shared" si="229"/>
        <v>30109</v>
      </c>
      <c r="V371" s="196">
        <f t="shared" si="229"/>
        <v>32367</v>
      </c>
      <c r="W371" s="196">
        <f t="shared" si="229"/>
        <v>34794</v>
      </c>
      <c r="X371" s="196">
        <f t="shared" si="229"/>
        <v>37404</v>
      </c>
      <c r="Y371" s="196">
        <f t="shared" si="229"/>
        <v>40209</v>
      </c>
      <c r="Z371" s="196">
        <f t="shared" si="229"/>
        <v>43225</v>
      </c>
      <c r="AA371" s="196">
        <f t="shared" si="229"/>
        <v>46467</v>
      </c>
    </row>
    <row r="372" spans="2:27" ht="12.75">
      <c r="B372" s="201" t="s">
        <v>1195</v>
      </c>
      <c r="C372" s="257">
        <v>54738</v>
      </c>
      <c r="D372" s="146">
        <f>C372/C371</f>
        <v>0.6811852109959307</v>
      </c>
      <c r="E372" s="120" t="e">
        <f t="shared" si="213"/>
        <v>#DIV/0!</v>
      </c>
      <c r="F372" s="100">
        <f t="shared" si="214"/>
        <v>-54738</v>
      </c>
      <c r="G372" s="240">
        <v>0</v>
      </c>
      <c r="H372" s="146">
        <f>G372/G371</f>
        <v>0</v>
      </c>
      <c r="I372" s="120">
        <f t="shared" si="215"/>
        <v>0</v>
      </c>
      <c r="J372" s="247">
        <f t="shared" si="216"/>
        <v>22998.2765</v>
      </c>
      <c r="K372" s="240">
        <v>22998.2765</v>
      </c>
      <c r="L372" s="146">
        <f>K372/K371</f>
        <v>0.35179066953848287</v>
      </c>
      <c r="M372" s="120">
        <f t="shared" si="210"/>
        <v>-1</v>
      </c>
      <c r="N372" s="19">
        <f t="shared" si="211"/>
        <v>-22998.2765</v>
      </c>
      <c r="O372" s="220">
        <v>0</v>
      </c>
      <c r="Q372" s="121" t="e">
        <f t="shared" si="219"/>
        <v>#DIV/0!</v>
      </c>
      <c r="T372" s="220">
        <v>0</v>
      </c>
      <c r="U372" s="220">
        <v>0</v>
      </c>
      <c r="V372" s="220">
        <v>0</v>
      </c>
      <c r="W372" s="220">
        <v>0</v>
      </c>
      <c r="X372" s="220">
        <v>0</v>
      </c>
      <c r="Y372" s="220">
        <v>0</v>
      </c>
      <c r="Z372" s="220">
        <v>0</v>
      </c>
      <c r="AA372" s="220">
        <v>0</v>
      </c>
    </row>
    <row r="373" spans="2:27" ht="12.75">
      <c r="B373" s="198" t="s">
        <v>1196</v>
      </c>
      <c r="C373" s="257">
        <v>25619</v>
      </c>
      <c r="D373" s="146">
        <f>C373/C371</f>
        <v>0.31881478900406934</v>
      </c>
      <c r="E373" s="120">
        <f t="shared" si="213"/>
        <v>2.5542372881355933</v>
      </c>
      <c r="F373" s="100">
        <f t="shared" si="214"/>
        <v>-15589</v>
      </c>
      <c r="G373" s="257">
        <v>10030</v>
      </c>
      <c r="H373" s="146">
        <f>G373/G371</f>
        <v>1</v>
      </c>
      <c r="I373" s="120">
        <f t="shared" si="215"/>
        <v>0.36637109322577294</v>
      </c>
      <c r="J373" s="247">
        <f t="shared" si="216"/>
        <v>17346.613999999998</v>
      </c>
      <c r="K373" s="240">
        <v>27376.613999999998</v>
      </c>
      <c r="L373" s="146">
        <f>K373/K371</f>
        <v>0.4187634394584569</v>
      </c>
      <c r="M373" s="120">
        <f t="shared" si="210"/>
        <v>-0.04831181825480679</v>
      </c>
      <c r="N373" s="19">
        <f t="shared" si="211"/>
        <v>-1322.6139999999978</v>
      </c>
      <c r="O373" s="220">
        <v>26054</v>
      </c>
      <c r="Q373" s="121">
        <f t="shared" si="219"/>
        <v>0.9574321877021864</v>
      </c>
      <c r="T373" s="220">
        <v>28008</v>
      </c>
      <c r="U373" s="220">
        <v>30109</v>
      </c>
      <c r="V373" s="220">
        <v>32367</v>
      </c>
      <c r="W373" s="220">
        <v>34794</v>
      </c>
      <c r="X373" s="220">
        <v>37404</v>
      </c>
      <c r="Y373" s="220">
        <v>40209</v>
      </c>
      <c r="Z373" s="220">
        <v>43225</v>
      </c>
      <c r="AA373" s="220">
        <v>46467</v>
      </c>
    </row>
    <row r="374" spans="2:27" ht="12.75">
      <c r="B374" s="198" t="s">
        <v>1197</v>
      </c>
      <c r="C374" s="240">
        <v>0</v>
      </c>
      <c r="D374" s="146">
        <f>C374/C371</f>
        <v>0</v>
      </c>
      <c r="E374" s="120" t="e">
        <f t="shared" si="213"/>
        <v>#DIV/0!</v>
      </c>
      <c r="F374" s="100">
        <f t="shared" si="214"/>
        <v>0</v>
      </c>
      <c r="G374" s="240">
        <v>0</v>
      </c>
      <c r="H374" s="146">
        <f>G374/G371</f>
        <v>0</v>
      </c>
      <c r="I374" s="120">
        <f t="shared" si="215"/>
        <v>0</v>
      </c>
      <c r="J374" s="247">
        <f t="shared" si="216"/>
        <v>15000</v>
      </c>
      <c r="K374" s="240">
        <v>15000</v>
      </c>
      <c r="L374" s="146">
        <f>K374/K371</f>
        <v>0.2294458910030603</v>
      </c>
      <c r="M374" s="120">
        <f t="shared" si="210"/>
        <v>-1</v>
      </c>
      <c r="N374" s="19">
        <f t="shared" si="211"/>
        <v>-15000</v>
      </c>
      <c r="O374" s="220">
        <v>0</v>
      </c>
      <c r="Q374" s="121" t="e">
        <f t="shared" si="219"/>
        <v>#DIV/0!</v>
      </c>
      <c r="T374" s="220">
        <v>0</v>
      </c>
      <c r="U374" s="220">
        <v>0</v>
      </c>
      <c r="V374" s="220">
        <v>0</v>
      </c>
      <c r="W374" s="220">
        <v>0</v>
      </c>
      <c r="X374" s="220">
        <v>0</v>
      </c>
      <c r="Y374" s="220">
        <v>0</v>
      </c>
      <c r="Z374" s="220">
        <v>0</v>
      </c>
      <c r="AA374" s="220">
        <v>0</v>
      </c>
    </row>
    <row r="375" spans="2:27" ht="12.75">
      <c r="B375" s="194" t="s">
        <v>1198</v>
      </c>
      <c r="C375" s="196">
        <f>SUM(C376:C378)</f>
        <v>224396</v>
      </c>
      <c r="D375" s="250">
        <f>C375/C343</f>
        <v>0.03304275122031382</v>
      </c>
      <c r="E375" s="120">
        <f t="shared" si="213"/>
        <v>0.47933524159439483</v>
      </c>
      <c r="F375" s="100">
        <f t="shared" si="214"/>
        <v>243744</v>
      </c>
      <c r="G375" s="196">
        <f>SUM(G376:G378)</f>
        <v>468140</v>
      </c>
      <c r="H375" s="250">
        <f>G375/G343</f>
        <v>0.07322185875973614</v>
      </c>
      <c r="I375" s="120">
        <f t="shared" si="215"/>
        <v>1.0437222784818965</v>
      </c>
      <c r="J375" s="247">
        <f t="shared" si="216"/>
        <v>-19610.72200000001</v>
      </c>
      <c r="K375" s="196">
        <f>SUM(K376:K378)</f>
        <v>448529.278</v>
      </c>
      <c r="L375" s="250">
        <f>K375/K343</f>
        <v>0.030607316711576196</v>
      </c>
      <c r="M375" s="120">
        <f t="shared" si="210"/>
        <v>-0.3025895625034315</v>
      </c>
      <c r="N375" s="19">
        <f t="shared" si="211"/>
        <v>-135720.278</v>
      </c>
      <c r="O375" s="196">
        <f>SUM(O376:O378)</f>
        <v>312809</v>
      </c>
      <c r="Q375" s="121">
        <f t="shared" si="219"/>
        <v>0.4068226525242866</v>
      </c>
      <c r="T375" s="196">
        <f aca="true" t="shared" si="230" ref="T375:AA375">SUM(T376:T378)</f>
        <v>331578</v>
      </c>
      <c r="U375" s="196">
        <f t="shared" si="230"/>
        <v>351472</v>
      </c>
      <c r="V375" s="196">
        <f t="shared" si="230"/>
        <v>372559</v>
      </c>
      <c r="W375" s="196">
        <f t="shared" si="230"/>
        <v>394914</v>
      </c>
      <c r="X375" s="196">
        <f t="shared" si="230"/>
        <v>418609</v>
      </c>
      <c r="Y375" s="196">
        <f t="shared" si="230"/>
        <v>443726</v>
      </c>
      <c r="Z375" s="196">
        <f t="shared" si="230"/>
        <v>470349</v>
      </c>
      <c r="AA375" s="196">
        <f t="shared" si="230"/>
        <v>498569</v>
      </c>
    </row>
    <row r="376" spans="2:27" ht="12.75">
      <c r="B376" s="198" t="s">
        <v>1199</v>
      </c>
      <c r="C376" s="220">
        <v>0</v>
      </c>
      <c r="D376" s="146">
        <f>C376/C375</f>
        <v>0</v>
      </c>
      <c r="E376" s="120" t="e">
        <f t="shared" si="213"/>
        <v>#DIV/0!</v>
      </c>
      <c r="F376" s="100">
        <f t="shared" si="214"/>
        <v>0</v>
      </c>
      <c r="G376" s="220">
        <v>0</v>
      </c>
      <c r="H376" s="146">
        <f>G376/G375</f>
        <v>0</v>
      </c>
      <c r="I376" s="120" t="e">
        <f t="shared" si="215"/>
        <v>#DIV/0!</v>
      </c>
      <c r="J376" s="247">
        <f t="shared" si="216"/>
        <v>0</v>
      </c>
      <c r="K376" s="220">
        <v>0</v>
      </c>
      <c r="L376" s="146">
        <f>K376/K375</f>
        <v>0</v>
      </c>
      <c r="M376" s="120" t="e">
        <f t="shared" si="210"/>
        <v>#DIV/0!</v>
      </c>
      <c r="N376" s="19">
        <f t="shared" si="211"/>
        <v>0</v>
      </c>
      <c r="O376" s="220">
        <v>0</v>
      </c>
      <c r="Q376" s="121" t="e">
        <f t="shared" si="219"/>
        <v>#DIV/0!</v>
      </c>
      <c r="T376" s="220">
        <v>0</v>
      </c>
      <c r="U376" s="220">
        <v>0</v>
      </c>
      <c r="V376" s="220">
        <v>0</v>
      </c>
      <c r="W376" s="220">
        <v>0</v>
      </c>
      <c r="X376" s="220">
        <v>0</v>
      </c>
      <c r="Y376" s="220">
        <v>0</v>
      </c>
      <c r="Z376" s="220">
        <v>0</v>
      </c>
      <c r="AA376" s="220">
        <v>0</v>
      </c>
    </row>
    <row r="377" spans="2:27" ht="12.75">
      <c r="B377" s="198" t="s">
        <v>1200</v>
      </c>
      <c r="C377" s="257">
        <v>11856</v>
      </c>
      <c r="D377" s="146">
        <f>C377/C375</f>
        <v>0.05283516640225316</v>
      </c>
      <c r="E377" s="120">
        <f t="shared" si="213"/>
        <v>146.37037037037038</v>
      </c>
      <c r="F377" s="100">
        <f t="shared" si="214"/>
        <v>-11775</v>
      </c>
      <c r="G377" s="257">
        <v>81</v>
      </c>
      <c r="H377" s="146">
        <f>G377/G375</f>
        <v>0.00017302516341265433</v>
      </c>
      <c r="I377" s="120">
        <f t="shared" si="215"/>
        <v>0.014523921975339457</v>
      </c>
      <c r="J377" s="247">
        <f t="shared" si="216"/>
        <v>5496.005999999999</v>
      </c>
      <c r="K377" s="240">
        <v>5577.005999999999</v>
      </c>
      <c r="L377" s="146">
        <f>K377/K375</f>
        <v>0.012433984298344955</v>
      </c>
      <c r="M377" s="120">
        <f t="shared" si="210"/>
        <v>4.379230361236837</v>
      </c>
      <c r="N377" s="19">
        <f t="shared" si="211"/>
        <v>24422.994</v>
      </c>
      <c r="O377" s="240">
        <v>30000</v>
      </c>
      <c r="Q377" s="121">
        <f t="shared" si="219"/>
        <v>50.25470821786086</v>
      </c>
      <c r="T377" s="220">
        <v>31800</v>
      </c>
      <c r="U377" s="220">
        <v>33708</v>
      </c>
      <c r="V377" s="220">
        <v>35730</v>
      </c>
      <c r="W377" s="220">
        <v>37874</v>
      </c>
      <c r="X377" s="220">
        <v>40147</v>
      </c>
      <c r="Y377" s="220">
        <v>42556</v>
      </c>
      <c r="Z377" s="220">
        <v>45109</v>
      </c>
      <c r="AA377" s="220">
        <v>47815</v>
      </c>
    </row>
    <row r="378" spans="2:27" ht="12.75">
      <c r="B378" s="198" t="s">
        <v>1201</v>
      </c>
      <c r="C378" s="257">
        <f>4584+4731+50943+66803+83462+2017</f>
        <v>212540</v>
      </c>
      <c r="D378" s="146">
        <f>C378/C375</f>
        <v>0.9471648335977468</v>
      </c>
      <c r="E378" s="120">
        <f t="shared" si="213"/>
        <v>0.45408805300186517</v>
      </c>
      <c r="F378" s="100">
        <f t="shared" si="214"/>
        <v>255519</v>
      </c>
      <c r="G378" s="257">
        <f>146+66877+314471+86538+19+8</f>
        <v>468059</v>
      </c>
      <c r="H378" s="146">
        <f>G378/G375</f>
        <v>0.9998269748365873</v>
      </c>
      <c r="I378" s="120">
        <f t="shared" si="215"/>
        <v>1.0566804362163877</v>
      </c>
      <c r="J378" s="247">
        <f t="shared" si="216"/>
        <v>-25106.728000000003</v>
      </c>
      <c r="K378" s="240">
        <f>4333.272+60043+118238+124783+135487+68</f>
        <v>442952.272</v>
      </c>
      <c r="L378" s="146">
        <f>K378/K375</f>
        <v>0.987566015701655</v>
      </c>
      <c r="M378" s="120">
        <f t="shared" si="210"/>
        <v>-0.3615361792297117</v>
      </c>
      <c r="N378" s="19">
        <f t="shared" si="211"/>
        <v>-160143.272</v>
      </c>
      <c r="O378" s="240">
        <f>60043+120814+101952</f>
        <v>282809</v>
      </c>
      <c r="Q378" s="121">
        <f t="shared" si="219"/>
        <v>0.38307743666284705</v>
      </c>
      <c r="T378" s="220">
        <f>63646+128063+108069</f>
        <v>299778</v>
      </c>
      <c r="U378" s="220">
        <f>67464+135747+114553</f>
        <v>317764</v>
      </c>
      <c r="V378" s="220">
        <f>71512+143891+121426</f>
        <v>336829</v>
      </c>
      <c r="W378" s="220">
        <f>75803+152525+128712</f>
        <v>357040</v>
      </c>
      <c r="X378" s="220">
        <f>80351+161676+136435</f>
        <v>378462</v>
      </c>
      <c r="Y378" s="220">
        <f>85172+171377+144621</f>
        <v>401170</v>
      </c>
      <c r="Z378" s="220">
        <f>90282+181660+153298</f>
        <v>425240</v>
      </c>
      <c r="AA378" s="220">
        <f>95699+192559+162496</f>
        <v>450754</v>
      </c>
    </row>
    <row r="379" spans="2:27" ht="12.75">
      <c r="B379" s="194" t="s">
        <v>1202</v>
      </c>
      <c r="C379" s="220"/>
      <c r="D379" s="250">
        <f>C379/C343</f>
        <v>0</v>
      </c>
      <c r="E379" s="120" t="e">
        <f t="shared" si="213"/>
        <v>#DIV/0!</v>
      </c>
      <c r="F379" s="100">
        <f t="shared" si="214"/>
        <v>0</v>
      </c>
      <c r="G379" s="220"/>
      <c r="H379" s="250">
        <f>G379/G343</f>
        <v>0</v>
      </c>
      <c r="I379" s="120" t="e">
        <f t="shared" si="215"/>
        <v>#DIV/0!</v>
      </c>
      <c r="J379" s="247">
        <f t="shared" si="216"/>
        <v>0</v>
      </c>
      <c r="K379" s="220"/>
      <c r="L379" s="250">
        <f>K379/K343</f>
        <v>0</v>
      </c>
      <c r="M379" s="120" t="e">
        <f t="shared" si="210"/>
        <v>#DIV/0!</v>
      </c>
      <c r="N379" s="19">
        <f t="shared" si="211"/>
        <v>0</v>
      </c>
      <c r="O379" s="220">
        <v>0</v>
      </c>
      <c r="Q379" s="121" t="e">
        <f t="shared" si="219"/>
        <v>#DIV/0!</v>
      </c>
      <c r="T379" s="220">
        <v>0</v>
      </c>
      <c r="U379" s="220">
        <v>0</v>
      </c>
      <c r="V379" s="220">
        <v>0</v>
      </c>
      <c r="W379" s="220">
        <v>0</v>
      </c>
      <c r="X379" s="220">
        <v>0</v>
      </c>
      <c r="Y379" s="220">
        <v>0</v>
      </c>
      <c r="Z379" s="220">
        <v>0</v>
      </c>
      <c r="AA379" s="220">
        <v>0</v>
      </c>
    </row>
    <row r="380" spans="2:27" ht="12.75">
      <c r="B380" s="252" t="s">
        <v>1203</v>
      </c>
      <c r="C380" s="196">
        <f>+C381+C382+C383+C392+C404+C416+C417+C418+C421+C422+C423</f>
        <v>2295469</v>
      </c>
      <c r="D380" s="256">
        <f>C380/C320</f>
        <v>0.1616634709147607</v>
      </c>
      <c r="E380" s="120">
        <f t="shared" si="213"/>
        <v>0.4165946471175181</v>
      </c>
      <c r="F380" s="100">
        <f t="shared" si="214"/>
        <v>3214609</v>
      </c>
      <c r="G380" s="196">
        <f>+G381+G382+G383+G392+G404+G416+G417+G418+G421+G422+G423</f>
        <v>5510078</v>
      </c>
      <c r="H380" s="256">
        <f>G380/G320</f>
        <v>0.3046832975312487</v>
      </c>
      <c r="I380" s="120">
        <f t="shared" si="215"/>
        <v>6.105516571684967</v>
      </c>
      <c r="J380" s="247">
        <f t="shared" si="216"/>
        <v>-4607602.683569999</v>
      </c>
      <c r="K380" s="196">
        <f>+K381+K382+K383+K392+K404+K416+K417+K418+K421+K422+K423</f>
        <v>902475.3164300001</v>
      </c>
      <c r="L380" s="256">
        <f>K380/K320</f>
        <v>0.03880662014254194</v>
      </c>
      <c r="M380" s="120">
        <f t="shared" si="210"/>
        <v>-0.7284557311003108</v>
      </c>
      <c r="N380" s="19">
        <f t="shared" si="211"/>
        <v>-657413.3164300001</v>
      </c>
      <c r="O380" s="196">
        <f>+O381+O382+O383+O392+O404+O416+O417+O418+O421+O422+O423</f>
        <v>245062</v>
      </c>
      <c r="Q380" s="121">
        <f t="shared" si="219"/>
        <v>1.9312184959007244</v>
      </c>
      <c r="T380" s="196">
        <f aca="true" t="shared" si="231" ref="T380:AA380">+T381+T382+T383+T392+T404+T416+T417+T418+T421+T422+T423</f>
        <v>245062</v>
      </c>
      <c r="U380" s="196">
        <f t="shared" si="231"/>
        <v>245062</v>
      </c>
      <c r="V380" s="196">
        <f t="shared" si="231"/>
        <v>245062</v>
      </c>
      <c r="W380" s="196">
        <f t="shared" si="231"/>
        <v>245062</v>
      </c>
      <c r="X380" s="196">
        <f t="shared" si="231"/>
        <v>245062</v>
      </c>
      <c r="Y380" s="196">
        <f t="shared" si="231"/>
        <v>245062</v>
      </c>
      <c r="Z380" s="196">
        <f t="shared" si="231"/>
        <v>245062</v>
      </c>
      <c r="AA380" s="196">
        <f t="shared" si="231"/>
        <v>245062</v>
      </c>
    </row>
    <row r="381" spans="2:27" ht="12.75">
      <c r="B381" s="194" t="s">
        <v>1204</v>
      </c>
      <c r="C381" s="258">
        <f>681480</f>
        <v>681480</v>
      </c>
      <c r="D381" s="249">
        <f>C381/C380</f>
        <v>0.29688050677225436</v>
      </c>
      <c r="E381" s="120">
        <f t="shared" si="213"/>
        <v>0.19737167930143146</v>
      </c>
      <c r="F381" s="100">
        <f t="shared" si="214"/>
        <v>2771295</v>
      </c>
      <c r="G381" s="258">
        <f>3452775</f>
        <v>3452775</v>
      </c>
      <c r="H381" s="249">
        <f>G381/G380</f>
        <v>0.6266290604234641</v>
      </c>
      <c r="I381" s="120" t="e">
        <f t="shared" si="215"/>
        <v>#DIV/0!</v>
      </c>
      <c r="J381" s="247">
        <f t="shared" si="216"/>
        <v>-3452775</v>
      </c>
      <c r="K381" s="220"/>
      <c r="L381" s="249">
        <f>K381/K380</f>
        <v>0</v>
      </c>
      <c r="M381" s="120" t="e">
        <f t="shared" si="210"/>
        <v>#DIV/0!</v>
      </c>
      <c r="N381" s="19">
        <f t="shared" si="211"/>
        <v>0</v>
      </c>
      <c r="O381" s="220">
        <v>0</v>
      </c>
      <c r="Q381" s="121" t="e">
        <f t="shared" si="219"/>
        <v>#DIV/0!</v>
      </c>
      <c r="T381" s="220">
        <v>0</v>
      </c>
      <c r="U381" s="220">
        <v>0</v>
      </c>
      <c r="V381" s="220">
        <v>0</v>
      </c>
      <c r="W381" s="220"/>
      <c r="X381" s="220"/>
      <c r="Y381" s="220"/>
      <c r="Z381" s="220"/>
      <c r="AA381" s="220"/>
    </row>
    <row r="382" spans="2:27" ht="12.75">
      <c r="B382" s="194" t="s">
        <v>1205</v>
      </c>
      <c r="C382" s="257">
        <v>5905</v>
      </c>
      <c r="D382" s="249">
        <f>C382/C380</f>
        <v>0.002572459048673713</v>
      </c>
      <c r="E382" s="120" t="e">
        <f t="shared" si="213"/>
        <v>#DIV/0!</v>
      </c>
      <c r="F382" s="100">
        <f t="shared" si="214"/>
        <v>-5905</v>
      </c>
      <c r="G382" s="240">
        <v>0</v>
      </c>
      <c r="H382" s="249">
        <f>G382/G380</f>
        <v>0</v>
      </c>
      <c r="I382" s="120">
        <f t="shared" si="215"/>
        <v>0</v>
      </c>
      <c r="J382" s="247">
        <f t="shared" si="216"/>
        <v>157904.026</v>
      </c>
      <c r="K382" s="240">
        <v>157904.026</v>
      </c>
      <c r="L382" s="249">
        <f>K382/K380</f>
        <v>0.17496769509955648</v>
      </c>
      <c r="M382" s="120">
        <f t="shared" si="210"/>
        <v>-1</v>
      </c>
      <c r="N382" s="19">
        <f t="shared" si="211"/>
        <v>-157904.026</v>
      </c>
      <c r="O382" s="220">
        <v>0</v>
      </c>
      <c r="Q382" s="121" t="e">
        <f t="shared" si="219"/>
        <v>#DIV/0!</v>
      </c>
      <c r="T382" s="220">
        <v>0</v>
      </c>
      <c r="U382" s="220">
        <v>0</v>
      </c>
      <c r="V382" s="220">
        <v>0</v>
      </c>
      <c r="W382" s="220"/>
      <c r="X382" s="220"/>
      <c r="Y382" s="220"/>
      <c r="Z382" s="220"/>
      <c r="AA382" s="220"/>
    </row>
    <row r="383" spans="2:27" ht="12.75">
      <c r="B383" s="194" t="s">
        <v>1206</v>
      </c>
      <c r="C383" s="196">
        <f>SUM(C384:C391)</f>
        <v>0</v>
      </c>
      <c r="D383" s="146"/>
      <c r="E383" s="120" t="e">
        <f t="shared" si="213"/>
        <v>#DIV/0!</v>
      </c>
      <c r="F383" s="100">
        <f t="shared" si="214"/>
        <v>0</v>
      </c>
      <c r="G383" s="196">
        <f>SUM(G384:G391)</f>
        <v>0</v>
      </c>
      <c r="I383" s="120" t="e">
        <f t="shared" si="215"/>
        <v>#DIV/0!</v>
      </c>
      <c r="J383" s="247">
        <f t="shared" si="216"/>
        <v>0</v>
      </c>
      <c r="K383" s="196">
        <f>SUM(K384:K391)</f>
        <v>0</v>
      </c>
      <c r="M383" s="120" t="e">
        <f t="shared" si="210"/>
        <v>#DIV/0!</v>
      </c>
      <c r="N383" s="19">
        <f t="shared" si="211"/>
        <v>0</v>
      </c>
      <c r="O383" s="196">
        <f>SUM(O384:O391)</f>
        <v>0</v>
      </c>
      <c r="Q383" s="121" t="e">
        <f t="shared" si="219"/>
        <v>#DIV/0!</v>
      </c>
      <c r="T383" s="196">
        <f aca="true" t="shared" si="232" ref="T383:AA383">SUM(T384:T391)</f>
        <v>0</v>
      </c>
      <c r="U383" s="196">
        <f t="shared" si="232"/>
        <v>0</v>
      </c>
      <c r="V383" s="196">
        <f t="shared" si="232"/>
        <v>0</v>
      </c>
      <c r="W383" s="196">
        <f t="shared" si="232"/>
        <v>0</v>
      </c>
      <c r="X383" s="196">
        <f t="shared" si="232"/>
        <v>0</v>
      </c>
      <c r="Y383" s="196">
        <f t="shared" si="232"/>
        <v>0</v>
      </c>
      <c r="Z383" s="196">
        <f t="shared" si="232"/>
        <v>0</v>
      </c>
      <c r="AA383" s="196">
        <f t="shared" si="232"/>
        <v>0</v>
      </c>
    </row>
    <row r="384" spans="2:27" ht="12.75">
      <c r="B384" s="198" t="s">
        <v>1207</v>
      </c>
      <c r="C384" s="220"/>
      <c r="D384" s="146"/>
      <c r="E384" s="120" t="e">
        <f t="shared" si="213"/>
        <v>#DIV/0!</v>
      </c>
      <c r="F384" s="100">
        <f t="shared" si="214"/>
        <v>0</v>
      </c>
      <c r="G384" s="220"/>
      <c r="I384" s="120" t="e">
        <f t="shared" si="215"/>
        <v>#DIV/0!</v>
      </c>
      <c r="J384" s="247">
        <f t="shared" si="216"/>
        <v>0</v>
      </c>
      <c r="K384" s="220"/>
      <c r="M384" s="120" t="e">
        <f aca="true" t="shared" si="233" ref="M384:M423">O384/K384-1</f>
        <v>#DIV/0!</v>
      </c>
      <c r="N384" s="19">
        <f aca="true" t="shared" si="234" ref="N384:N423">O384-K384</f>
        <v>0</v>
      </c>
      <c r="O384" s="220">
        <v>0</v>
      </c>
      <c r="Q384" s="121" t="e">
        <f t="shared" si="219"/>
        <v>#DIV/0!</v>
      </c>
      <c r="T384" s="220">
        <v>0</v>
      </c>
      <c r="U384" s="220"/>
      <c r="V384" s="220"/>
      <c r="W384" s="220"/>
      <c r="X384" s="220"/>
      <c r="Y384" s="220"/>
      <c r="Z384" s="220"/>
      <c r="AA384" s="220"/>
    </row>
    <row r="385" spans="2:27" ht="12.75">
      <c r="B385" s="198" t="s">
        <v>0</v>
      </c>
      <c r="C385" s="220"/>
      <c r="D385" s="146"/>
      <c r="E385" s="120" t="e">
        <f aca="true" t="shared" si="235" ref="E385:E423">C385/G385</f>
        <v>#DIV/0!</v>
      </c>
      <c r="F385" s="100">
        <f aca="true" t="shared" si="236" ref="F385:F423">G385-C385</f>
        <v>0</v>
      </c>
      <c r="G385" s="220"/>
      <c r="I385" s="120" t="e">
        <f aca="true" t="shared" si="237" ref="I385:I423">G385/K385</f>
        <v>#DIV/0!</v>
      </c>
      <c r="J385" s="247">
        <f aca="true" t="shared" si="238" ref="J385:J423">K385-G385</f>
        <v>0</v>
      </c>
      <c r="K385" s="220"/>
      <c r="M385" s="120" t="e">
        <f t="shared" si="233"/>
        <v>#DIV/0!</v>
      </c>
      <c r="N385" s="19">
        <f t="shared" si="234"/>
        <v>0</v>
      </c>
      <c r="O385" s="220">
        <v>0</v>
      </c>
      <c r="Q385" s="121" t="e">
        <f t="shared" si="219"/>
        <v>#DIV/0!</v>
      </c>
      <c r="T385" s="220">
        <v>0</v>
      </c>
      <c r="U385" s="220"/>
      <c r="V385" s="220"/>
      <c r="W385" s="220"/>
      <c r="X385" s="220"/>
      <c r="Y385" s="220"/>
      <c r="Z385" s="220"/>
      <c r="AA385" s="220"/>
    </row>
    <row r="386" spans="2:27" ht="12.75">
      <c r="B386" s="198" t="s">
        <v>1</v>
      </c>
      <c r="C386" s="220"/>
      <c r="D386" s="146"/>
      <c r="E386" s="120" t="e">
        <f t="shared" si="235"/>
        <v>#DIV/0!</v>
      </c>
      <c r="F386" s="100">
        <f t="shared" si="236"/>
        <v>0</v>
      </c>
      <c r="G386" s="220"/>
      <c r="I386" s="120" t="e">
        <f t="shared" si="237"/>
        <v>#DIV/0!</v>
      </c>
      <c r="J386" s="247">
        <f t="shared" si="238"/>
        <v>0</v>
      </c>
      <c r="K386" s="220"/>
      <c r="M386" s="120" t="e">
        <f t="shared" si="233"/>
        <v>#DIV/0!</v>
      </c>
      <c r="N386" s="19">
        <f t="shared" si="234"/>
        <v>0</v>
      </c>
      <c r="O386" s="220">
        <v>0</v>
      </c>
      <c r="Q386" s="121" t="e">
        <f t="shared" si="219"/>
        <v>#DIV/0!</v>
      </c>
      <c r="T386" s="220">
        <v>0</v>
      </c>
      <c r="U386" s="220"/>
      <c r="V386" s="220"/>
      <c r="W386" s="220"/>
      <c r="X386" s="220"/>
      <c r="Y386" s="220"/>
      <c r="Z386" s="220"/>
      <c r="AA386" s="220"/>
    </row>
    <row r="387" spans="2:27" ht="12.75">
      <c r="B387" s="198" t="s">
        <v>2</v>
      </c>
      <c r="C387" s="220"/>
      <c r="D387" s="146"/>
      <c r="E387" s="120" t="e">
        <f t="shared" si="235"/>
        <v>#DIV/0!</v>
      </c>
      <c r="F387" s="100">
        <f t="shared" si="236"/>
        <v>0</v>
      </c>
      <c r="G387" s="220"/>
      <c r="I387" s="120" t="e">
        <f t="shared" si="237"/>
        <v>#DIV/0!</v>
      </c>
      <c r="J387" s="247">
        <f t="shared" si="238"/>
        <v>0</v>
      </c>
      <c r="K387" s="220"/>
      <c r="M387" s="120" t="e">
        <f t="shared" si="233"/>
        <v>#DIV/0!</v>
      </c>
      <c r="N387" s="19">
        <f t="shared" si="234"/>
        <v>0</v>
      </c>
      <c r="O387" s="220">
        <v>0</v>
      </c>
      <c r="Q387" s="121" t="e">
        <f t="shared" si="219"/>
        <v>#DIV/0!</v>
      </c>
      <c r="T387" s="220">
        <v>0</v>
      </c>
      <c r="U387" s="220"/>
      <c r="V387" s="220"/>
      <c r="W387" s="220"/>
      <c r="X387" s="220"/>
      <c r="Y387" s="220"/>
      <c r="Z387" s="220"/>
      <c r="AA387" s="220"/>
    </row>
    <row r="388" spans="2:27" ht="12.75">
      <c r="B388" s="198" t="s">
        <v>3</v>
      </c>
      <c r="C388" s="220"/>
      <c r="D388" s="146"/>
      <c r="E388" s="120" t="e">
        <f t="shared" si="235"/>
        <v>#DIV/0!</v>
      </c>
      <c r="F388" s="100">
        <f t="shared" si="236"/>
        <v>0</v>
      </c>
      <c r="G388" s="220"/>
      <c r="I388" s="120" t="e">
        <f t="shared" si="237"/>
        <v>#DIV/0!</v>
      </c>
      <c r="J388" s="247">
        <f t="shared" si="238"/>
        <v>0</v>
      </c>
      <c r="K388" s="220"/>
      <c r="M388" s="120" t="e">
        <f t="shared" si="233"/>
        <v>#DIV/0!</v>
      </c>
      <c r="N388" s="19">
        <f t="shared" si="234"/>
        <v>0</v>
      </c>
      <c r="O388" s="220">
        <v>0</v>
      </c>
      <c r="Q388" s="121" t="e">
        <f t="shared" si="219"/>
        <v>#DIV/0!</v>
      </c>
      <c r="T388" s="220">
        <v>0</v>
      </c>
      <c r="U388" s="220"/>
      <c r="V388" s="220"/>
      <c r="W388" s="220"/>
      <c r="X388" s="220"/>
      <c r="Y388" s="220"/>
      <c r="Z388" s="220"/>
      <c r="AA388" s="220"/>
    </row>
    <row r="389" spans="2:27" ht="12.75">
      <c r="B389" s="198" t="s">
        <v>4</v>
      </c>
      <c r="C389" s="220"/>
      <c r="D389" s="146"/>
      <c r="E389" s="120" t="e">
        <f t="shared" si="235"/>
        <v>#DIV/0!</v>
      </c>
      <c r="F389" s="100">
        <f t="shared" si="236"/>
        <v>0</v>
      </c>
      <c r="G389" s="220"/>
      <c r="I389" s="120" t="e">
        <f t="shared" si="237"/>
        <v>#DIV/0!</v>
      </c>
      <c r="J389" s="247">
        <f t="shared" si="238"/>
        <v>0</v>
      </c>
      <c r="K389" s="220"/>
      <c r="M389" s="120" t="e">
        <f t="shared" si="233"/>
        <v>#DIV/0!</v>
      </c>
      <c r="N389" s="19">
        <f t="shared" si="234"/>
        <v>0</v>
      </c>
      <c r="O389" s="220">
        <v>0</v>
      </c>
      <c r="Q389" s="121" t="e">
        <f aca="true" t="shared" si="239" ref="Q389:Q423">SUM(E389+I389+M389)/3</f>
        <v>#DIV/0!</v>
      </c>
      <c r="T389" s="220"/>
      <c r="U389" s="220"/>
      <c r="V389" s="220"/>
      <c r="W389" s="220"/>
      <c r="X389" s="220"/>
      <c r="Y389" s="220"/>
      <c r="Z389" s="220"/>
      <c r="AA389" s="220"/>
    </row>
    <row r="390" spans="2:27" ht="12.75">
      <c r="B390" s="198" t="s">
        <v>5</v>
      </c>
      <c r="C390" s="220"/>
      <c r="D390" s="146"/>
      <c r="E390" s="120" t="e">
        <f t="shared" si="235"/>
        <v>#DIV/0!</v>
      </c>
      <c r="F390" s="100">
        <f t="shared" si="236"/>
        <v>0</v>
      </c>
      <c r="G390" s="220"/>
      <c r="I390" s="120" t="e">
        <f t="shared" si="237"/>
        <v>#DIV/0!</v>
      </c>
      <c r="J390" s="247">
        <f t="shared" si="238"/>
        <v>0</v>
      </c>
      <c r="K390" s="220"/>
      <c r="M390" s="120" t="e">
        <f t="shared" si="233"/>
        <v>#DIV/0!</v>
      </c>
      <c r="N390" s="19">
        <f t="shared" si="234"/>
        <v>0</v>
      </c>
      <c r="O390" s="220">
        <v>0</v>
      </c>
      <c r="Q390" s="121" t="e">
        <f t="shared" si="239"/>
        <v>#DIV/0!</v>
      </c>
      <c r="T390" s="220"/>
      <c r="U390" s="220"/>
      <c r="V390" s="220"/>
      <c r="W390" s="220"/>
      <c r="X390" s="220"/>
      <c r="Y390" s="220"/>
      <c r="Z390" s="220"/>
      <c r="AA390" s="220"/>
    </row>
    <row r="391" spans="2:27" ht="12.75">
      <c r="B391" s="198" t="s">
        <v>6</v>
      </c>
      <c r="C391" s="220"/>
      <c r="D391" s="146"/>
      <c r="E391" s="120" t="e">
        <f t="shared" si="235"/>
        <v>#DIV/0!</v>
      </c>
      <c r="F391" s="100">
        <f t="shared" si="236"/>
        <v>0</v>
      </c>
      <c r="G391" s="220"/>
      <c r="I391" s="120" t="e">
        <f t="shared" si="237"/>
        <v>#DIV/0!</v>
      </c>
      <c r="J391" s="247">
        <f t="shared" si="238"/>
        <v>0</v>
      </c>
      <c r="K391" s="220"/>
      <c r="M391" s="120" t="e">
        <f t="shared" si="233"/>
        <v>#DIV/0!</v>
      </c>
      <c r="N391" s="19">
        <f t="shared" si="234"/>
        <v>0</v>
      </c>
      <c r="O391" s="220">
        <v>0</v>
      </c>
      <c r="Q391" s="121" t="e">
        <f t="shared" si="239"/>
        <v>#DIV/0!</v>
      </c>
      <c r="T391" s="220"/>
      <c r="U391" s="220"/>
      <c r="V391" s="220"/>
      <c r="W391" s="220"/>
      <c r="X391" s="220"/>
      <c r="Y391" s="220"/>
      <c r="Z391" s="220"/>
      <c r="AA391" s="220"/>
    </row>
    <row r="392" spans="2:27" ht="12.75">
      <c r="B392" s="194" t="s">
        <v>7</v>
      </c>
      <c r="C392" s="196">
        <f>+C393+C403</f>
        <v>1050000</v>
      </c>
      <c r="D392" s="249">
        <f>C392/C380</f>
        <v>0.45742286216890754</v>
      </c>
      <c r="E392" s="120">
        <f t="shared" si="235"/>
        <v>1.1174183167210476</v>
      </c>
      <c r="F392" s="100">
        <f t="shared" si="236"/>
        <v>-110334</v>
      </c>
      <c r="G392" s="196">
        <f>+G393+G403</f>
        <v>939666</v>
      </c>
      <c r="H392" s="249">
        <f>G392/G380</f>
        <v>0.17053587989135544</v>
      </c>
      <c r="I392" s="120" t="e">
        <f t="shared" si="237"/>
        <v>#DIV/0!</v>
      </c>
      <c r="J392" s="247">
        <f t="shared" si="238"/>
        <v>-939666</v>
      </c>
      <c r="K392" s="196">
        <f>+K393+K403</f>
        <v>0</v>
      </c>
      <c r="L392" s="249">
        <f>K392/K380</f>
        <v>0</v>
      </c>
      <c r="M392" s="120" t="e">
        <f t="shared" si="233"/>
        <v>#DIV/0!</v>
      </c>
      <c r="N392" s="19">
        <f t="shared" si="234"/>
        <v>0</v>
      </c>
      <c r="O392" s="196">
        <f>+O393+O403</f>
        <v>0</v>
      </c>
      <c r="Q392" s="121" t="e">
        <f t="shared" si="239"/>
        <v>#DIV/0!</v>
      </c>
      <c r="T392" s="196">
        <f aca="true" t="shared" si="240" ref="T392:AA392">+T393+T403</f>
        <v>0</v>
      </c>
      <c r="U392" s="196">
        <f t="shared" si="240"/>
        <v>0</v>
      </c>
      <c r="V392" s="196">
        <f t="shared" si="240"/>
        <v>0</v>
      </c>
      <c r="W392" s="196">
        <f t="shared" si="240"/>
        <v>0</v>
      </c>
      <c r="X392" s="196">
        <f t="shared" si="240"/>
        <v>0</v>
      </c>
      <c r="Y392" s="196">
        <f t="shared" si="240"/>
        <v>0</v>
      </c>
      <c r="Z392" s="196">
        <f t="shared" si="240"/>
        <v>0</v>
      </c>
      <c r="AA392" s="196">
        <f t="shared" si="240"/>
        <v>0</v>
      </c>
    </row>
    <row r="393" spans="2:27" ht="12.75">
      <c r="B393" s="194" t="s">
        <v>8</v>
      </c>
      <c r="C393" s="196">
        <f>+C394+C402</f>
        <v>0</v>
      </c>
      <c r="D393" s="146"/>
      <c r="E393" s="120">
        <f t="shared" si="235"/>
        <v>0</v>
      </c>
      <c r="F393" s="100">
        <f t="shared" si="236"/>
        <v>939666</v>
      </c>
      <c r="G393" s="196">
        <f>+G394+G402</f>
        <v>939666</v>
      </c>
      <c r="H393" s="146">
        <f>G393/G392</f>
        <v>1</v>
      </c>
      <c r="I393" s="120" t="e">
        <f t="shared" si="237"/>
        <v>#DIV/0!</v>
      </c>
      <c r="J393" s="247">
        <f t="shared" si="238"/>
        <v>-939666</v>
      </c>
      <c r="K393" s="196">
        <f>+K394+K402</f>
        <v>0</v>
      </c>
      <c r="L393" s="146" t="e">
        <f>K393/K392</f>
        <v>#DIV/0!</v>
      </c>
      <c r="M393" s="120" t="e">
        <f t="shared" si="233"/>
        <v>#DIV/0!</v>
      </c>
      <c r="N393" s="19">
        <f t="shared" si="234"/>
        <v>0</v>
      </c>
      <c r="O393" s="196">
        <f>+O394+O402</f>
        <v>0</v>
      </c>
      <c r="Q393" s="121" t="e">
        <f t="shared" si="239"/>
        <v>#DIV/0!</v>
      </c>
      <c r="T393" s="196">
        <f aca="true" t="shared" si="241" ref="T393:AA393">+T394+T402</f>
        <v>0</v>
      </c>
      <c r="U393" s="196">
        <f t="shared" si="241"/>
        <v>0</v>
      </c>
      <c r="V393" s="196">
        <f t="shared" si="241"/>
        <v>0</v>
      </c>
      <c r="W393" s="196">
        <f t="shared" si="241"/>
        <v>0</v>
      </c>
      <c r="X393" s="196">
        <f t="shared" si="241"/>
        <v>0</v>
      </c>
      <c r="Y393" s="196">
        <f t="shared" si="241"/>
        <v>0</v>
      </c>
      <c r="Z393" s="196">
        <f t="shared" si="241"/>
        <v>0</v>
      </c>
      <c r="AA393" s="196">
        <f t="shared" si="241"/>
        <v>0</v>
      </c>
    </row>
    <row r="394" spans="2:27" ht="12.75">
      <c r="B394" s="194" t="s">
        <v>9</v>
      </c>
      <c r="C394" s="196">
        <f>SUM(C395:C401)</f>
        <v>0</v>
      </c>
      <c r="D394" s="146"/>
      <c r="E394" s="120">
        <f t="shared" si="235"/>
        <v>0</v>
      </c>
      <c r="F394" s="100">
        <f t="shared" si="236"/>
        <v>450003</v>
      </c>
      <c r="G394" s="196">
        <f>SUM(G395:G401)</f>
        <v>450003</v>
      </c>
      <c r="H394" s="146">
        <f>G394/G393</f>
        <v>0.4788967569327825</v>
      </c>
      <c r="I394" s="120" t="e">
        <f t="shared" si="237"/>
        <v>#DIV/0!</v>
      </c>
      <c r="J394" s="247">
        <f t="shared" si="238"/>
        <v>-450003</v>
      </c>
      <c r="K394" s="196">
        <f>SUM(K395:K401)</f>
        <v>0</v>
      </c>
      <c r="L394" s="146" t="e">
        <f>K394/K393</f>
        <v>#DIV/0!</v>
      </c>
      <c r="M394" s="120" t="e">
        <f t="shared" si="233"/>
        <v>#DIV/0!</v>
      </c>
      <c r="N394" s="19">
        <f t="shared" si="234"/>
        <v>0</v>
      </c>
      <c r="O394" s="196">
        <f>SUM(O395:O401)</f>
        <v>0</v>
      </c>
      <c r="Q394" s="121" t="e">
        <f t="shared" si="239"/>
        <v>#DIV/0!</v>
      </c>
      <c r="T394" s="196">
        <f aca="true" t="shared" si="242" ref="T394:AA394">SUM(T395:T401)</f>
        <v>0</v>
      </c>
      <c r="U394" s="196">
        <f t="shared" si="242"/>
        <v>0</v>
      </c>
      <c r="V394" s="196">
        <f t="shared" si="242"/>
        <v>0</v>
      </c>
      <c r="W394" s="196">
        <f t="shared" si="242"/>
        <v>0</v>
      </c>
      <c r="X394" s="196">
        <f t="shared" si="242"/>
        <v>0</v>
      </c>
      <c r="Y394" s="196">
        <f t="shared" si="242"/>
        <v>0</v>
      </c>
      <c r="Z394" s="196">
        <f t="shared" si="242"/>
        <v>0</v>
      </c>
      <c r="AA394" s="196">
        <f t="shared" si="242"/>
        <v>0</v>
      </c>
    </row>
    <row r="395" spans="2:27" ht="12.75">
      <c r="B395" s="198" t="s">
        <v>10</v>
      </c>
      <c r="C395" s="220"/>
      <c r="D395" s="146"/>
      <c r="E395" s="120" t="e">
        <f t="shared" si="235"/>
        <v>#DIV/0!</v>
      </c>
      <c r="F395" s="100">
        <f t="shared" si="236"/>
        <v>0</v>
      </c>
      <c r="G395" s="220"/>
      <c r="I395" s="120" t="e">
        <f t="shared" si="237"/>
        <v>#DIV/0!</v>
      </c>
      <c r="J395" s="247">
        <f t="shared" si="238"/>
        <v>0</v>
      </c>
      <c r="K395" s="220"/>
      <c r="M395" s="120" t="e">
        <f t="shared" si="233"/>
        <v>#DIV/0!</v>
      </c>
      <c r="N395" s="19">
        <f t="shared" si="234"/>
        <v>0</v>
      </c>
      <c r="O395" s="220">
        <v>0</v>
      </c>
      <c r="Q395" s="121" t="e">
        <f t="shared" si="239"/>
        <v>#DIV/0!</v>
      </c>
      <c r="T395" s="220"/>
      <c r="U395" s="220"/>
      <c r="V395" s="220"/>
      <c r="W395" s="220"/>
      <c r="X395" s="220"/>
      <c r="Y395" s="220"/>
      <c r="Z395" s="220"/>
      <c r="AA395" s="220"/>
    </row>
    <row r="396" spans="2:27" ht="12.75">
      <c r="B396" s="198" t="s">
        <v>11</v>
      </c>
      <c r="C396" s="220"/>
      <c r="D396" s="146"/>
      <c r="E396" s="120" t="e">
        <f t="shared" si="235"/>
        <v>#DIV/0!</v>
      </c>
      <c r="F396" s="100">
        <f t="shared" si="236"/>
        <v>0</v>
      </c>
      <c r="G396" s="220"/>
      <c r="I396" s="120" t="e">
        <f t="shared" si="237"/>
        <v>#DIV/0!</v>
      </c>
      <c r="J396" s="247">
        <f t="shared" si="238"/>
        <v>0</v>
      </c>
      <c r="K396" s="220"/>
      <c r="M396" s="120" t="e">
        <f t="shared" si="233"/>
        <v>#DIV/0!</v>
      </c>
      <c r="N396" s="19">
        <f t="shared" si="234"/>
        <v>0</v>
      </c>
      <c r="O396" s="220">
        <v>0</v>
      </c>
      <c r="Q396" s="121" t="e">
        <f t="shared" si="239"/>
        <v>#DIV/0!</v>
      </c>
      <c r="T396" s="220"/>
      <c r="U396" s="220"/>
      <c r="V396" s="220"/>
      <c r="W396" s="220"/>
      <c r="X396" s="220"/>
      <c r="Y396" s="220"/>
      <c r="Z396" s="220"/>
      <c r="AA396" s="220"/>
    </row>
    <row r="397" spans="2:27" ht="12.75">
      <c r="B397" s="198" t="s">
        <v>12</v>
      </c>
      <c r="C397" s="220"/>
      <c r="D397" s="146"/>
      <c r="E397" s="120">
        <f t="shared" si="235"/>
        <v>0</v>
      </c>
      <c r="F397" s="100">
        <f t="shared" si="236"/>
        <v>450003</v>
      </c>
      <c r="G397" s="258">
        <v>450003</v>
      </c>
      <c r="H397" s="146">
        <f>G397/G394</f>
        <v>1</v>
      </c>
      <c r="I397" s="120" t="e">
        <f t="shared" si="237"/>
        <v>#DIV/0!</v>
      </c>
      <c r="J397" s="247">
        <f t="shared" si="238"/>
        <v>-450003</v>
      </c>
      <c r="K397" s="220"/>
      <c r="L397" s="146" t="e">
        <f>K397/K394</f>
        <v>#DIV/0!</v>
      </c>
      <c r="M397" s="120" t="e">
        <f t="shared" si="233"/>
        <v>#DIV/0!</v>
      </c>
      <c r="N397" s="19">
        <f t="shared" si="234"/>
        <v>0</v>
      </c>
      <c r="O397" s="220">
        <v>0</v>
      </c>
      <c r="Q397" s="121" t="e">
        <f t="shared" si="239"/>
        <v>#DIV/0!</v>
      </c>
      <c r="T397" s="220"/>
      <c r="U397" s="220"/>
      <c r="V397" s="220"/>
      <c r="W397" s="220"/>
      <c r="X397" s="220"/>
      <c r="Y397" s="220"/>
      <c r="Z397" s="220"/>
      <c r="AA397" s="220"/>
    </row>
    <row r="398" spans="2:27" ht="12.75">
      <c r="B398" s="198" t="s">
        <v>13</v>
      </c>
      <c r="C398" s="220"/>
      <c r="D398" s="146"/>
      <c r="E398" s="120" t="e">
        <f t="shared" si="235"/>
        <v>#DIV/0!</v>
      </c>
      <c r="F398" s="100">
        <f t="shared" si="236"/>
        <v>0</v>
      </c>
      <c r="G398" s="220"/>
      <c r="H398" s="146"/>
      <c r="I398" s="120" t="e">
        <f t="shared" si="237"/>
        <v>#DIV/0!</v>
      </c>
      <c r="J398" s="247">
        <f t="shared" si="238"/>
        <v>0</v>
      </c>
      <c r="K398" s="220"/>
      <c r="L398" s="146"/>
      <c r="M398" s="120" t="e">
        <f t="shared" si="233"/>
        <v>#DIV/0!</v>
      </c>
      <c r="N398" s="19">
        <f t="shared" si="234"/>
        <v>0</v>
      </c>
      <c r="O398" s="220">
        <v>0</v>
      </c>
      <c r="Q398" s="121" t="e">
        <f t="shared" si="239"/>
        <v>#DIV/0!</v>
      </c>
      <c r="T398" s="220"/>
      <c r="U398" s="220"/>
      <c r="V398" s="220"/>
      <c r="W398" s="220"/>
      <c r="X398" s="220"/>
      <c r="Y398" s="220"/>
      <c r="Z398" s="220"/>
      <c r="AA398" s="220"/>
    </row>
    <row r="399" spans="2:27" ht="12.75">
      <c r="B399" s="198" t="s">
        <v>14</v>
      </c>
      <c r="C399" s="220"/>
      <c r="D399" s="146"/>
      <c r="E399" s="120" t="e">
        <f t="shared" si="235"/>
        <v>#DIV/0!</v>
      </c>
      <c r="F399" s="100">
        <f t="shared" si="236"/>
        <v>0</v>
      </c>
      <c r="G399" s="220"/>
      <c r="H399" s="146"/>
      <c r="I399" s="120" t="e">
        <f t="shared" si="237"/>
        <v>#DIV/0!</v>
      </c>
      <c r="J399" s="247">
        <f t="shared" si="238"/>
        <v>0</v>
      </c>
      <c r="K399" s="220"/>
      <c r="L399" s="146"/>
      <c r="M399" s="120" t="e">
        <f t="shared" si="233"/>
        <v>#DIV/0!</v>
      </c>
      <c r="N399" s="19">
        <f t="shared" si="234"/>
        <v>0</v>
      </c>
      <c r="O399" s="220">
        <v>0</v>
      </c>
      <c r="Q399" s="121" t="e">
        <f t="shared" si="239"/>
        <v>#DIV/0!</v>
      </c>
      <c r="T399" s="220"/>
      <c r="U399" s="220"/>
      <c r="V399" s="220"/>
      <c r="W399" s="220"/>
      <c r="X399" s="220"/>
      <c r="Y399" s="220"/>
      <c r="Z399" s="220"/>
      <c r="AA399" s="220"/>
    </row>
    <row r="400" spans="2:27" ht="12.75">
      <c r="B400" s="198" t="s">
        <v>15</v>
      </c>
      <c r="C400" s="220"/>
      <c r="D400" s="146"/>
      <c r="E400" s="120" t="e">
        <f t="shared" si="235"/>
        <v>#DIV/0!</v>
      </c>
      <c r="F400" s="100">
        <f t="shared" si="236"/>
        <v>0</v>
      </c>
      <c r="G400" s="220"/>
      <c r="H400" s="146"/>
      <c r="I400" s="120" t="e">
        <f t="shared" si="237"/>
        <v>#DIV/0!</v>
      </c>
      <c r="J400" s="247">
        <f t="shared" si="238"/>
        <v>0</v>
      </c>
      <c r="K400" s="220"/>
      <c r="L400" s="146"/>
      <c r="M400" s="120" t="e">
        <f t="shared" si="233"/>
        <v>#DIV/0!</v>
      </c>
      <c r="N400" s="19">
        <f t="shared" si="234"/>
        <v>0</v>
      </c>
      <c r="O400" s="220">
        <v>0</v>
      </c>
      <c r="Q400" s="121" t="e">
        <f t="shared" si="239"/>
        <v>#DIV/0!</v>
      </c>
      <c r="T400" s="220"/>
      <c r="U400" s="220"/>
      <c r="V400" s="220"/>
      <c r="W400" s="220"/>
      <c r="X400" s="220"/>
      <c r="Y400" s="220"/>
      <c r="Z400" s="220"/>
      <c r="AA400" s="220"/>
    </row>
    <row r="401" spans="2:27" ht="12.75">
      <c r="B401" s="198" t="s">
        <v>16</v>
      </c>
      <c r="C401" s="220">
        <v>0</v>
      </c>
      <c r="D401" s="146"/>
      <c r="E401" s="120" t="e">
        <f t="shared" si="235"/>
        <v>#DIV/0!</v>
      </c>
      <c r="F401" s="100">
        <f t="shared" si="236"/>
        <v>0</v>
      </c>
      <c r="G401" s="220"/>
      <c r="H401" s="146"/>
      <c r="I401" s="120" t="e">
        <f t="shared" si="237"/>
        <v>#DIV/0!</v>
      </c>
      <c r="J401" s="247">
        <f t="shared" si="238"/>
        <v>0</v>
      </c>
      <c r="K401" s="220"/>
      <c r="L401" s="146"/>
      <c r="M401" s="120" t="e">
        <f t="shared" si="233"/>
        <v>#DIV/0!</v>
      </c>
      <c r="N401" s="19">
        <f t="shared" si="234"/>
        <v>0</v>
      </c>
      <c r="O401" s="220">
        <v>0</v>
      </c>
      <c r="Q401" s="121" t="e">
        <f t="shared" si="239"/>
        <v>#DIV/0!</v>
      </c>
      <c r="T401" s="220"/>
      <c r="U401" s="220"/>
      <c r="V401" s="220"/>
      <c r="W401" s="220"/>
      <c r="X401" s="220"/>
      <c r="Y401" s="220"/>
      <c r="Z401" s="220"/>
      <c r="AA401" s="220"/>
    </row>
    <row r="402" spans="2:27" ht="12.75">
      <c r="B402" s="194" t="s">
        <v>17</v>
      </c>
      <c r="C402" s="220"/>
      <c r="D402" s="146"/>
      <c r="E402" s="120">
        <f t="shared" si="235"/>
        <v>0</v>
      </c>
      <c r="F402" s="100">
        <f t="shared" si="236"/>
        <v>489663</v>
      </c>
      <c r="G402" s="258">
        <v>489663</v>
      </c>
      <c r="H402" s="146">
        <f>G402/G393</f>
        <v>0.5211032430672174</v>
      </c>
      <c r="I402" s="120" t="e">
        <f t="shared" si="237"/>
        <v>#DIV/0!</v>
      </c>
      <c r="J402" s="247">
        <f t="shared" si="238"/>
        <v>-489663</v>
      </c>
      <c r="K402" s="220"/>
      <c r="L402" s="146" t="e">
        <f>K402/K393</f>
        <v>#DIV/0!</v>
      </c>
      <c r="M402" s="120" t="e">
        <f t="shared" si="233"/>
        <v>#DIV/0!</v>
      </c>
      <c r="N402" s="19">
        <f t="shared" si="234"/>
        <v>0</v>
      </c>
      <c r="O402" s="220">
        <v>0</v>
      </c>
      <c r="Q402" s="121" t="e">
        <f t="shared" si="239"/>
        <v>#DIV/0!</v>
      </c>
      <c r="T402" s="220"/>
      <c r="U402" s="220"/>
      <c r="V402" s="220"/>
      <c r="W402" s="220"/>
      <c r="X402" s="220"/>
      <c r="Y402" s="220"/>
      <c r="Z402" s="220"/>
      <c r="AA402" s="220"/>
    </row>
    <row r="403" spans="2:27" ht="12.75">
      <c r="B403" s="194" t="s">
        <v>18</v>
      </c>
      <c r="C403" s="220">
        <v>1050000</v>
      </c>
      <c r="D403" s="146"/>
      <c r="E403" s="120" t="e">
        <f t="shared" si="235"/>
        <v>#DIV/0!</v>
      </c>
      <c r="F403" s="100">
        <f t="shared" si="236"/>
        <v>-1050000</v>
      </c>
      <c r="G403" s="220"/>
      <c r="I403" s="120" t="e">
        <f t="shared" si="237"/>
        <v>#DIV/0!</v>
      </c>
      <c r="J403" s="247">
        <f t="shared" si="238"/>
        <v>0</v>
      </c>
      <c r="K403" s="220"/>
      <c r="M403" s="120" t="e">
        <f t="shared" si="233"/>
        <v>#DIV/0!</v>
      </c>
      <c r="N403" s="19">
        <f t="shared" si="234"/>
        <v>0</v>
      </c>
      <c r="O403" s="220">
        <v>0</v>
      </c>
      <c r="Q403" s="121" t="e">
        <f t="shared" si="239"/>
        <v>#DIV/0!</v>
      </c>
      <c r="T403" s="220"/>
      <c r="U403" s="220"/>
      <c r="V403" s="220"/>
      <c r="W403" s="220"/>
      <c r="X403" s="220"/>
      <c r="Y403" s="220"/>
      <c r="Z403" s="220"/>
      <c r="AA403" s="220"/>
    </row>
    <row r="404" spans="2:27" ht="12.75">
      <c r="B404" s="194" t="s">
        <v>19</v>
      </c>
      <c r="C404" s="196">
        <f>+C405+C406+C411+C412+C413+C414+C415</f>
        <v>557691</v>
      </c>
      <c r="D404" s="249">
        <f>C404/C380</f>
        <v>0.24295296516746687</v>
      </c>
      <c r="E404" s="120">
        <f t="shared" si="235"/>
        <v>3.2842638996036677</v>
      </c>
      <c r="F404" s="100">
        <f t="shared" si="236"/>
        <v>-387884</v>
      </c>
      <c r="G404" s="196">
        <f>+G405+G406+G411+G412+G413+G414+G415</f>
        <v>169807</v>
      </c>
      <c r="H404" s="249">
        <f>G404/G380</f>
        <v>0.03081753107669256</v>
      </c>
      <c r="I404" s="120">
        <f t="shared" si="237"/>
        <v>0.5243843574565362</v>
      </c>
      <c r="J404" s="247">
        <f t="shared" si="238"/>
        <v>154014.635</v>
      </c>
      <c r="K404" s="196">
        <f>+K405+K406+K411+K412+K413+K414+K415</f>
        <v>323821.635</v>
      </c>
      <c r="L404" s="249">
        <f>K404/K380</f>
        <v>0.358814949400466</v>
      </c>
      <c r="M404" s="120">
        <f t="shared" si="233"/>
        <v>-1</v>
      </c>
      <c r="N404" s="19">
        <f t="shared" si="234"/>
        <v>-323821.635</v>
      </c>
      <c r="O404" s="196">
        <f>+O405+O406+O411+O412+O413+O414+O415</f>
        <v>0</v>
      </c>
      <c r="Q404" s="121">
        <f t="shared" si="239"/>
        <v>0.9362160856867346</v>
      </c>
      <c r="T404" s="196">
        <f aca="true" t="shared" si="243" ref="T404:AA404">+T405+T406+T411+T412+T413+T414+T415</f>
        <v>0</v>
      </c>
      <c r="U404" s="196">
        <f t="shared" si="243"/>
        <v>0</v>
      </c>
      <c r="V404" s="196">
        <f t="shared" si="243"/>
        <v>0</v>
      </c>
      <c r="W404" s="196">
        <f t="shared" si="243"/>
        <v>0</v>
      </c>
      <c r="X404" s="196">
        <f t="shared" si="243"/>
        <v>0</v>
      </c>
      <c r="Y404" s="196">
        <f t="shared" si="243"/>
        <v>0</v>
      </c>
      <c r="Z404" s="196">
        <f t="shared" si="243"/>
        <v>0</v>
      </c>
      <c r="AA404" s="196">
        <f t="shared" si="243"/>
        <v>0</v>
      </c>
    </row>
    <row r="405" spans="2:27" ht="12.75">
      <c r="B405" s="194" t="s">
        <v>20</v>
      </c>
      <c r="C405" s="240">
        <v>263754</v>
      </c>
      <c r="D405" s="146">
        <f>C405/C404</f>
        <v>0.47293931585770616</v>
      </c>
      <c r="E405" s="120">
        <f t="shared" si="235"/>
        <v>1.5532575217747207</v>
      </c>
      <c r="F405" s="100">
        <f t="shared" si="236"/>
        <v>-93947</v>
      </c>
      <c r="G405" s="240">
        <v>169807</v>
      </c>
      <c r="H405" s="146">
        <f>G405/G404</f>
        <v>1</v>
      </c>
      <c r="I405" s="120">
        <f t="shared" si="237"/>
        <v>0.5301415838029379</v>
      </c>
      <c r="J405" s="247">
        <f t="shared" si="238"/>
        <v>150498</v>
      </c>
      <c r="K405" s="240">
        <v>320305</v>
      </c>
      <c r="L405" s="146">
        <f>K405/K404</f>
        <v>0.9891402098565774</v>
      </c>
      <c r="M405" s="120">
        <f t="shared" si="233"/>
        <v>-1</v>
      </c>
      <c r="N405" s="19">
        <f t="shared" si="234"/>
        <v>-320305</v>
      </c>
      <c r="O405" s="220">
        <v>0</v>
      </c>
      <c r="Q405" s="121">
        <f t="shared" si="239"/>
        <v>0.36113303519255285</v>
      </c>
      <c r="T405" s="220"/>
      <c r="U405" s="220"/>
      <c r="V405" s="220"/>
      <c r="W405" s="220"/>
      <c r="X405" s="220"/>
      <c r="Y405" s="220"/>
      <c r="Z405" s="220"/>
      <c r="AA405" s="220"/>
    </row>
    <row r="406" spans="2:27" ht="12.75">
      <c r="B406" s="194" t="s">
        <v>21</v>
      </c>
      <c r="C406" s="196">
        <f>SUM(C407:C410)</f>
        <v>0</v>
      </c>
      <c r="D406" s="146"/>
      <c r="E406" s="120" t="e">
        <f t="shared" si="235"/>
        <v>#DIV/0!</v>
      </c>
      <c r="F406" s="100">
        <f t="shared" si="236"/>
        <v>0</v>
      </c>
      <c r="G406" s="196">
        <f>SUM(G407:G410)</f>
        <v>0</v>
      </c>
      <c r="I406" s="120" t="e">
        <f t="shared" si="237"/>
        <v>#DIV/0!</v>
      </c>
      <c r="J406" s="247">
        <f t="shared" si="238"/>
        <v>0</v>
      </c>
      <c r="K406" s="196">
        <f>SUM(K407:K410)</f>
        <v>0</v>
      </c>
      <c r="M406" s="120" t="e">
        <f t="shared" si="233"/>
        <v>#DIV/0!</v>
      </c>
      <c r="N406" s="19">
        <f t="shared" si="234"/>
        <v>0</v>
      </c>
      <c r="O406" s="196">
        <f>SUM(O407:O410)</f>
        <v>0</v>
      </c>
      <c r="Q406" s="121" t="e">
        <f t="shared" si="239"/>
        <v>#DIV/0!</v>
      </c>
      <c r="T406" s="196">
        <f aca="true" t="shared" si="244" ref="T406:AA406">SUM(T407:T410)</f>
        <v>0</v>
      </c>
      <c r="U406" s="196">
        <f t="shared" si="244"/>
        <v>0</v>
      </c>
      <c r="V406" s="196">
        <f t="shared" si="244"/>
        <v>0</v>
      </c>
      <c r="W406" s="196">
        <f t="shared" si="244"/>
        <v>0</v>
      </c>
      <c r="X406" s="196">
        <f t="shared" si="244"/>
        <v>0</v>
      </c>
      <c r="Y406" s="196">
        <f t="shared" si="244"/>
        <v>0</v>
      </c>
      <c r="Z406" s="196">
        <f t="shared" si="244"/>
        <v>0</v>
      </c>
      <c r="AA406" s="196">
        <f t="shared" si="244"/>
        <v>0</v>
      </c>
    </row>
    <row r="407" spans="2:27" ht="12.75">
      <c r="B407" s="198" t="s">
        <v>22</v>
      </c>
      <c r="C407" s="220"/>
      <c r="D407" s="146"/>
      <c r="E407" s="120" t="e">
        <f t="shared" si="235"/>
        <v>#DIV/0!</v>
      </c>
      <c r="F407" s="100">
        <f t="shared" si="236"/>
        <v>0</v>
      </c>
      <c r="G407" s="220"/>
      <c r="I407" s="120" t="e">
        <f t="shared" si="237"/>
        <v>#DIV/0!</v>
      </c>
      <c r="J407" s="247">
        <f t="shared" si="238"/>
        <v>0</v>
      </c>
      <c r="K407" s="220"/>
      <c r="M407" s="120" t="e">
        <f t="shared" si="233"/>
        <v>#DIV/0!</v>
      </c>
      <c r="N407" s="19">
        <f t="shared" si="234"/>
        <v>0</v>
      </c>
      <c r="O407" s="220">
        <v>0</v>
      </c>
      <c r="Q407" s="121" t="e">
        <f t="shared" si="239"/>
        <v>#DIV/0!</v>
      </c>
      <c r="T407" s="220"/>
      <c r="U407" s="220"/>
      <c r="V407" s="220"/>
      <c r="W407" s="220"/>
      <c r="X407" s="220"/>
      <c r="Y407" s="220"/>
      <c r="Z407" s="220"/>
      <c r="AA407" s="220"/>
    </row>
    <row r="408" spans="2:27" ht="12.75">
      <c r="B408" s="198" t="s">
        <v>23</v>
      </c>
      <c r="C408" s="220"/>
      <c r="D408" s="146"/>
      <c r="E408" s="120" t="e">
        <f t="shared" si="235"/>
        <v>#DIV/0!</v>
      </c>
      <c r="F408" s="100">
        <f t="shared" si="236"/>
        <v>0</v>
      </c>
      <c r="G408" s="220"/>
      <c r="I408" s="120" t="e">
        <f t="shared" si="237"/>
        <v>#DIV/0!</v>
      </c>
      <c r="J408" s="247">
        <f t="shared" si="238"/>
        <v>0</v>
      </c>
      <c r="K408" s="220"/>
      <c r="M408" s="120" t="e">
        <f t="shared" si="233"/>
        <v>#DIV/0!</v>
      </c>
      <c r="N408" s="19">
        <f t="shared" si="234"/>
        <v>0</v>
      </c>
      <c r="O408" s="220">
        <v>0</v>
      </c>
      <c r="Q408" s="121" t="e">
        <f t="shared" si="239"/>
        <v>#DIV/0!</v>
      </c>
      <c r="T408" s="220"/>
      <c r="U408" s="220"/>
      <c r="V408" s="220"/>
      <c r="W408" s="220"/>
      <c r="X408" s="220"/>
      <c r="Y408" s="220"/>
      <c r="Z408" s="220"/>
      <c r="AA408" s="220"/>
    </row>
    <row r="409" spans="2:27" ht="12.75">
      <c r="B409" s="198" t="s">
        <v>24</v>
      </c>
      <c r="C409" s="220"/>
      <c r="D409" s="146"/>
      <c r="E409" s="120" t="e">
        <f t="shared" si="235"/>
        <v>#DIV/0!</v>
      </c>
      <c r="F409" s="100">
        <f t="shared" si="236"/>
        <v>0</v>
      </c>
      <c r="G409" s="220"/>
      <c r="I409" s="120" t="e">
        <f t="shared" si="237"/>
        <v>#DIV/0!</v>
      </c>
      <c r="J409" s="247">
        <f t="shared" si="238"/>
        <v>0</v>
      </c>
      <c r="K409" s="220"/>
      <c r="M409" s="120" t="e">
        <f t="shared" si="233"/>
        <v>#DIV/0!</v>
      </c>
      <c r="N409" s="19">
        <f t="shared" si="234"/>
        <v>0</v>
      </c>
      <c r="O409" s="220">
        <v>0</v>
      </c>
      <c r="Q409" s="121" t="e">
        <f t="shared" si="239"/>
        <v>#DIV/0!</v>
      </c>
      <c r="T409" s="220"/>
      <c r="U409" s="220"/>
      <c r="V409" s="220"/>
      <c r="W409" s="220"/>
      <c r="X409" s="220"/>
      <c r="Y409" s="220"/>
      <c r="Z409" s="220"/>
      <c r="AA409" s="220"/>
    </row>
    <row r="410" spans="2:27" ht="12.75">
      <c r="B410" s="198" t="s">
        <v>25</v>
      </c>
      <c r="C410" s="220"/>
      <c r="D410" s="146"/>
      <c r="E410" s="120" t="e">
        <f t="shared" si="235"/>
        <v>#DIV/0!</v>
      </c>
      <c r="F410" s="100">
        <f t="shared" si="236"/>
        <v>0</v>
      </c>
      <c r="G410" s="220"/>
      <c r="I410" s="120" t="e">
        <f t="shared" si="237"/>
        <v>#DIV/0!</v>
      </c>
      <c r="J410" s="247">
        <f t="shared" si="238"/>
        <v>0</v>
      </c>
      <c r="K410" s="220"/>
      <c r="M410" s="120" t="e">
        <f t="shared" si="233"/>
        <v>#DIV/0!</v>
      </c>
      <c r="N410" s="19">
        <f t="shared" si="234"/>
        <v>0</v>
      </c>
      <c r="O410" s="220">
        <v>0</v>
      </c>
      <c r="Q410" s="121" t="e">
        <f t="shared" si="239"/>
        <v>#DIV/0!</v>
      </c>
      <c r="T410" s="220"/>
      <c r="U410" s="220"/>
      <c r="V410" s="220"/>
      <c r="W410" s="220"/>
      <c r="X410" s="220"/>
      <c r="Y410" s="220"/>
      <c r="Z410" s="220"/>
      <c r="AA410" s="220"/>
    </row>
    <row r="411" spans="2:27" ht="12.75">
      <c r="B411" s="194" t="s">
        <v>26</v>
      </c>
      <c r="C411" s="240">
        <v>0</v>
      </c>
      <c r="D411" s="146">
        <f>C411/C404</f>
        <v>0</v>
      </c>
      <c r="E411" s="120" t="e">
        <f t="shared" si="235"/>
        <v>#DIV/0!</v>
      </c>
      <c r="F411" s="100">
        <f t="shared" si="236"/>
        <v>0</v>
      </c>
      <c r="G411" s="240">
        <v>0</v>
      </c>
      <c r="I411" s="120">
        <f t="shared" si="237"/>
        <v>0</v>
      </c>
      <c r="J411" s="247">
        <f t="shared" si="238"/>
        <v>3516.6349999999993</v>
      </c>
      <c r="K411" s="240">
        <v>3516.6349999999993</v>
      </c>
      <c r="M411" s="120">
        <f t="shared" si="233"/>
        <v>-1</v>
      </c>
      <c r="N411" s="19">
        <f t="shared" si="234"/>
        <v>-3516.6349999999993</v>
      </c>
      <c r="O411" s="220">
        <v>0</v>
      </c>
      <c r="Q411" s="121" t="e">
        <f t="shared" si="239"/>
        <v>#DIV/0!</v>
      </c>
      <c r="T411" s="220"/>
      <c r="U411" s="220"/>
      <c r="V411" s="220"/>
      <c r="W411" s="220"/>
      <c r="X411" s="220"/>
      <c r="Y411" s="220"/>
      <c r="Z411" s="220"/>
      <c r="AA411" s="220"/>
    </row>
    <row r="412" spans="2:27" ht="12.75">
      <c r="B412" s="194" t="s">
        <v>27</v>
      </c>
      <c r="C412" s="258">
        <v>0</v>
      </c>
      <c r="D412" s="146"/>
      <c r="E412" s="120" t="e">
        <f t="shared" si="235"/>
        <v>#DIV/0!</v>
      </c>
      <c r="F412" s="100">
        <f t="shared" si="236"/>
        <v>0</v>
      </c>
      <c r="G412" s="258">
        <v>0</v>
      </c>
      <c r="I412" s="120" t="e">
        <f t="shared" si="237"/>
        <v>#DIV/0!</v>
      </c>
      <c r="J412" s="247">
        <f t="shared" si="238"/>
        <v>0</v>
      </c>
      <c r="K412" s="220"/>
      <c r="M412" s="120" t="e">
        <f t="shared" si="233"/>
        <v>#DIV/0!</v>
      </c>
      <c r="N412" s="19">
        <f t="shared" si="234"/>
        <v>0</v>
      </c>
      <c r="O412" s="220">
        <v>0</v>
      </c>
      <c r="Q412" s="121" t="e">
        <f t="shared" si="239"/>
        <v>#DIV/0!</v>
      </c>
      <c r="T412" s="220"/>
      <c r="U412" s="220"/>
      <c r="V412" s="220"/>
      <c r="W412" s="220"/>
      <c r="X412" s="220"/>
      <c r="Y412" s="220"/>
      <c r="Z412" s="220"/>
      <c r="AA412" s="220"/>
    </row>
    <row r="413" spans="2:27" ht="12.75">
      <c r="B413" s="194" t="s">
        <v>28</v>
      </c>
      <c r="C413" s="220"/>
      <c r="D413" s="146"/>
      <c r="E413" s="120" t="e">
        <f t="shared" si="235"/>
        <v>#DIV/0!</v>
      </c>
      <c r="F413" s="100">
        <f t="shared" si="236"/>
        <v>0</v>
      </c>
      <c r="G413" s="220"/>
      <c r="I413" s="120" t="e">
        <f t="shared" si="237"/>
        <v>#DIV/0!</v>
      </c>
      <c r="J413" s="247">
        <f t="shared" si="238"/>
        <v>0</v>
      </c>
      <c r="K413" s="220"/>
      <c r="M413" s="120" t="e">
        <f t="shared" si="233"/>
        <v>#DIV/0!</v>
      </c>
      <c r="N413" s="19">
        <f t="shared" si="234"/>
        <v>0</v>
      </c>
      <c r="O413" s="220">
        <v>0</v>
      </c>
      <c r="Q413" s="121" t="e">
        <f t="shared" si="239"/>
        <v>#DIV/0!</v>
      </c>
      <c r="T413" s="220"/>
      <c r="U413" s="220"/>
      <c r="V413" s="220"/>
      <c r="W413" s="220"/>
      <c r="X413" s="220"/>
      <c r="Y413" s="220"/>
      <c r="Z413" s="220"/>
      <c r="AA413" s="220"/>
    </row>
    <row r="414" spans="2:27" ht="12.75">
      <c r="B414" s="194" t="s">
        <v>29</v>
      </c>
      <c r="C414" s="220"/>
      <c r="D414" s="146"/>
      <c r="E414" s="120" t="e">
        <f t="shared" si="235"/>
        <v>#DIV/0!</v>
      </c>
      <c r="F414" s="100">
        <f t="shared" si="236"/>
        <v>0</v>
      </c>
      <c r="G414" s="220"/>
      <c r="I414" s="120" t="e">
        <f t="shared" si="237"/>
        <v>#DIV/0!</v>
      </c>
      <c r="J414" s="247">
        <f t="shared" si="238"/>
        <v>0</v>
      </c>
      <c r="K414" s="220"/>
      <c r="M414" s="120" t="e">
        <f t="shared" si="233"/>
        <v>#DIV/0!</v>
      </c>
      <c r="N414" s="19">
        <f t="shared" si="234"/>
        <v>0</v>
      </c>
      <c r="O414" s="220">
        <v>0</v>
      </c>
      <c r="Q414" s="121" t="e">
        <f t="shared" si="239"/>
        <v>#DIV/0!</v>
      </c>
      <c r="T414" s="220"/>
      <c r="U414" s="220"/>
      <c r="V414" s="220"/>
      <c r="W414" s="220"/>
      <c r="X414" s="220"/>
      <c r="Y414" s="220"/>
      <c r="Z414" s="220"/>
      <c r="AA414" s="220"/>
    </row>
    <row r="415" spans="2:27" ht="12.75">
      <c r="B415" s="194" t="s">
        <v>30</v>
      </c>
      <c r="C415" s="258">
        <v>293937</v>
      </c>
      <c r="D415" s="146">
        <f>C415/C404</f>
        <v>0.5270606841422939</v>
      </c>
      <c r="E415" s="120" t="e">
        <f t="shared" si="235"/>
        <v>#DIV/0!</v>
      </c>
      <c r="F415" s="100">
        <f t="shared" si="236"/>
        <v>-293937</v>
      </c>
      <c r="G415" s="258">
        <v>0</v>
      </c>
      <c r="H415" s="146">
        <f>G415/G404</f>
        <v>0</v>
      </c>
      <c r="I415" s="120" t="e">
        <f t="shared" si="237"/>
        <v>#DIV/0!</v>
      </c>
      <c r="J415" s="247">
        <f t="shared" si="238"/>
        <v>0</v>
      </c>
      <c r="K415" s="220"/>
      <c r="L415" s="146">
        <f>K415/K404</f>
        <v>0</v>
      </c>
      <c r="M415" s="120" t="e">
        <f t="shared" si="233"/>
        <v>#DIV/0!</v>
      </c>
      <c r="N415" s="19">
        <f t="shared" si="234"/>
        <v>0</v>
      </c>
      <c r="O415" s="220">
        <v>0</v>
      </c>
      <c r="Q415" s="121" t="e">
        <f t="shared" si="239"/>
        <v>#DIV/0!</v>
      </c>
      <c r="T415" s="220"/>
      <c r="U415" s="220"/>
      <c r="V415" s="220"/>
      <c r="W415" s="220"/>
      <c r="X415" s="220"/>
      <c r="Y415" s="220"/>
      <c r="Z415" s="220"/>
      <c r="AA415" s="220"/>
    </row>
    <row r="416" spans="2:27" ht="12.75">
      <c r="B416" s="194" t="s">
        <v>31</v>
      </c>
      <c r="C416" s="240">
        <v>0</v>
      </c>
      <c r="D416" s="249">
        <f>C416/C380</f>
        <v>0</v>
      </c>
      <c r="E416" s="120" t="e">
        <f t="shared" si="235"/>
        <v>#DIV/0!</v>
      </c>
      <c r="F416" s="100">
        <f t="shared" si="236"/>
        <v>0</v>
      </c>
      <c r="G416" s="240">
        <v>0</v>
      </c>
      <c r="I416" s="120">
        <f t="shared" si="237"/>
        <v>0</v>
      </c>
      <c r="J416" s="247">
        <f t="shared" si="238"/>
        <v>377098.14243000007</v>
      </c>
      <c r="K416" s="240">
        <v>377098.14243000007</v>
      </c>
      <c r="M416" s="120">
        <f t="shared" si="233"/>
        <v>-1</v>
      </c>
      <c r="N416" s="19">
        <f t="shared" si="234"/>
        <v>-377098.14243000007</v>
      </c>
      <c r="O416" s="220">
        <v>0</v>
      </c>
      <c r="Q416" s="121" t="e">
        <f t="shared" si="239"/>
        <v>#DIV/0!</v>
      </c>
      <c r="T416" s="220"/>
      <c r="U416" s="220"/>
      <c r="V416" s="220"/>
      <c r="W416" s="220"/>
      <c r="X416" s="220"/>
      <c r="Y416" s="220"/>
      <c r="Z416" s="220"/>
      <c r="AA416" s="220"/>
    </row>
    <row r="417" spans="2:27" ht="12.75">
      <c r="B417" s="194" t="s">
        <v>32</v>
      </c>
      <c r="C417" s="240">
        <v>0</v>
      </c>
      <c r="D417" s="249">
        <f>C417/C380</f>
        <v>0</v>
      </c>
      <c r="E417" s="120" t="e">
        <f t="shared" si="235"/>
        <v>#DIV/0!</v>
      </c>
      <c r="F417" s="100">
        <f t="shared" si="236"/>
        <v>0</v>
      </c>
      <c r="G417" s="240">
        <v>0</v>
      </c>
      <c r="I417" s="120">
        <f t="shared" si="237"/>
        <v>0</v>
      </c>
      <c r="J417" s="247">
        <f t="shared" si="238"/>
        <v>1000</v>
      </c>
      <c r="K417" s="240">
        <v>1000</v>
      </c>
      <c r="M417" s="120">
        <f t="shared" si="233"/>
        <v>-1</v>
      </c>
      <c r="N417" s="19">
        <f t="shared" si="234"/>
        <v>-1000</v>
      </c>
      <c r="O417" s="220">
        <v>0</v>
      </c>
      <c r="Q417" s="121" t="e">
        <f t="shared" si="239"/>
        <v>#DIV/0!</v>
      </c>
      <c r="T417" s="220"/>
      <c r="U417" s="220">
        <v>0</v>
      </c>
      <c r="V417" s="220"/>
      <c r="W417" s="220"/>
      <c r="X417" s="220"/>
      <c r="Y417" s="220"/>
      <c r="Z417" s="220"/>
      <c r="AA417" s="220"/>
    </row>
    <row r="418" spans="2:27" ht="12.75">
      <c r="B418" s="194" t="s">
        <v>33</v>
      </c>
      <c r="C418" s="260">
        <f>SUM(C419:C420)</f>
        <v>393</v>
      </c>
      <c r="D418" s="249">
        <f>C418/C380</f>
        <v>0.0001712068426975054</v>
      </c>
      <c r="E418" s="120" t="e">
        <f t="shared" si="235"/>
        <v>#DIV/0!</v>
      </c>
      <c r="F418" s="100">
        <f t="shared" si="236"/>
        <v>-393</v>
      </c>
      <c r="G418" s="196">
        <f>SUM(G419:G420)</f>
        <v>0</v>
      </c>
      <c r="I418" s="120" t="e">
        <f t="shared" si="237"/>
        <v>#DIV/0!</v>
      </c>
      <c r="J418" s="247">
        <f t="shared" si="238"/>
        <v>0</v>
      </c>
      <c r="K418" s="196">
        <f>SUM(K419:K420)</f>
        <v>0</v>
      </c>
      <c r="M418" s="120" t="e">
        <f t="shared" si="233"/>
        <v>#DIV/0!</v>
      </c>
      <c r="N418" s="19">
        <f t="shared" si="234"/>
        <v>46311</v>
      </c>
      <c r="O418" s="196">
        <f>SUM(O419:O420)</f>
        <v>46311</v>
      </c>
      <c r="Q418" s="121" t="e">
        <f t="shared" si="239"/>
        <v>#DIV/0!</v>
      </c>
      <c r="T418" s="196">
        <f aca="true" t="shared" si="245" ref="T418:AA418">SUM(T419:T420)</f>
        <v>46311</v>
      </c>
      <c r="U418" s="196">
        <f t="shared" si="245"/>
        <v>46311</v>
      </c>
      <c r="V418" s="196">
        <f t="shared" si="245"/>
        <v>46311</v>
      </c>
      <c r="W418" s="196">
        <f t="shared" si="245"/>
        <v>46311</v>
      </c>
      <c r="X418" s="196">
        <f t="shared" si="245"/>
        <v>46311</v>
      </c>
      <c r="Y418" s="196">
        <f t="shared" si="245"/>
        <v>46311</v>
      </c>
      <c r="Z418" s="196">
        <f t="shared" si="245"/>
        <v>46311</v>
      </c>
      <c r="AA418" s="196">
        <f t="shared" si="245"/>
        <v>46311</v>
      </c>
    </row>
    <row r="419" spans="2:27" ht="12.75">
      <c r="B419" s="198" t="s">
        <v>34</v>
      </c>
      <c r="C419" s="261">
        <v>393</v>
      </c>
      <c r="D419" s="146">
        <f>C419/C418</f>
        <v>1</v>
      </c>
      <c r="E419" s="120" t="e">
        <f t="shared" si="235"/>
        <v>#DIV/0!</v>
      </c>
      <c r="F419" s="100">
        <f t="shared" si="236"/>
        <v>-393</v>
      </c>
      <c r="G419" s="220"/>
      <c r="I419" s="120" t="e">
        <f t="shared" si="237"/>
        <v>#DIV/0!</v>
      </c>
      <c r="J419" s="247">
        <f t="shared" si="238"/>
        <v>0</v>
      </c>
      <c r="K419" s="220"/>
      <c r="M419" s="120" t="e">
        <f t="shared" si="233"/>
        <v>#DIV/0!</v>
      </c>
      <c r="N419" s="19">
        <f t="shared" si="234"/>
        <v>0</v>
      </c>
      <c r="O419" s="220">
        <v>0</v>
      </c>
      <c r="Q419" s="121" t="e">
        <f t="shared" si="239"/>
        <v>#DIV/0!</v>
      </c>
      <c r="T419" s="220"/>
      <c r="U419" s="220"/>
      <c r="V419" s="220"/>
      <c r="W419" s="220"/>
      <c r="X419" s="220"/>
      <c r="Y419" s="220"/>
      <c r="Z419" s="220"/>
      <c r="AA419" s="220"/>
    </row>
    <row r="420" spans="2:27" ht="12.75">
      <c r="B420" s="198" t="s">
        <v>35</v>
      </c>
      <c r="C420" s="220"/>
      <c r="D420" s="146"/>
      <c r="E420" s="120" t="e">
        <f t="shared" si="235"/>
        <v>#DIV/0!</v>
      </c>
      <c r="F420" s="100">
        <f t="shared" si="236"/>
        <v>0</v>
      </c>
      <c r="G420" s="220"/>
      <c r="I420" s="120" t="e">
        <f t="shared" si="237"/>
        <v>#DIV/0!</v>
      </c>
      <c r="J420" s="247">
        <f t="shared" si="238"/>
        <v>0</v>
      </c>
      <c r="K420" s="220"/>
      <c r="M420" s="120" t="e">
        <f t="shared" si="233"/>
        <v>#DIV/0!</v>
      </c>
      <c r="N420" s="19">
        <f t="shared" si="234"/>
        <v>46311</v>
      </c>
      <c r="O420" s="220">
        <v>46311</v>
      </c>
      <c r="Q420" s="121" t="e">
        <f t="shared" si="239"/>
        <v>#DIV/0!</v>
      </c>
      <c r="T420" s="220">
        <v>46311</v>
      </c>
      <c r="U420" s="220">
        <v>46311</v>
      </c>
      <c r="V420" s="220">
        <v>46311</v>
      </c>
      <c r="W420" s="220">
        <v>46311</v>
      </c>
      <c r="X420" s="220">
        <v>46311</v>
      </c>
      <c r="Y420" s="220">
        <v>46311</v>
      </c>
      <c r="Z420" s="220">
        <v>46311</v>
      </c>
      <c r="AA420" s="220">
        <v>46311</v>
      </c>
    </row>
    <row r="421" spans="2:27" ht="12.75">
      <c r="B421" s="194" t="s">
        <v>36</v>
      </c>
      <c r="C421" s="197"/>
      <c r="D421" s="249">
        <f>C421/C380</f>
        <v>0</v>
      </c>
      <c r="E421" s="120" t="e">
        <f t="shared" si="235"/>
        <v>#DIV/0!</v>
      </c>
      <c r="F421" s="100">
        <f t="shared" si="236"/>
        <v>0</v>
      </c>
      <c r="G421" s="197"/>
      <c r="I421" s="120" t="e">
        <f t="shared" si="237"/>
        <v>#DIV/0!</v>
      </c>
      <c r="J421" s="247">
        <f t="shared" si="238"/>
        <v>0</v>
      </c>
      <c r="K421" s="197"/>
      <c r="M421" s="120" t="e">
        <f t="shared" si="233"/>
        <v>#DIV/0!</v>
      </c>
      <c r="N421" s="19">
        <f t="shared" si="234"/>
        <v>0</v>
      </c>
      <c r="O421" s="197">
        <v>0</v>
      </c>
      <c r="Q421" s="121" t="e">
        <f t="shared" si="239"/>
        <v>#DIV/0!</v>
      </c>
      <c r="T421" s="197">
        <v>0</v>
      </c>
      <c r="U421" s="197">
        <v>0</v>
      </c>
      <c r="V421" s="197"/>
      <c r="W421" s="197"/>
      <c r="X421" s="197"/>
      <c r="Y421" s="197"/>
      <c r="Z421" s="197"/>
      <c r="AA421" s="197"/>
    </row>
    <row r="422" spans="2:27" ht="12.75">
      <c r="B422" s="194" t="s">
        <v>37</v>
      </c>
      <c r="C422" s="242">
        <v>0</v>
      </c>
      <c r="D422" s="249">
        <f>C422/C380</f>
        <v>0</v>
      </c>
      <c r="E422" s="120" t="e">
        <f t="shared" si="235"/>
        <v>#DIV/0!</v>
      </c>
      <c r="F422" s="100">
        <f t="shared" si="236"/>
        <v>0</v>
      </c>
      <c r="G422" s="242">
        <v>0</v>
      </c>
      <c r="I422" s="120">
        <f t="shared" si="237"/>
        <v>0</v>
      </c>
      <c r="J422" s="247">
        <f t="shared" si="238"/>
        <v>9852.341</v>
      </c>
      <c r="K422" s="242">
        <v>9852.341</v>
      </c>
      <c r="M422" s="120">
        <f t="shared" si="233"/>
        <v>19.172972088562503</v>
      </c>
      <c r="N422" s="19">
        <f t="shared" si="234"/>
        <v>188898.65899999999</v>
      </c>
      <c r="O422" s="197">
        <v>198751</v>
      </c>
      <c r="Q422" s="121" t="e">
        <f t="shared" si="239"/>
        <v>#DIV/0!</v>
      </c>
      <c r="T422" s="197">
        <v>198751</v>
      </c>
      <c r="U422" s="197">
        <v>198751</v>
      </c>
      <c r="V422" s="197">
        <v>198751</v>
      </c>
      <c r="W422" s="197">
        <v>198751</v>
      </c>
      <c r="X422" s="197">
        <v>198751</v>
      </c>
      <c r="Y422" s="197">
        <v>198751</v>
      </c>
      <c r="Z422" s="197">
        <v>198751</v>
      </c>
      <c r="AA422" s="197">
        <v>198751</v>
      </c>
    </row>
    <row r="423" spans="2:27" ht="13.5" thickBot="1">
      <c r="B423" s="243" t="s">
        <v>38</v>
      </c>
      <c r="C423" s="259">
        <v>0</v>
      </c>
      <c r="D423" s="249">
        <f>C423/C380</f>
        <v>0</v>
      </c>
      <c r="E423" s="120">
        <f t="shared" si="235"/>
        <v>0</v>
      </c>
      <c r="F423" s="100">
        <f t="shared" si="236"/>
        <v>947830</v>
      </c>
      <c r="G423" s="259">
        <v>947830</v>
      </c>
      <c r="I423" s="120">
        <f t="shared" si="237"/>
        <v>28.897985595490034</v>
      </c>
      <c r="J423" s="247">
        <f t="shared" si="238"/>
        <v>-915030.828</v>
      </c>
      <c r="K423" s="244">
        <f>23895.172+8904</f>
        <v>32799.172</v>
      </c>
      <c r="M423" s="120">
        <f t="shared" si="233"/>
        <v>-1</v>
      </c>
      <c r="N423" s="19">
        <f t="shared" si="234"/>
        <v>-32799.172</v>
      </c>
      <c r="O423" s="204">
        <v>0</v>
      </c>
      <c r="Q423" s="121">
        <f t="shared" si="239"/>
        <v>9.299328531830012</v>
      </c>
      <c r="T423" s="204">
        <v>0</v>
      </c>
      <c r="U423" s="204">
        <v>0</v>
      </c>
      <c r="V423" s="204"/>
      <c r="W423" s="204"/>
      <c r="X423" s="204"/>
      <c r="Y423" s="204"/>
      <c r="Z423" s="204"/>
      <c r="AA423" s="204"/>
    </row>
    <row r="424" spans="2:12" ht="12.75">
      <c r="B424" s="245">
        <f aca="true" t="shared" si="246" ref="B424:L439">B450</f>
        <v>0</v>
      </c>
      <c r="C424" s="245">
        <f t="shared" si="246"/>
        <v>0</v>
      </c>
      <c r="D424" s="245">
        <f t="shared" si="246"/>
        <v>0</v>
      </c>
      <c r="E424" s="245">
        <f t="shared" si="246"/>
        <v>0</v>
      </c>
      <c r="F424" s="245">
        <f t="shared" si="246"/>
        <v>0</v>
      </c>
      <c r="G424" s="245">
        <f t="shared" si="246"/>
        <v>0</v>
      </c>
      <c r="H424" s="245">
        <f t="shared" si="246"/>
        <v>0</v>
      </c>
      <c r="I424" s="245">
        <f t="shared" si="246"/>
        <v>0</v>
      </c>
      <c r="J424" s="245">
        <f t="shared" si="246"/>
        <v>0</v>
      </c>
      <c r="K424" s="245">
        <f t="shared" si="246"/>
        <v>0</v>
      </c>
      <c r="L424" s="245">
        <f t="shared" si="246"/>
        <v>0</v>
      </c>
    </row>
    <row r="425" spans="2:12" ht="12.75">
      <c r="B425" s="245">
        <f t="shared" si="246"/>
        <v>0</v>
      </c>
      <c r="C425" s="245">
        <f t="shared" si="246"/>
        <v>0</v>
      </c>
      <c r="D425" s="245">
        <f t="shared" si="246"/>
        <v>0</v>
      </c>
      <c r="E425" s="245">
        <f t="shared" si="246"/>
        <v>0</v>
      </c>
      <c r="F425" s="245">
        <f t="shared" si="246"/>
        <v>0</v>
      </c>
      <c r="G425" s="245">
        <f t="shared" si="246"/>
        <v>0</v>
      </c>
      <c r="H425" s="245">
        <f t="shared" si="246"/>
        <v>0</v>
      </c>
      <c r="I425" s="245">
        <f t="shared" si="246"/>
        <v>0</v>
      </c>
      <c r="J425" s="245">
        <f t="shared" si="246"/>
        <v>0</v>
      </c>
      <c r="K425" s="245">
        <f t="shared" si="246"/>
        <v>0</v>
      </c>
      <c r="L425" s="245">
        <f t="shared" si="246"/>
        <v>0</v>
      </c>
    </row>
    <row r="426" spans="2:12" ht="12.75">
      <c r="B426" s="245">
        <f t="shared" si="246"/>
        <v>0</v>
      </c>
      <c r="C426" s="245">
        <f t="shared" si="246"/>
        <v>0</v>
      </c>
      <c r="D426" s="245">
        <f t="shared" si="246"/>
        <v>0</v>
      </c>
      <c r="E426" s="245">
        <f t="shared" si="246"/>
        <v>0</v>
      </c>
      <c r="F426" s="245">
        <f t="shared" si="246"/>
        <v>0</v>
      </c>
      <c r="G426" s="245">
        <f t="shared" si="246"/>
        <v>0</v>
      </c>
      <c r="H426" s="245">
        <f t="shared" si="246"/>
        <v>0</v>
      </c>
      <c r="I426" s="245">
        <f t="shared" si="246"/>
        <v>0</v>
      </c>
      <c r="J426" s="245">
        <f t="shared" si="246"/>
        <v>0</v>
      </c>
      <c r="K426" s="245">
        <f t="shared" si="246"/>
        <v>0</v>
      </c>
      <c r="L426" s="245">
        <f t="shared" si="246"/>
        <v>0</v>
      </c>
    </row>
    <row r="427" spans="2:12" ht="12.75">
      <c r="B427" s="245">
        <f t="shared" si="246"/>
        <v>0</v>
      </c>
      <c r="C427" s="245">
        <f t="shared" si="246"/>
        <v>0</v>
      </c>
      <c r="D427" s="245">
        <f t="shared" si="246"/>
        <v>0</v>
      </c>
      <c r="E427" s="245">
        <f t="shared" si="246"/>
        <v>0</v>
      </c>
      <c r="F427" s="245">
        <f t="shared" si="246"/>
        <v>0</v>
      </c>
      <c r="G427" s="245">
        <f t="shared" si="246"/>
        <v>0</v>
      </c>
      <c r="H427" s="245">
        <f t="shared" si="246"/>
        <v>0</v>
      </c>
      <c r="I427" s="245">
        <f t="shared" si="246"/>
        <v>0</v>
      </c>
      <c r="J427" s="245">
        <f t="shared" si="246"/>
        <v>0</v>
      </c>
      <c r="K427" s="245">
        <f t="shared" si="246"/>
        <v>0</v>
      </c>
      <c r="L427" s="245">
        <f t="shared" si="246"/>
        <v>0</v>
      </c>
    </row>
    <row r="428" spans="2:12" ht="12.75">
      <c r="B428" s="245">
        <f t="shared" si="246"/>
        <v>0</v>
      </c>
      <c r="C428" s="245">
        <f t="shared" si="246"/>
        <v>0</v>
      </c>
      <c r="D428" s="245">
        <f t="shared" si="246"/>
        <v>0</v>
      </c>
      <c r="E428" s="245">
        <f t="shared" si="246"/>
        <v>0</v>
      </c>
      <c r="F428" s="245">
        <f t="shared" si="246"/>
        <v>0</v>
      </c>
      <c r="G428" s="245">
        <f t="shared" si="246"/>
        <v>0</v>
      </c>
      <c r="H428" s="245">
        <f t="shared" si="246"/>
        <v>0</v>
      </c>
      <c r="I428" s="245">
        <f t="shared" si="246"/>
        <v>0</v>
      </c>
      <c r="J428" s="245">
        <f t="shared" si="246"/>
        <v>0</v>
      </c>
      <c r="K428" s="245">
        <f t="shared" si="246"/>
        <v>0</v>
      </c>
      <c r="L428" s="245">
        <f t="shared" si="246"/>
        <v>0</v>
      </c>
    </row>
    <row r="429" spans="2:12" ht="12.75">
      <c r="B429" s="245">
        <f t="shared" si="246"/>
        <v>0</v>
      </c>
      <c r="C429" s="245">
        <f t="shared" si="246"/>
        <v>0</v>
      </c>
      <c r="D429" s="245">
        <f t="shared" si="246"/>
        <v>0</v>
      </c>
      <c r="E429" s="245">
        <f t="shared" si="246"/>
        <v>0</v>
      </c>
      <c r="F429" s="245">
        <f t="shared" si="246"/>
        <v>0</v>
      </c>
      <c r="G429" s="245">
        <f t="shared" si="246"/>
        <v>0</v>
      </c>
      <c r="H429" s="245">
        <f t="shared" si="246"/>
        <v>0</v>
      </c>
      <c r="I429" s="245">
        <f t="shared" si="246"/>
        <v>0</v>
      </c>
      <c r="J429" s="245">
        <f t="shared" si="246"/>
        <v>0</v>
      </c>
      <c r="K429" s="245">
        <f t="shared" si="246"/>
        <v>0</v>
      </c>
      <c r="L429" s="245">
        <f t="shared" si="246"/>
        <v>0</v>
      </c>
    </row>
    <row r="430" spans="2:12" ht="12.75">
      <c r="B430" s="245">
        <f t="shared" si="246"/>
        <v>0</v>
      </c>
      <c r="C430" s="245">
        <f t="shared" si="246"/>
        <v>0</v>
      </c>
      <c r="D430" s="245">
        <f t="shared" si="246"/>
        <v>0</v>
      </c>
      <c r="E430" s="245">
        <f t="shared" si="246"/>
        <v>0</v>
      </c>
      <c r="F430" s="245">
        <f t="shared" si="246"/>
        <v>0</v>
      </c>
      <c r="G430" s="245">
        <f t="shared" si="246"/>
        <v>0</v>
      </c>
      <c r="H430" s="245">
        <f t="shared" si="246"/>
        <v>0</v>
      </c>
      <c r="I430" s="245">
        <f t="shared" si="246"/>
        <v>0</v>
      </c>
      <c r="J430" s="245">
        <f t="shared" si="246"/>
        <v>0</v>
      </c>
      <c r="K430" s="245">
        <f t="shared" si="246"/>
        <v>0</v>
      </c>
      <c r="L430" s="245">
        <f t="shared" si="246"/>
        <v>0</v>
      </c>
    </row>
    <row r="431" spans="2:12" ht="12.75">
      <c r="B431" s="245">
        <f t="shared" si="246"/>
        <v>0</v>
      </c>
      <c r="C431" s="245">
        <f t="shared" si="246"/>
        <v>0</v>
      </c>
      <c r="D431" s="245">
        <f t="shared" si="246"/>
        <v>0</v>
      </c>
      <c r="E431" s="245">
        <f t="shared" si="246"/>
        <v>0</v>
      </c>
      <c r="F431" s="245">
        <f t="shared" si="246"/>
        <v>0</v>
      </c>
      <c r="G431" s="245">
        <f t="shared" si="246"/>
        <v>0</v>
      </c>
      <c r="H431" s="245">
        <f t="shared" si="246"/>
        <v>0</v>
      </c>
      <c r="I431" s="245">
        <f t="shared" si="246"/>
        <v>0</v>
      </c>
      <c r="J431" s="245">
        <f t="shared" si="246"/>
        <v>0</v>
      </c>
      <c r="K431" s="245">
        <f t="shared" si="246"/>
        <v>0</v>
      </c>
      <c r="L431" s="245">
        <f t="shared" si="246"/>
        <v>0</v>
      </c>
    </row>
    <row r="432" spans="2:12" ht="12.75">
      <c r="B432" s="245">
        <f t="shared" si="246"/>
        <v>0</v>
      </c>
      <c r="C432" s="245">
        <f t="shared" si="246"/>
        <v>0</v>
      </c>
      <c r="D432" s="245">
        <f t="shared" si="246"/>
        <v>0</v>
      </c>
      <c r="E432" s="245">
        <f t="shared" si="246"/>
        <v>0</v>
      </c>
      <c r="F432" s="245">
        <f t="shared" si="246"/>
        <v>0</v>
      </c>
      <c r="G432" s="245">
        <f t="shared" si="246"/>
        <v>0</v>
      </c>
      <c r="H432" s="245">
        <f t="shared" si="246"/>
        <v>0</v>
      </c>
      <c r="I432" s="245">
        <f t="shared" si="246"/>
        <v>0</v>
      </c>
      <c r="J432" s="245">
        <f t="shared" si="246"/>
        <v>0</v>
      </c>
      <c r="K432" s="245">
        <f t="shared" si="246"/>
        <v>0</v>
      </c>
      <c r="L432" s="245">
        <f t="shared" si="246"/>
        <v>0</v>
      </c>
    </row>
    <row r="433" spans="2:12" ht="12.75">
      <c r="B433" s="245">
        <f t="shared" si="246"/>
        <v>0</v>
      </c>
      <c r="C433" s="245">
        <f t="shared" si="246"/>
        <v>0</v>
      </c>
      <c r="D433" s="245">
        <f t="shared" si="246"/>
        <v>0</v>
      </c>
      <c r="E433" s="245">
        <f t="shared" si="246"/>
        <v>0</v>
      </c>
      <c r="F433" s="245">
        <f t="shared" si="246"/>
        <v>0</v>
      </c>
      <c r="G433" s="245">
        <f t="shared" si="246"/>
        <v>0</v>
      </c>
      <c r="H433" s="245">
        <f t="shared" si="246"/>
        <v>0</v>
      </c>
      <c r="I433" s="245">
        <f t="shared" si="246"/>
        <v>0</v>
      </c>
      <c r="J433" s="245">
        <f t="shared" si="246"/>
        <v>0</v>
      </c>
      <c r="K433" s="245">
        <f t="shared" si="246"/>
        <v>0</v>
      </c>
      <c r="L433" s="245">
        <f t="shared" si="246"/>
        <v>0</v>
      </c>
    </row>
    <row r="434" spans="2:12" ht="12.75">
      <c r="B434" s="245">
        <f t="shared" si="246"/>
        <v>0</v>
      </c>
      <c r="C434" s="245">
        <f t="shared" si="246"/>
        <v>0</v>
      </c>
      <c r="D434" s="245">
        <f t="shared" si="246"/>
        <v>0</v>
      </c>
      <c r="E434" s="245">
        <f t="shared" si="246"/>
        <v>0</v>
      </c>
      <c r="F434" s="245">
        <f t="shared" si="246"/>
        <v>0</v>
      </c>
      <c r="G434" s="245">
        <f t="shared" si="246"/>
        <v>0</v>
      </c>
      <c r="H434" s="245">
        <f t="shared" si="246"/>
        <v>0</v>
      </c>
      <c r="I434" s="245">
        <f t="shared" si="246"/>
        <v>0</v>
      </c>
      <c r="J434" s="245">
        <f t="shared" si="246"/>
        <v>0</v>
      </c>
      <c r="K434" s="245">
        <f t="shared" si="246"/>
        <v>0</v>
      </c>
      <c r="L434" s="245">
        <f t="shared" si="246"/>
        <v>0</v>
      </c>
    </row>
    <row r="435" spans="2:12" ht="12.75">
      <c r="B435" s="245">
        <f t="shared" si="246"/>
        <v>0</v>
      </c>
      <c r="C435" s="245">
        <f t="shared" si="246"/>
        <v>0</v>
      </c>
      <c r="D435" s="245">
        <f t="shared" si="246"/>
        <v>0</v>
      </c>
      <c r="E435" s="245">
        <f t="shared" si="246"/>
        <v>0</v>
      </c>
      <c r="F435" s="245">
        <f t="shared" si="246"/>
        <v>0</v>
      </c>
      <c r="G435" s="245">
        <f t="shared" si="246"/>
        <v>0</v>
      </c>
      <c r="H435" s="245">
        <f t="shared" si="246"/>
        <v>0</v>
      </c>
      <c r="I435" s="245">
        <f t="shared" si="246"/>
        <v>0</v>
      </c>
      <c r="J435" s="245">
        <f t="shared" si="246"/>
        <v>0</v>
      </c>
      <c r="K435" s="245">
        <f t="shared" si="246"/>
        <v>0</v>
      </c>
      <c r="L435" s="245">
        <f t="shared" si="246"/>
        <v>0</v>
      </c>
    </row>
    <row r="436" spans="2:12" ht="12.75">
      <c r="B436" s="245">
        <f t="shared" si="246"/>
        <v>0</v>
      </c>
      <c r="C436" s="245">
        <f t="shared" si="246"/>
        <v>0</v>
      </c>
      <c r="D436" s="245">
        <f t="shared" si="246"/>
        <v>0</v>
      </c>
      <c r="E436" s="245">
        <f t="shared" si="246"/>
        <v>0</v>
      </c>
      <c r="F436" s="245">
        <f t="shared" si="246"/>
        <v>0</v>
      </c>
      <c r="G436" s="245">
        <f t="shared" si="246"/>
        <v>0</v>
      </c>
      <c r="H436" s="245">
        <f t="shared" si="246"/>
        <v>0</v>
      </c>
      <c r="I436" s="245">
        <f t="shared" si="246"/>
        <v>0</v>
      </c>
      <c r="J436" s="245">
        <f t="shared" si="246"/>
        <v>0</v>
      </c>
      <c r="K436" s="245">
        <f t="shared" si="246"/>
        <v>0</v>
      </c>
      <c r="L436" s="245">
        <f t="shared" si="246"/>
        <v>0</v>
      </c>
    </row>
    <row r="437" spans="2:12" ht="12.75">
      <c r="B437" s="245">
        <f t="shared" si="246"/>
        <v>0</v>
      </c>
      <c r="C437" s="245">
        <f t="shared" si="246"/>
        <v>0</v>
      </c>
      <c r="D437" s="245">
        <f t="shared" si="246"/>
        <v>0</v>
      </c>
      <c r="E437" s="245">
        <f t="shared" si="246"/>
        <v>0</v>
      </c>
      <c r="F437" s="245">
        <f t="shared" si="246"/>
        <v>0</v>
      </c>
      <c r="G437" s="245">
        <f t="shared" si="246"/>
        <v>0</v>
      </c>
      <c r="H437" s="245">
        <f t="shared" si="246"/>
        <v>0</v>
      </c>
      <c r="I437" s="245">
        <f t="shared" si="246"/>
        <v>0</v>
      </c>
      <c r="J437" s="245">
        <f t="shared" si="246"/>
        <v>0</v>
      </c>
      <c r="K437" s="245">
        <f t="shared" si="246"/>
        <v>0</v>
      </c>
      <c r="L437" s="245">
        <f t="shared" si="246"/>
        <v>0</v>
      </c>
    </row>
    <row r="438" spans="2:12" ht="12.75">
      <c r="B438" s="245">
        <f t="shared" si="246"/>
        <v>0</v>
      </c>
      <c r="C438" s="245">
        <f t="shared" si="246"/>
        <v>0</v>
      </c>
      <c r="D438" s="245">
        <f t="shared" si="246"/>
        <v>0</v>
      </c>
      <c r="E438" s="245">
        <f t="shared" si="246"/>
        <v>0</v>
      </c>
      <c r="F438" s="245">
        <f t="shared" si="246"/>
        <v>0</v>
      </c>
      <c r="G438" s="245">
        <f t="shared" si="246"/>
        <v>0</v>
      </c>
      <c r="H438" s="245">
        <f t="shared" si="246"/>
        <v>0</v>
      </c>
      <c r="I438" s="245">
        <f t="shared" si="246"/>
        <v>0</v>
      </c>
      <c r="J438" s="245">
        <f t="shared" si="246"/>
        <v>0</v>
      </c>
      <c r="K438" s="245">
        <f t="shared" si="246"/>
        <v>0</v>
      </c>
      <c r="L438" s="245">
        <f t="shared" si="246"/>
        <v>0</v>
      </c>
    </row>
    <row r="439" spans="2:12" ht="12.75">
      <c r="B439" s="245">
        <f t="shared" si="246"/>
        <v>0</v>
      </c>
      <c r="C439" s="245">
        <f t="shared" si="246"/>
        <v>0</v>
      </c>
      <c r="D439" s="245">
        <f t="shared" si="246"/>
        <v>0</v>
      </c>
      <c r="E439" s="245">
        <f t="shared" si="246"/>
        <v>0</v>
      </c>
      <c r="F439" s="245">
        <f t="shared" si="246"/>
        <v>0</v>
      </c>
      <c r="G439" s="245">
        <f t="shared" si="246"/>
        <v>0</v>
      </c>
      <c r="H439" s="245">
        <f t="shared" si="246"/>
        <v>0</v>
      </c>
      <c r="I439" s="245">
        <f t="shared" si="246"/>
        <v>0</v>
      </c>
      <c r="J439" s="245">
        <f t="shared" si="246"/>
        <v>0</v>
      </c>
      <c r="K439" s="245">
        <f t="shared" si="246"/>
        <v>0</v>
      </c>
      <c r="L439" s="245">
        <f t="shared" si="246"/>
        <v>0</v>
      </c>
    </row>
    <row r="440" spans="2:12" ht="12.75">
      <c r="B440" s="245">
        <f aca="true" t="shared" si="247" ref="B440:L442">B466</f>
        <v>0</v>
      </c>
      <c r="C440" s="245">
        <f t="shared" si="247"/>
        <v>0</v>
      </c>
      <c r="D440" s="245">
        <f t="shared" si="247"/>
        <v>0</v>
      </c>
      <c r="E440" s="245">
        <f t="shared" si="247"/>
        <v>0</v>
      </c>
      <c r="F440" s="245">
        <f t="shared" si="247"/>
        <v>0</v>
      </c>
      <c r="G440" s="245">
        <f t="shared" si="247"/>
        <v>0</v>
      </c>
      <c r="H440" s="245">
        <f t="shared" si="247"/>
        <v>0</v>
      </c>
      <c r="I440" s="245">
        <f t="shared" si="247"/>
        <v>0</v>
      </c>
      <c r="J440" s="245">
        <f t="shared" si="247"/>
        <v>0</v>
      </c>
      <c r="K440" s="245">
        <f t="shared" si="247"/>
        <v>0</v>
      </c>
      <c r="L440" s="245">
        <f t="shared" si="247"/>
        <v>0</v>
      </c>
    </row>
    <row r="441" spans="2:12" ht="12.75">
      <c r="B441" s="245">
        <f t="shared" si="247"/>
        <v>0</v>
      </c>
      <c r="C441" s="245">
        <f t="shared" si="247"/>
        <v>0</v>
      </c>
      <c r="D441" s="245">
        <f t="shared" si="247"/>
        <v>0</v>
      </c>
      <c r="E441" s="245">
        <f t="shared" si="247"/>
        <v>0</v>
      </c>
      <c r="F441" s="245">
        <f t="shared" si="247"/>
        <v>0</v>
      </c>
      <c r="G441" s="245">
        <f t="shared" si="247"/>
        <v>0</v>
      </c>
      <c r="H441" s="245">
        <f t="shared" si="247"/>
        <v>0</v>
      </c>
      <c r="I441" s="245">
        <f t="shared" si="247"/>
        <v>0</v>
      </c>
      <c r="J441" s="245">
        <f t="shared" si="247"/>
        <v>0</v>
      </c>
      <c r="K441" s="245">
        <f t="shared" si="247"/>
        <v>0</v>
      </c>
      <c r="L441" s="245">
        <f t="shared" si="247"/>
        <v>0</v>
      </c>
    </row>
    <row r="442" spans="2:12" ht="12.75">
      <c r="B442" s="245">
        <f t="shared" si="247"/>
        <v>0</v>
      </c>
      <c r="C442" s="245">
        <f t="shared" si="247"/>
        <v>0</v>
      </c>
      <c r="D442" s="245">
        <f t="shared" si="247"/>
        <v>0</v>
      </c>
      <c r="E442" s="245">
        <f t="shared" si="247"/>
        <v>0</v>
      </c>
      <c r="F442" s="245">
        <f t="shared" si="247"/>
        <v>0</v>
      </c>
      <c r="G442" s="245">
        <f t="shared" si="247"/>
        <v>0</v>
      </c>
      <c r="H442" s="245">
        <f t="shared" si="247"/>
        <v>0</v>
      </c>
      <c r="I442" s="245">
        <f t="shared" si="247"/>
        <v>0</v>
      </c>
      <c r="J442" s="245">
        <f t="shared" si="247"/>
        <v>0</v>
      </c>
      <c r="K442" s="245">
        <f t="shared" si="247"/>
        <v>0</v>
      </c>
      <c r="L442" s="245">
        <f t="shared" si="247"/>
        <v>0</v>
      </c>
    </row>
    <row r="443" spans="2:12" ht="12.75">
      <c r="B443" s="210"/>
      <c r="C443" s="210"/>
      <c r="D443" s="210"/>
      <c r="E443" s="210"/>
      <c r="F443" s="210"/>
      <c r="G443" s="210"/>
      <c r="H443" s="246"/>
      <c r="I443" s="210"/>
      <c r="J443" s="210"/>
      <c r="K443" s="210"/>
      <c r="L443" s="210"/>
    </row>
  </sheetData>
  <mergeCells count="6">
    <mergeCell ref="M2:N2"/>
    <mergeCell ref="I2:J2"/>
    <mergeCell ref="A317:B317"/>
    <mergeCell ref="C1:C3"/>
    <mergeCell ref="G1:G3"/>
    <mergeCell ref="E2:F2"/>
  </mergeCells>
  <printOptions/>
  <pageMargins left="0.75" right="0.75" top="1" bottom="1" header="0" footer="0"/>
  <pageSetup orientation="portrait" r:id="rId4"/>
  <legacyDrawing r:id="rId3"/>
  <oleObjects>
    <oleObject progId="PBrush" shapeId="21216" r:id="rId1"/>
    <oleObject progId="PBrush" shapeId="212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Z702"/>
  <sheetViews>
    <sheetView tabSelected="1" workbookViewId="0" topLeftCell="A1">
      <pane xSplit="1" ySplit="2" topLeftCell="N463" activePane="bottomRight" state="frozen"/>
      <selection pane="topLeft" activeCell="S6" sqref="S6"/>
      <selection pane="topRight" activeCell="S6" sqref="S6"/>
      <selection pane="bottomLeft" activeCell="S6" sqref="S6"/>
      <selection pane="bottomRight" activeCell="S469" sqref="S469"/>
    </sheetView>
  </sheetViews>
  <sheetFormatPr defaultColWidth="11.421875" defaultRowHeight="12.75"/>
  <cols>
    <col min="1" max="1" width="33.00390625" style="0" customWidth="1"/>
    <col min="4" max="4" width="11.7109375" style="0" customWidth="1"/>
    <col min="5" max="5" width="12.00390625" style="0" customWidth="1"/>
    <col min="6" max="6" width="13.8515625" style="0" customWidth="1"/>
    <col min="7" max="7" width="11.8515625" style="0" customWidth="1"/>
    <col min="8" max="8" width="12.00390625" style="0" customWidth="1"/>
    <col min="9" max="9" width="11.7109375" style="0" customWidth="1"/>
    <col min="10" max="10" width="12.00390625" style="0" customWidth="1"/>
    <col min="11" max="11" width="13.8515625" style="0" customWidth="1"/>
    <col min="12" max="12" width="10.28125" style="0" customWidth="1"/>
    <col min="13" max="13" width="11.8515625" style="0" customWidth="1"/>
    <col min="14" max="14" width="14.7109375" style="0" customWidth="1"/>
    <col min="15" max="15" width="7.57421875" style="0" customWidth="1"/>
    <col min="16" max="16" width="8.57421875" style="0" customWidth="1"/>
    <col min="17" max="17" width="10.28125" style="0" customWidth="1"/>
    <col min="18" max="18" width="13.140625" style="0" customWidth="1"/>
    <col min="19" max="19" width="13.57421875" style="0" customWidth="1"/>
    <col min="20" max="20" width="12.421875" style="0" customWidth="1"/>
    <col min="21" max="22" width="12.7109375" style="0" customWidth="1"/>
    <col min="23" max="23" width="12.421875" style="0" customWidth="1"/>
    <col min="24" max="24" width="12.140625" style="0" customWidth="1"/>
    <col min="25" max="25" width="13.421875" style="0" customWidth="1"/>
    <col min="26" max="26" width="13.57421875" style="0" customWidth="1"/>
  </cols>
  <sheetData>
    <row r="2" spans="1:26" ht="12.75">
      <c r="A2" s="74" t="s">
        <v>693</v>
      </c>
      <c r="B2" s="99">
        <v>2002</v>
      </c>
      <c r="C2" s="75"/>
      <c r="D2" s="75" t="s">
        <v>694</v>
      </c>
      <c r="E2" s="75" t="s">
        <v>695</v>
      </c>
      <c r="F2" s="109">
        <v>2003</v>
      </c>
      <c r="G2" s="269" t="s">
        <v>694</v>
      </c>
      <c r="H2" s="268">
        <v>2004</v>
      </c>
      <c r="I2" s="75" t="s">
        <v>694</v>
      </c>
      <c r="J2" s="75" t="s">
        <v>695</v>
      </c>
      <c r="K2" s="76">
        <v>2004</v>
      </c>
      <c r="L2" s="76" t="s">
        <v>694</v>
      </c>
      <c r="M2" s="76" t="s">
        <v>695</v>
      </c>
      <c r="N2" s="76">
        <v>2005</v>
      </c>
      <c r="R2" s="76">
        <v>2006</v>
      </c>
      <c r="S2" s="76">
        <v>2007</v>
      </c>
      <c r="T2" s="191">
        <v>2008</v>
      </c>
      <c r="U2" s="76">
        <v>2009</v>
      </c>
      <c r="V2" s="76">
        <v>2010</v>
      </c>
      <c r="W2" s="76">
        <v>2011</v>
      </c>
      <c r="X2" s="76">
        <v>2012</v>
      </c>
      <c r="Y2" s="76">
        <v>2013</v>
      </c>
      <c r="Z2" s="76">
        <v>2005</v>
      </c>
    </row>
    <row r="3" spans="1:26" ht="12.75">
      <c r="A3" s="77" t="s">
        <v>696</v>
      </c>
      <c r="B3" s="32">
        <v>14132244.936</v>
      </c>
      <c r="C3" s="78"/>
      <c r="D3" s="111">
        <f aca="true" t="shared" si="0" ref="D3:D11">F3/B3-1</f>
        <v>0.14848058440062117</v>
      </c>
      <c r="E3" s="30">
        <v>0</v>
      </c>
      <c r="F3" s="80">
        <f>+F6+F10+F13+F468</f>
        <v>16230608.92299</v>
      </c>
      <c r="G3" s="270">
        <f>H3/F3-1</f>
        <v>-0.32497375471346934</v>
      </c>
      <c r="H3" s="267">
        <v>10956087</v>
      </c>
      <c r="I3" s="111">
        <f aca="true" t="shared" si="1" ref="I3:I11">K3/F3-1</f>
        <v>0.10956397787954364</v>
      </c>
      <c r="J3" s="30">
        <v>0</v>
      </c>
      <c r="K3" s="80">
        <f>+K6+K10+K13+K468</f>
        <v>18008899</v>
      </c>
      <c r="L3" s="142">
        <f>N3/K3-1</f>
        <v>0.18774767963327466</v>
      </c>
      <c r="M3" s="143">
        <f>N3-K3</f>
        <v>3381129</v>
      </c>
      <c r="N3" s="80">
        <f>+N6+N10+N13+N468</f>
        <v>21390028</v>
      </c>
      <c r="O3" s="146">
        <f aca="true" t="shared" si="2" ref="O3:O17">(D3+I3+L3)/3</f>
        <v>0.14859741397114648</v>
      </c>
      <c r="P3" s="146"/>
      <c r="R3" s="187">
        <f>+R6+R10+R13+R468</f>
        <v>22664514.279999997</v>
      </c>
      <c r="S3" s="187">
        <f aca="true" t="shared" si="3" ref="S3:Z3">+S6+S10+S13+S468</f>
        <v>24157022.081699997</v>
      </c>
      <c r="T3" s="187">
        <f t="shared" si="3"/>
        <v>26306652.2691095</v>
      </c>
      <c r="U3" s="187">
        <f t="shared" si="3"/>
        <v>28713602.503384694</v>
      </c>
      <c r="V3" s="187">
        <f t="shared" si="3"/>
        <v>31353284.02844403</v>
      </c>
      <c r="W3" s="187">
        <f t="shared" si="3"/>
        <v>34250182.76557988</v>
      </c>
      <c r="X3" s="187">
        <f t="shared" si="3"/>
        <v>37430745.07500015</v>
      </c>
      <c r="Y3" s="223">
        <f t="shared" si="3"/>
        <v>40924598.537135564</v>
      </c>
      <c r="Z3" s="187">
        <f t="shared" si="3"/>
        <v>44469365.57502867</v>
      </c>
    </row>
    <row r="4" spans="1:26" ht="12.75">
      <c r="A4" s="81"/>
      <c r="B4" s="30"/>
      <c r="C4" s="78"/>
      <c r="D4" s="111" t="e">
        <f t="shared" si="0"/>
        <v>#DIV/0!</v>
      </c>
      <c r="E4" s="30">
        <f aca="true" t="shared" si="4" ref="E4:E70">F4-B4</f>
        <v>0</v>
      </c>
      <c r="F4" s="104"/>
      <c r="G4" s="270" t="e">
        <f aca="true" t="shared" si="5" ref="G4:G67">H4/F4-1</f>
        <v>#DIV/0!</v>
      </c>
      <c r="H4" s="267"/>
      <c r="I4" s="111" t="e">
        <f t="shared" si="1"/>
        <v>#DIV/0!</v>
      </c>
      <c r="J4" s="30">
        <f>K4-F4</f>
        <v>0</v>
      </c>
      <c r="K4" s="82"/>
      <c r="L4" s="142" t="e">
        <f>N4/K4-1</f>
        <v>#DIV/0!</v>
      </c>
      <c r="M4" s="143">
        <f>N4-K4</f>
        <v>0</v>
      </c>
      <c r="N4" s="100"/>
      <c r="O4" s="146" t="e">
        <f t="shared" si="2"/>
        <v>#DIV/0!</v>
      </c>
      <c r="P4" s="146"/>
      <c r="R4" s="188"/>
      <c r="S4" s="147"/>
      <c r="T4" s="147"/>
      <c r="U4" s="147"/>
      <c r="V4" s="147"/>
      <c r="W4" s="147"/>
      <c r="X4" s="147"/>
      <c r="Y4" s="147"/>
      <c r="Z4" s="147"/>
    </row>
    <row r="5" spans="1:26" ht="12.75">
      <c r="A5" s="83" t="s">
        <v>697</v>
      </c>
      <c r="B5" s="30"/>
      <c r="C5" s="78"/>
      <c r="D5" s="111" t="e">
        <f t="shared" si="0"/>
        <v>#DIV/0!</v>
      </c>
      <c r="E5" s="30">
        <f t="shared" si="4"/>
        <v>0</v>
      </c>
      <c r="F5" s="104"/>
      <c r="G5" s="270" t="e">
        <f t="shared" si="5"/>
        <v>#DIV/0!</v>
      </c>
      <c r="H5" s="267"/>
      <c r="I5" s="111" t="e">
        <f t="shared" si="1"/>
        <v>#DIV/0!</v>
      </c>
      <c r="J5" s="30">
        <v>0</v>
      </c>
      <c r="K5" s="82"/>
      <c r="L5" s="142" t="e">
        <f>N5/K5-1</f>
        <v>#DIV/0!</v>
      </c>
      <c r="M5" s="143">
        <f>N5-K5</f>
        <v>0</v>
      </c>
      <c r="N5" s="100"/>
      <c r="O5" s="146" t="e">
        <f t="shared" si="2"/>
        <v>#DIV/0!</v>
      </c>
      <c r="P5" s="146"/>
      <c r="R5" s="188"/>
      <c r="S5" s="147"/>
      <c r="T5" s="147"/>
      <c r="U5" s="147"/>
      <c r="V5" s="147"/>
      <c r="W5" s="147"/>
      <c r="X5" s="147"/>
      <c r="Y5" s="147"/>
      <c r="Z5" s="147"/>
    </row>
    <row r="6" spans="1:26" ht="12.75">
      <c r="A6" s="83" t="s">
        <v>698</v>
      </c>
      <c r="B6" s="30"/>
      <c r="C6" s="78"/>
      <c r="D6" s="111" t="e">
        <f t="shared" si="0"/>
        <v>#DIV/0!</v>
      </c>
      <c r="E6" s="30">
        <f t="shared" si="4"/>
        <v>194618.326</v>
      </c>
      <c r="F6" s="80">
        <f>F7</f>
        <v>194618.326</v>
      </c>
      <c r="G6" s="270">
        <f t="shared" si="5"/>
        <v>0.03100259941604877</v>
      </c>
      <c r="H6" s="267">
        <v>200652</v>
      </c>
      <c r="I6" s="111">
        <f t="shared" si="1"/>
        <v>0.03100259941604877</v>
      </c>
      <c r="J6" s="30">
        <f aca="true" t="shared" si="6" ref="J6:J72">K6-F6</f>
        <v>6033.673999999999</v>
      </c>
      <c r="K6" s="80">
        <f>K7</f>
        <v>200652</v>
      </c>
      <c r="L6" s="142">
        <f>N6/K6-1</f>
        <v>0.2363245818631261</v>
      </c>
      <c r="M6" s="143">
        <f>N6-K6</f>
        <v>47419</v>
      </c>
      <c r="N6" s="80">
        <f>N7</f>
        <v>248071</v>
      </c>
      <c r="O6" s="146" t="e">
        <f t="shared" si="2"/>
        <v>#DIV/0!</v>
      </c>
      <c r="P6" s="146"/>
      <c r="R6" s="187">
        <f aca="true" t="shared" si="7" ref="R6:Z6">R7</f>
        <v>266676.325</v>
      </c>
      <c r="S6" s="187">
        <f t="shared" si="7"/>
        <v>286677.049375</v>
      </c>
      <c r="T6" s="187">
        <f t="shared" si="7"/>
        <v>308177.828078125</v>
      </c>
      <c r="U6" s="187">
        <f t="shared" si="7"/>
        <v>331291.1651839844</v>
      </c>
      <c r="V6" s="187">
        <f t="shared" si="7"/>
        <v>356138.0025727832</v>
      </c>
      <c r="W6" s="187">
        <f t="shared" si="7"/>
        <v>382848.35276574193</v>
      </c>
      <c r="X6" s="187">
        <f t="shared" si="7"/>
        <v>411561.9792231726</v>
      </c>
      <c r="Y6" s="187">
        <f t="shared" si="7"/>
        <v>442429.1276649105</v>
      </c>
      <c r="Z6" s="187">
        <f t="shared" si="7"/>
        <v>248071</v>
      </c>
    </row>
    <row r="7" spans="1:26" ht="12.75">
      <c r="A7" s="83" t="s">
        <v>699</v>
      </c>
      <c r="B7" s="30"/>
      <c r="C7" s="78"/>
      <c r="D7" s="111" t="e">
        <f t="shared" si="0"/>
        <v>#DIV/0!</v>
      </c>
      <c r="E7" s="30">
        <f t="shared" si="4"/>
        <v>194618.326</v>
      </c>
      <c r="F7" s="105">
        <v>194618.326</v>
      </c>
      <c r="G7" s="270">
        <f t="shared" si="5"/>
        <v>0.03100259941604877</v>
      </c>
      <c r="H7" s="267">
        <v>200652</v>
      </c>
      <c r="I7" s="111">
        <f t="shared" si="1"/>
        <v>0.03100259941604877</v>
      </c>
      <c r="J7" s="30">
        <f t="shared" si="6"/>
        <v>6033.673999999999</v>
      </c>
      <c r="K7" s="82">
        <v>200652</v>
      </c>
      <c r="L7" s="142">
        <f>N7/K7-1</f>
        <v>0.2363245818631261</v>
      </c>
      <c r="M7" s="143">
        <f>N7-K7</f>
        <v>47419</v>
      </c>
      <c r="N7" s="177">
        <f>45068+122642+8795+1760+16000+51000+2806</f>
        <v>248071</v>
      </c>
      <c r="O7" s="146" t="e">
        <f t="shared" si="2"/>
        <v>#DIV/0!</v>
      </c>
      <c r="P7" s="146">
        <v>0.075</v>
      </c>
      <c r="R7" s="147">
        <f>(N7*P7)+N7</f>
        <v>266676.325</v>
      </c>
      <c r="S7" s="147">
        <f>(R7*P7)+R7</f>
        <v>286677.049375</v>
      </c>
      <c r="T7" s="147">
        <f>(S7*P7)+S7</f>
        <v>308177.828078125</v>
      </c>
      <c r="U7" s="162">
        <f>(T7*P7)+T7</f>
        <v>331291.1651839844</v>
      </c>
      <c r="V7" s="147">
        <f>(U7*P7)+U7</f>
        <v>356138.0025727832</v>
      </c>
      <c r="W7" s="162">
        <f>(V7*P7)+V7</f>
        <v>382848.35276574193</v>
      </c>
      <c r="X7" s="162">
        <f>(W7*P7)+W7</f>
        <v>411561.9792231726</v>
      </c>
      <c r="Y7" s="162">
        <f>(X7*P7)+X7</f>
        <v>442429.1276649105</v>
      </c>
      <c r="Z7" s="171">
        <f>45068+122642+8795+1760+16000+51000+2806</f>
        <v>248071</v>
      </c>
    </row>
    <row r="8" spans="1:26" ht="12.75">
      <c r="A8" s="81"/>
      <c r="B8" s="30"/>
      <c r="C8" s="78"/>
      <c r="D8" s="111" t="e">
        <f t="shared" si="0"/>
        <v>#DIV/0!</v>
      </c>
      <c r="E8" s="30">
        <f t="shared" si="4"/>
        <v>0</v>
      </c>
      <c r="F8" s="104"/>
      <c r="G8" s="270" t="e">
        <f t="shared" si="5"/>
        <v>#DIV/0!</v>
      </c>
      <c r="H8" s="267"/>
      <c r="I8" s="111" t="e">
        <f t="shared" si="1"/>
        <v>#DIV/0!</v>
      </c>
      <c r="J8" s="30">
        <f t="shared" si="6"/>
        <v>0</v>
      </c>
      <c r="K8" s="82"/>
      <c r="L8" s="142" t="e">
        <f aca="true" t="shared" si="8" ref="L8:L74">N8/K8-1</f>
        <v>#DIV/0!</v>
      </c>
      <c r="M8" s="143">
        <f aca="true" t="shared" si="9" ref="M8:M74">N8-K8</f>
        <v>0</v>
      </c>
      <c r="N8" s="100"/>
      <c r="O8" s="146" t="e">
        <f t="shared" si="2"/>
        <v>#DIV/0!</v>
      </c>
      <c r="P8" s="146"/>
      <c r="R8" s="188"/>
      <c r="S8" s="147"/>
      <c r="T8" s="147"/>
      <c r="U8" s="147"/>
      <c r="V8" s="147"/>
      <c r="W8" s="147"/>
      <c r="X8" s="147"/>
      <c r="Y8" s="147"/>
      <c r="Z8" s="147"/>
    </row>
    <row r="9" spans="1:26" ht="12.75">
      <c r="A9" s="83" t="s">
        <v>700</v>
      </c>
      <c r="B9" s="30"/>
      <c r="C9" s="78"/>
      <c r="D9" s="111" t="e">
        <f t="shared" si="0"/>
        <v>#DIV/0!</v>
      </c>
      <c r="E9" s="30">
        <f t="shared" si="4"/>
        <v>0</v>
      </c>
      <c r="F9" s="104"/>
      <c r="G9" s="270" t="e">
        <f t="shared" si="5"/>
        <v>#DIV/0!</v>
      </c>
      <c r="H9" s="267"/>
      <c r="I9" s="111" t="e">
        <f t="shared" si="1"/>
        <v>#DIV/0!</v>
      </c>
      <c r="J9" s="30">
        <f t="shared" si="6"/>
        <v>0</v>
      </c>
      <c r="K9" s="82"/>
      <c r="L9" s="142" t="e">
        <f t="shared" si="8"/>
        <v>#DIV/0!</v>
      </c>
      <c r="M9" s="143">
        <f t="shared" si="9"/>
        <v>0</v>
      </c>
      <c r="N9" s="100"/>
      <c r="O9" s="146" t="e">
        <f t="shared" si="2"/>
        <v>#DIV/0!</v>
      </c>
      <c r="P9" s="146"/>
      <c r="R9" s="188"/>
      <c r="S9" s="147"/>
      <c r="T9" s="147"/>
      <c r="U9" s="147"/>
      <c r="V9" s="147"/>
      <c r="W9" s="147"/>
      <c r="X9" s="147"/>
      <c r="Y9" s="147"/>
      <c r="Z9" s="147"/>
    </row>
    <row r="10" spans="1:26" ht="12.75">
      <c r="A10" s="83" t="s">
        <v>701</v>
      </c>
      <c r="B10" s="32">
        <f>SUM(B11)</f>
        <v>60901</v>
      </c>
      <c r="C10" s="78"/>
      <c r="D10" s="111">
        <f t="shared" si="0"/>
        <v>0.035762959557314344</v>
      </c>
      <c r="E10" s="30">
        <f t="shared" si="4"/>
        <v>2178</v>
      </c>
      <c r="F10" s="80">
        <f>F11</f>
        <v>63079</v>
      </c>
      <c r="G10" s="270">
        <f t="shared" si="5"/>
        <v>0.07833034765928448</v>
      </c>
      <c r="H10" s="267">
        <v>68020</v>
      </c>
      <c r="I10" s="111">
        <f t="shared" si="1"/>
        <v>0.07833034765928448</v>
      </c>
      <c r="J10" s="30">
        <f t="shared" si="6"/>
        <v>4941</v>
      </c>
      <c r="K10" s="80">
        <f>K11</f>
        <v>68020</v>
      </c>
      <c r="L10" s="142">
        <f t="shared" si="8"/>
        <v>0.06999411937665401</v>
      </c>
      <c r="M10" s="143">
        <f t="shared" si="9"/>
        <v>4761</v>
      </c>
      <c r="N10" s="80">
        <f>N11</f>
        <v>72781</v>
      </c>
      <c r="O10" s="146">
        <f t="shared" si="2"/>
        <v>0.06136247553108428</v>
      </c>
      <c r="P10" s="146"/>
      <c r="R10" s="187">
        <f aca="true" t="shared" si="10" ref="R10:Z10">R11</f>
        <v>78239.575</v>
      </c>
      <c r="S10" s="187">
        <f t="shared" si="10"/>
        <v>84107.543125</v>
      </c>
      <c r="T10" s="187">
        <f t="shared" si="10"/>
        <v>90415.608859375</v>
      </c>
      <c r="U10" s="187">
        <f t="shared" si="10"/>
        <v>97196.77952382813</v>
      </c>
      <c r="V10" s="187">
        <f t="shared" si="10"/>
        <v>104486.53798811523</v>
      </c>
      <c r="W10" s="187">
        <f t="shared" si="10"/>
        <v>112323.02833722388</v>
      </c>
      <c r="X10" s="187">
        <f t="shared" si="10"/>
        <v>120747.25546251566</v>
      </c>
      <c r="Y10" s="187">
        <f t="shared" si="10"/>
        <v>129803.29962220433</v>
      </c>
      <c r="Z10" s="187">
        <f t="shared" si="10"/>
        <v>72781</v>
      </c>
    </row>
    <row r="11" spans="1:26" ht="12.75">
      <c r="A11" s="83" t="s">
        <v>699</v>
      </c>
      <c r="B11" s="30">
        <v>60901</v>
      </c>
      <c r="C11" s="78"/>
      <c r="D11" s="111">
        <f t="shared" si="0"/>
        <v>0.035762959557314344</v>
      </c>
      <c r="E11" s="30">
        <f t="shared" si="4"/>
        <v>2178</v>
      </c>
      <c r="F11" s="105">
        <v>63079</v>
      </c>
      <c r="G11" s="270">
        <f t="shared" si="5"/>
        <v>0.07833034765928448</v>
      </c>
      <c r="H11" s="267">
        <v>68020</v>
      </c>
      <c r="I11" s="111">
        <f t="shared" si="1"/>
        <v>0.07833034765928448</v>
      </c>
      <c r="J11" s="30">
        <f t="shared" si="6"/>
        <v>4941</v>
      </c>
      <c r="K11" s="82">
        <v>68020</v>
      </c>
      <c r="L11" s="142">
        <f t="shared" si="8"/>
        <v>0.06999411937665401</v>
      </c>
      <c r="M11" s="143">
        <f t="shared" si="9"/>
        <v>4761</v>
      </c>
      <c r="N11" s="177">
        <f>49027+2000+9566+2044+1115+4583+4446</f>
        <v>72781</v>
      </c>
      <c r="O11" s="146">
        <f t="shared" si="2"/>
        <v>0.06136247553108428</v>
      </c>
      <c r="P11" s="146">
        <v>0.075</v>
      </c>
      <c r="R11" s="147">
        <f>(N11*P11)+N11</f>
        <v>78239.575</v>
      </c>
      <c r="S11" s="147">
        <f>(R11*P11)+R11</f>
        <v>84107.543125</v>
      </c>
      <c r="T11" s="147">
        <f>(S11*P11)+S11</f>
        <v>90415.608859375</v>
      </c>
      <c r="U11" s="162">
        <f>(T11*P11)+T11</f>
        <v>97196.77952382813</v>
      </c>
      <c r="V11" s="147">
        <f>(U11*P11)+U11</f>
        <v>104486.53798811523</v>
      </c>
      <c r="W11" s="162">
        <f>(V11*P11)+V11</f>
        <v>112323.02833722388</v>
      </c>
      <c r="X11" s="162">
        <f>(W11*P11)+W11</f>
        <v>120747.25546251566</v>
      </c>
      <c r="Y11" s="162">
        <f>(X11*P11)+X11</f>
        <v>129803.29962220433</v>
      </c>
      <c r="Z11" s="171">
        <f>49027+2000+9566+2044+1115+4583+4446</f>
        <v>72781</v>
      </c>
    </row>
    <row r="12" spans="1:26" ht="12.75">
      <c r="A12" s="81"/>
      <c r="B12" s="30"/>
      <c r="C12" s="78"/>
      <c r="D12" s="111"/>
      <c r="E12" s="30">
        <f t="shared" si="4"/>
        <v>0</v>
      </c>
      <c r="F12" s="104"/>
      <c r="G12" s="270" t="e">
        <f t="shared" si="5"/>
        <v>#DIV/0!</v>
      </c>
      <c r="H12" s="267"/>
      <c r="I12" s="111"/>
      <c r="J12" s="30">
        <f t="shared" si="6"/>
        <v>0</v>
      </c>
      <c r="K12" s="82"/>
      <c r="L12" s="142" t="e">
        <f t="shared" si="8"/>
        <v>#DIV/0!</v>
      </c>
      <c r="M12" s="143">
        <f t="shared" si="9"/>
        <v>0</v>
      </c>
      <c r="N12" s="100"/>
      <c r="O12" s="146" t="e">
        <f t="shared" si="2"/>
        <v>#DIV/0!</v>
      </c>
      <c r="P12" s="146"/>
      <c r="R12" s="188"/>
      <c r="S12" s="147"/>
      <c r="T12" s="147"/>
      <c r="U12" s="147"/>
      <c r="V12" s="147"/>
      <c r="W12" s="147"/>
      <c r="X12" s="147"/>
      <c r="Y12" s="147"/>
      <c r="Z12" s="147"/>
    </row>
    <row r="13" spans="1:26" ht="12.75">
      <c r="A13" s="83" t="s">
        <v>702</v>
      </c>
      <c r="B13" s="30"/>
      <c r="C13" s="78"/>
      <c r="D13" s="111" t="e">
        <f>F13/B13-1</f>
        <v>#DIV/0!</v>
      </c>
      <c r="E13" s="30">
        <f t="shared" si="4"/>
        <v>15687966.59699</v>
      </c>
      <c r="F13" s="145">
        <f>F14</f>
        <v>15687966.59699</v>
      </c>
      <c r="G13" s="270">
        <f t="shared" si="5"/>
        <v>-0.3603810960481486</v>
      </c>
      <c r="H13" s="267">
        <v>10034320</v>
      </c>
      <c r="I13" s="111">
        <f aca="true" t="shared" si="11" ref="I13:I18">K13/F13-1</f>
        <v>0.07621519306647473</v>
      </c>
      <c r="J13" s="30">
        <f t="shared" si="6"/>
        <v>1195661.4030099995</v>
      </c>
      <c r="K13" s="145">
        <f>K14</f>
        <v>16883628</v>
      </c>
      <c r="L13" s="142">
        <f t="shared" si="8"/>
        <v>0.1888652130928259</v>
      </c>
      <c r="M13" s="143">
        <f t="shared" si="9"/>
        <v>3188730</v>
      </c>
      <c r="N13" s="145">
        <f>N14</f>
        <v>20072358</v>
      </c>
      <c r="O13" s="146" t="e">
        <f t="shared" si="2"/>
        <v>#DIV/0!</v>
      </c>
      <c r="P13" s="146"/>
      <c r="R13" s="171">
        <f aca="true" t="shared" si="12" ref="R13:Z13">R14</f>
        <v>21824599.38</v>
      </c>
      <c r="S13" s="171">
        <f t="shared" si="12"/>
        <v>23740237.489199996</v>
      </c>
      <c r="T13" s="171">
        <f t="shared" si="12"/>
        <v>25908058.832172</v>
      </c>
      <c r="U13" s="171">
        <f t="shared" si="12"/>
        <v>28285114.558676884</v>
      </c>
      <c r="V13" s="171">
        <f t="shared" si="12"/>
        <v>30892659.487883132</v>
      </c>
      <c r="W13" s="171">
        <f t="shared" si="12"/>
        <v>33755011.384476915</v>
      </c>
      <c r="X13" s="171">
        <f t="shared" si="12"/>
        <v>36898435.84031446</v>
      </c>
      <c r="Y13" s="171">
        <f t="shared" si="12"/>
        <v>40352366.10984845</v>
      </c>
      <c r="Z13" s="171">
        <f t="shared" si="12"/>
        <v>44148513.57502867</v>
      </c>
    </row>
    <row r="14" spans="1:26" ht="12.75">
      <c r="A14" s="83" t="s">
        <v>703</v>
      </c>
      <c r="B14" s="30"/>
      <c r="C14" s="78"/>
      <c r="D14" s="111" t="e">
        <f>F14/B14-1</f>
        <v>#DIV/0!</v>
      </c>
      <c r="E14" s="30">
        <f t="shared" si="4"/>
        <v>15687966.59699</v>
      </c>
      <c r="F14" s="152">
        <f>F15+F110</f>
        <v>15687966.59699</v>
      </c>
      <c r="G14" s="270">
        <f t="shared" si="5"/>
        <v>-0.3603810960481486</v>
      </c>
      <c r="H14" s="267">
        <v>10034320</v>
      </c>
      <c r="I14" s="111">
        <f t="shared" si="11"/>
        <v>0.07621519306647473</v>
      </c>
      <c r="J14" s="30">
        <f t="shared" si="6"/>
        <v>1195661.4030099995</v>
      </c>
      <c r="K14" s="152">
        <f>K15+K110</f>
        <v>16883628</v>
      </c>
      <c r="L14" s="142">
        <f t="shared" si="8"/>
        <v>0.1888652130928259</v>
      </c>
      <c r="M14" s="143">
        <f t="shared" si="9"/>
        <v>3188730</v>
      </c>
      <c r="N14" s="152">
        <f>N15+N110</f>
        <v>20072358</v>
      </c>
      <c r="O14" s="146" t="e">
        <f t="shared" si="2"/>
        <v>#DIV/0!</v>
      </c>
      <c r="P14" s="146"/>
      <c r="R14" s="173">
        <f>R15+R110</f>
        <v>21824599.38</v>
      </c>
      <c r="S14" s="173">
        <f aca="true" t="shared" si="13" ref="S14:Z14">S15+S110</f>
        <v>23740237.489199996</v>
      </c>
      <c r="T14" s="173">
        <f t="shared" si="13"/>
        <v>25908058.832172</v>
      </c>
      <c r="U14" s="173">
        <f t="shared" si="13"/>
        <v>28285114.558676884</v>
      </c>
      <c r="V14" s="173">
        <f t="shared" si="13"/>
        <v>30892659.487883132</v>
      </c>
      <c r="W14" s="173">
        <f t="shared" si="13"/>
        <v>33755011.384476915</v>
      </c>
      <c r="X14" s="173">
        <f t="shared" si="13"/>
        <v>36898435.84031446</v>
      </c>
      <c r="Y14" s="173">
        <f t="shared" si="13"/>
        <v>40352366.10984845</v>
      </c>
      <c r="Z14" s="173">
        <f t="shared" si="13"/>
        <v>44148513.57502867</v>
      </c>
    </row>
    <row r="15" spans="1:26" ht="12.75">
      <c r="A15" s="83" t="s">
        <v>699</v>
      </c>
      <c r="B15" s="144">
        <f>SUM(B16+B45+B73+B101)</f>
        <v>2856376</v>
      </c>
      <c r="C15" s="78"/>
      <c r="D15" s="111">
        <f>F15/B15-1</f>
        <v>0.11818743277845778</v>
      </c>
      <c r="E15" s="30">
        <f t="shared" si="4"/>
        <v>337587.7464899998</v>
      </c>
      <c r="F15" s="144">
        <f>SUM(F16+F45+F73+F101)</f>
        <v>3193963.74649</v>
      </c>
      <c r="G15" s="270">
        <f t="shared" si="5"/>
        <v>0.19120606931782924</v>
      </c>
      <c r="H15" s="267">
        <v>3804669</v>
      </c>
      <c r="I15" s="111">
        <f t="shared" si="11"/>
        <v>0.3441138787870839</v>
      </c>
      <c r="J15" s="30">
        <f t="shared" si="6"/>
        <v>1099087.2535100002</v>
      </c>
      <c r="K15" s="144">
        <f>SUM(K16+K45+K73+K101)</f>
        <v>4293051</v>
      </c>
      <c r="L15" s="142">
        <f t="shared" si="8"/>
        <v>0.12474508222706882</v>
      </c>
      <c r="M15" s="143">
        <f t="shared" si="9"/>
        <v>535537</v>
      </c>
      <c r="N15" s="144">
        <f>SUM(N16+N45+N73+N101)</f>
        <v>4828588</v>
      </c>
      <c r="O15" s="146">
        <f t="shared" si="2"/>
        <v>0.1956821312642035</v>
      </c>
      <c r="P15" s="146"/>
      <c r="R15" s="166">
        <f aca="true" t="shared" si="14" ref="R15:Z15">SUM(R16+R45+R73+R101)</f>
        <v>5360874.54</v>
      </c>
      <c r="S15" s="166">
        <f t="shared" si="14"/>
        <v>5953987.304</v>
      </c>
      <c r="T15" s="166">
        <f t="shared" si="14"/>
        <v>6615108.394656001</v>
      </c>
      <c r="U15" s="166">
        <f t="shared" si="14"/>
        <v>7352294.6525846</v>
      </c>
      <c r="V15" s="166">
        <f t="shared" si="14"/>
        <v>8174587.373330667</v>
      </c>
      <c r="W15" s="166">
        <f t="shared" si="14"/>
        <v>9092136.167538824</v>
      </c>
      <c r="X15" s="166">
        <f t="shared" si="14"/>
        <v>10116338.833227703</v>
      </c>
      <c r="Y15" s="166">
        <f t="shared" si="14"/>
        <v>11259999.361491613</v>
      </c>
      <c r="Z15" s="166">
        <f t="shared" si="14"/>
        <v>12537506.484126082</v>
      </c>
    </row>
    <row r="16" spans="1:26" ht="12.75">
      <c r="A16" s="85" t="s">
        <v>704</v>
      </c>
      <c r="B16" s="144">
        <f>SUM(B17+B20+B24+B29+B35+B40)</f>
        <v>1262351</v>
      </c>
      <c r="C16" s="78"/>
      <c r="D16" s="111">
        <f>F16/B16-1</f>
        <v>0.25781302347762236</v>
      </c>
      <c r="E16" s="30">
        <f t="shared" si="4"/>
        <v>325450.52799999993</v>
      </c>
      <c r="F16" s="144">
        <f>SUM(F17+F20+F24+F29+F35+F40)</f>
        <v>1587801.528</v>
      </c>
      <c r="G16" s="270">
        <f t="shared" si="5"/>
        <v>-0.05857503369274997</v>
      </c>
      <c r="H16" s="267">
        <v>1494796</v>
      </c>
      <c r="I16" s="111">
        <f t="shared" si="11"/>
        <v>-0.04526417611559319</v>
      </c>
      <c r="J16" s="30">
        <f t="shared" si="6"/>
        <v>-71870.52799999993</v>
      </c>
      <c r="K16" s="144">
        <f>SUM(K17+K20+K24+K29+K35+K40)</f>
        <v>1515931</v>
      </c>
      <c r="L16" s="142">
        <f t="shared" si="8"/>
        <v>0.3186371939092214</v>
      </c>
      <c r="M16" s="143">
        <f t="shared" si="9"/>
        <v>483032</v>
      </c>
      <c r="N16" s="144">
        <f>SUM(N17+N20+N24+N29+N35+N40)</f>
        <v>1998963</v>
      </c>
      <c r="O16" s="146">
        <f t="shared" si="2"/>
        <v>0.17706201375708353</v>
      </c>
      <c r="P16" s="146"/>
      <c r="R16" s="166">
        <f aca="true" t="shared" si="15" ref="R16:Z16">SUM(R17+R20+R24+R29+R35+R40)</f>
        <v>2211675.6799999997</v>
      </c>
      <c r="S16" s="166">
        <f t="shared" si="15"/>
        <v>2447441.0712</v>
      </c>
      <c r="T16" s="166">
        <f t="shared" si="15"/>
        <v>2708810.7309920006</v>
      </c>
      <c r="U16" s="166">
        <f t="shared" si="15"/>
        <v>2998625.4903592803</v>
      </c>
      <c r="V16" s="166">
        <f t="shared" si="15"/>
        <v>3320049.1404338046</v>
      </c>
      <c r="W16" s="166">
        <f t="shared" si="15"/>
        <v>3676606.15837083</v>
      </c>
      <c r="X16" s="166">
        <f t="shared" si="15"/>
        <v>4072223.9721354605</v>
      </c>
      <c r="Y16" s="166">
        <f t="shared" si="15"/>
        <v>4511280.327580475</v>
      </c>
      <c r="Z16" s="166">
        <f t="shared" si="15"/>
        <v>4998656.393382304</v>
      </c>
    </row>
    <row r="17" spans="1:26" ht="12.75">
      <c r="A17" s="86" t="s">
        <v>705</v>
      </c>
      <c r="B17" s="32">
        <f>SUM(B18:B19)</f>
        <v>594305</v>
      </c>
      <c r="C17" s="78"/>
      <c r="D17" s="111">
        <f>F17/B17-1</f>
        <v>0.17733046836220479</v>
      </c>
      <c r="E17" s="30">
        <f t="shared" si="4"/>
        <v>105388.38400000008</v>
      </c>
      <c r="F17" s="152">
        <f>SUM(F18:F19)</f>
        <v>699693.3840000001</v>
      </c>
      <c r="G17" s="270">
        <f t="shared" si="5"/>
        <v>0.04973552243849699</v>
      </c>
      <c r="H17" s="267">
        <v>734493</v>
      </c>
      <c r="I17" s="111">
        <f t="shared" si="11"/>
        <v>0.05838359620676359</v>
      </c>
      <c r="J17" s="30">
        <f t="shared" si="6"/>
        <v>40850.61599999992</v>
      </c>
      <c r="K17" s="152">
        <f>SUM(K18:K19)</f>
        <v>740544</v>
      </c>
      <c r="L17" s="142">
        <f t="shared" si="8"/>
        <v>0.3546392921960073</v>
      </c>
      <c r="M17" s="143">
        <f t="shared" si="9"/>
        <v>262626</v>
      </c>
      <c r="N17" s="144">
        <f>+N18+N19</f>
        <v>1003170</v>
      </c>
      <c r="O17" s="146">
        <f t="shared" si="2"/>
        <v>0.1967844522549919</v>
      </c>
      <c r="P17" s="146"/>
      <c r="R17" s="166">
        <f aca="true" t="shared" si="16" ref="R17:Z17">+R18+R19</f>
        <v>1103487</v>
      </c>
      <c r="S17" s="166">
        <f t="shared" si="16"/>
        <v>1213835.7</v>
      </c>
      <c r="T17" s="166">
        <f t="shared" si="16"/>
        <v>1335219.27</v>
      </c>
      <c r="U17" s="166">
        <f t="shared" si="16"/>
        <v>1468741.1970000002</v>
      </c>
      <c r="V17" s="166">
        <f t="shared" si="16"/>
        <v>1615615.3167</v>
      </c>
      <c r="W17" s="166">
        <f t="shared" si="16"/>
        <v>1777176.84837</v>
      </c>
      <c r="X17" s="166">
        <f t="shared" si="16"/>
        <v>1954894.533207</v>
      </c>
      <c r="Y17" s="166">
        <f t="shared" si="16"/>
        <v>2150383.9865277004</v>
      </c>
      <c r="Z17" s="166">
        <f t="shared" si="16"/>
        <v>2365422.38518047</v>
      </c>
    </row>
    <row r="18" spans="1:26" ht="12.75">
      <c r="A18" s="81" t="s">
        <v>706</v>
      </c>
      <c r="B18" s="30">
        <v>0</v>
      </c>
      <c r="C18" s="78"/>
      <c r="D18" s="111">
        <v>0</v>
      </c>
      <c r="E18" s="30">
        <f t="shared" si="4"/>
        <v>699693.3840000001</v>
      </c>
      <c r="F18" s="104">
        <v>699693.3840000001</v>
      </c>
      <c r="G18" s="270">
        <f t="shared" si="5"/>
        <v>0.04973552243849699</v>
      </c>
      <c r="H18" s="267">
        <v>734493</v>
      </c>
      <c r="I18" s="111">
        <f t="shared" si="11"/>
        <v>0.05838359620676359</v>
      </c>
      <c r="J18" s="30">
        <f t="shared" si="6"/>
        <v>40850.61599999992</v>
      </c>
      <c r="K18" s="153">
        <v>740544</v>
      </c>
      <c r="L18" s="142">
        <f t="shared" si="8"/>
        <v>0.35319440843488037</v>
      </c>
      <c r="M18" s="143">
        <f t="shared" si="9"/>
        <v>261556</v>
      </c>
      <c r="N18" s="179">
        <v>1002100</v>
      </c>
      <c r="O18" s="146">
        <f aca="true" t="shared" si="17" ref="O18:O84">(D18+I18+L18)/3</f>
        <v>0.13719266821388132</v>
      </c>
      <c r="P18" s="146">
        <v>0.1</v>
      </c>
      <c r="R18" s="162">
        <f>(N18*P18)+N18</f>
        <v>1102310</v>
      </c>
      <c r="S18" s="162">
        <f>(R18*P18)+R18</f>
        <v>1212541</v>
      </c>
      <c r="T18" s="162">
        <f>(S18*P18)+S18</f>
        <v>1333795.1</v>
      </c>
      <c r="U18" s="162">
        <f>(T18*P18)+T18</f>
        <v>1467174.61</v>
      </c>
      <c r="V18" s="162">
        <f>(U18*P18)+U18</f>
        <v>1613892.071</v>
      </c>
      <c r="W18" s="162">
        <f>(V18*P18)+V18</f>
        <v>1775281.2781</v>
      </c>
      <c r="X18" s="162">
        <f>(W18*P18)+W18</f>
        <v>1952809.40591</v>
      </c>
      <c r="Y18" s="162">
        <f>(X18*P18)+X18</f>
        <v>2148090.346501</v>
      </c>
      <c r="Z18" s="162">
        <f>(Y18*P18)+Y18</f>
        <v>2362899.3811511</v>
      </c>
    </row>
    <row r="19" spans="1:26" ht="12.75">
      <c r="A19" s="81" t="s">
        <v>707</v>
      </c>
      <c r="B19" s="30">
        <v>594305</v>
      </c>
      <c r="C19" s="78"/>
      <c r="D19" s="111">
        <f aca="true" t="shared" si="18" ref="D19:D84">F19/B19-1</f>
        <v>-1</v>
      </c>
      <c r="E19" s="30">
        <f t="shared" si="4"/>
        <v>-594305</v>
      </c>
      <c r="F19" s="104">
        <v>0</v>
      </c>
      <c r="G19" s="270" t="e">
        <f t="shared" si="5"/>
        <v>#DIV/0!</v>
      </c>
      <c r="H19" s="267">
        <v>0</v>
      </c>
      <c r="I19" s="111">
        <v>0</v>
      </c>
      <c r="J19" s="30">
        <f t="shared" si="6"/>
        <v>0</v>
      </c>
      <c r="K19" s="153">
        <v>0</v>
      </c>
      <c r="L19" s="142">
        <v>0</v>
      </c>
      <c r="M19" s="143">
        <f t="shared" si="9"/>
        <v>1070</v>
      </c>
      <c r="N19" s="179">
        <v>1070</v>
      </c>
      <c r="O19" s="146">
        <f t="shared" si="17"/>
        <v>-0.3333333333333333</v>
      </c>
      <c r="P19" s="146">
        <v>0.1</v>
      </c>
      <c r="R19" s="162">
        <f>(N19*P19)+N19</f>
        <v>1177</v>
      </c>
      <c r="S19" s="162">
        <f aca="true" t="shared" si="19" ref="S19:S84">(R19*P19)+R19</f>
        <v>1294.7</v>
      </c>
      <c r="T19" s="162">
        <f aca="true" t="shared" si="20" ref="T19:T84">(S19*P19)+S19</f>
        <v>1424.17</v>
      </c>
      <c r="U19" s="162">
        <f aca="true" t="shared" si="21" ref="U19:U84">(T19*P19)+T19</f>
        <v>1566.587</v>
      </c>
      <c r="V19" s="162">
        <f aca="true" t="shared" si="22" ref="V19:V84">(U19*P19)+U19</f>
        <v>1723.2457</v>
      </c>
      <c r="W19" s="162">
        <f aca="true" t="shared" si="23" ref="W19:W84">(V19*P19)+V19</f>
        <v>1895.57027</v>
      </c>
      <c r="X19" s="162">
        <f aca="true" t="shared" si="24" ref="X19:X84">(W19*P19)+W19</f>
        <v>2085.127297</v>
      </c>
      <c r="Y19" s="162">
        <f aca="true" t="shared" si="25" ref="Y19:Y84">(X19*P19)+X19</f>
        <v>2293.6400267</v>
      </c>
      <c r="Z19" s="162">
        <f aca="true" t="shared" si="26" ref="Z19:Z84">(Y19*P19)+Y19</f>
        <v>2523.00402937</v>
      </c>
    </row>
    <row r="20" spans="1:26" ht="12.75">
      <c r="A20" s="86" t="s">
        <v>708</v>
      </c>
      <c r="B20" s="32">
        <f>SUM(B21:B23)</f>
        <v>0</v>
      </c>
      <c r="C20" s="78"/>
      <c r="D20" s="111">
        <v>0</v>
      </c>
      <c r="E20" s="30">
        <f t="shared" si="4"/>
        <v>51848.675</v>
      </c>
      <c r="F20" s="154">
        <f>SUM(F21:F23)</f>
        <v>51848.675</v>
      </c>
      <c r="G20" s="270">
        <f t="shared" si="5"/>
        <v>-0.44702540614586583</v>
      </c>
      <c r="H20" s="267">
        <v>28671</v>
      </c>
      <c r="I20" s="111">
        <f>K20/F20-1</f>
        <v>-0.4306701183781456</v>
      </c>
      <c r="J20" s="30">
        <f t="shared" si="6"/>
        <v>-22329.675000000003</v>
      </c>
      <c r="K20" s="154">
        <f>SUM(K21:K23)</f>
        <v>29519</v>
      </c>
      <c r="L20" s="142">
        <f t="shared" si="8"/>
        <v>5.232257190284224</v>
      </c>
      <c r="M20" s="143">
        <f t="shared" si="9"/>
        <v>154451</v>
      </c>
      <c r="N20" s="145">
        <f>SUM(N21:N23)</f>
        <v>183970</v>
      </c>
      <c r="O20" s="146">
        <f t="shared" si="17"/>
        <v>1.6005290239686927</v>
      </c>
      <c r="P20" s="146"/>
      <c r="R20" s="171">
        <f aca="true" t="shared" si="27" ref="R20:Z20">SUM(R21:R23)</f>
        <v>202367</v>
      </c>
      <c r="S20" s="171">
        <f t="shared" si="27"/>
        <v>222603.7</v>
      </c>
      <c r="T20" s="171">
        <f t="shared" si="27"/>
        <v>244864.07</v>
      </c>
      <c r="U20" s="171">
        <f t="shared" si="27"/>
        <v>269350.477</v>
      </c>
      <c r="V20" s="171">
        <f t="shared" si="27"/>
        <v>296285.5247</v>
      </c>
      <c r="W20" s="171">
        <f t="shared" si="27"/>
        <v>325914.07717</v>
      </c>
      <c r="X20" s="171">
        <f t="shared" si="27"/>
        <v>358505.48488700006</v>
      </c>
      <c r="Y20" s="171">
        <f t="shared" si="27"/>
        <v>394356.0333757</v>
      </c>
      <c r="Z20" s="171">
        <f t="shared" si="27"/>
        <v>433791.63671327004</v>
      </c>
    </row>
    <row r="21" spans="1:26" ht="12.75">
      <c r="A21" s="81" t="s">
        <v>709</v>
      </c>
      <c r="B21" s="30">
        <v>0</v>
      </c>
      <c r="C21" s="78"/>
      <c r="D21" s="111">
        <v>0</v>
      </c>
      <c r="E21" s="30">
        <f t="shared" si="4"/>
        <v>51848.675</v>
      </c>
      <c r="F21" s="104">
        <v>51848.675</v>
      </c>
      <c r="G21" s="270">
        <f t="shared" si="5"/>
        <v>-0.44702540614586583</v>
      </c>
      <c r="H21" s="267">
        <v>28671</v>
      </c>
      <c r="I21" s="111">
        <f>K21/F21-1</f>
        <v>-0.4306701183781456</v>
      </c>
      <c r="J21" s="30">
        <f t="shared" si="6"/>
        <v>-22329.675000000003</v>
      </c>
      <c r="K21" s="153">
        <v>29519</v>
      </c>
      <c r="L21" s="142">
        <f t="shared" si="8"/>
        <v>1.1308309902096956</v>
      </c>
      <c r="M21" s="143">
        <f t="shared" si="9"/>
        <v>33381</v>
      </c>
      <c r="N21" s="179">
        <v>62900</v>
      </c>
      <c r="O21" s="146">
        <f t="shared" si="17"/>
        <v>0.2333869572771833</v>
      </c>
      <c r="P21" s="146">
        <v>0.1</v>
      </c>
      <c r="R21" s="162">
        <f aca="true" t="shared" si="28" ref="R21:R28">(N21*P21)+N21</f>
        <v>69190</v>
      </c>
      <c r="S21" s="162">
        <f t="shared" si="19"/>
        <v>76109</v>
      </c>
      <c r="T21" s="162">
        <f t="shared" si="20"/>
        <v>83719.9</v>
      </c>
      <c r="U21" s="162">
        <f t="shared" si="21"/>
        <v>92091.89</v>
      </c>
      <c r="V21" s="162">
        <f t="shared" si="22"/>
        <v>101301.079</v>
      </c>
      <c r="W21" s="162">
        <f t="shared" si="23"/>
        <v>111431.1869</v>
      </c>
      <c r="X21" s="162">
        <f t="shared" si="24"/>
        <v>122574.30559</v>
      </c>
      <c r="Y21" s="162">
        <f t="shared" si="25"/>
        <v>134831.736149</v>
      </c>
      <c r="Z21" s="162">
        <f t="shared" si="26"/>
        <v>148314.9097639</v>
      </c>
    </row>
    <row r="22" spans="1:26" ht="12.75">
      <c r="A22" s="81" t="s">
        <v>710</v>
      </c>
      <c r="B22" s="30">
        <v>0</v>
      </c>
      <c r="C22" s="78"/>
      <c r="D22" s="111">
        <v>0</v>
      </c>
      <c r="E22" s="30">
        <f t="shared" si="4"/>
        <v>0</v>
      </c>
      <c r="F22" s="104">
        <v>0</v>
      </c>
      <c r="G22" s="270" t="e">
        <f t="shared" si="5"/>
        <v>#DIV/0!</v>
      </c>
      <c r="H22" s="267">
        <v>0</v>
      </c>
      <c r="I22" s="111">
        <v>0</v>
      </c>
      <c r="J22" s="30">
        <f t="shared" si="6"/>
        <v>0</v>
      </c>
      <c r="K22" s="153">
        <v>0</v>
      </c>
      <c r="L22" s="142">
        <v>0</v>
      </c>
      <c r="M22" s="143">
        <f t="shared" si="9"/>
        <v>1070</v>
      </c>
      <c r="N22" s="179">
        <v>1070</v>
      </c>
      <c r="O22" s="146">
        <f t="shared" si="17"/>
        <v>0</v>
      </c>
      <c r="P22" s="146">
        <v>0.1</v>
      </c>
      <c r="R22" s="162">
        <f t="shared" si="28"/>
        <v>1177</v>
      </c>
      <c r="S22" s="162">
        <f t="shared" si="19"/>
        <v>1294.7</v>
      </c>
      <c r="T22" s="162">
        <f t="shared" si="20"/>
        <v>1424.17</v>
      </c>
      <c r="U22" s="162">
        <f t="shared" si="21"/>
        <v>1566.587</v>
      </c>
      <c r="V22" s="162">
        <f t="shared" si="22"/>
        <v>1723.2457</v>
      </c>
      <c r="W22" s="162">
        <f t="shared" si="23"/>
        <v>1895.57027</v>
      </c>
      <c r="X22" s="162">
        <f t="shared" si="24"/>
        <v>2085.127297</v>
      </c>
      <c r="Y22" s="162">
        <f t="shared" si="25"/>
        <v>2293.6400267</v>
      </c>
      <c r="Z22" s="162">
        <f t="shared" si="26"/>
        <v>2523.00402937</v>
      </c>
    </row>
    <row r="23" spans="1:26" ht="12.75">
      <c r="A23" s="81" t="s">
        <v>711</v>
      </c>
      <c r="B23" s="30">
        <v>0</v>
      </c>
      <c r="C23" s="78"/>
      <c r="D23" s="111">
        <v>0</v>
      </c>
      <c r="E23" s="30">
        <f t="shared" si="4"/>
        <v>0</v>
      </c>
      <c r="F23" s="104">
        <v>0</v>
      </c>
      <c r="G23" s="270" t="e">
        <f t="shared" si="5"/>
        <v>#DIV/0!</v>
      </c>
      <c r="H23" s="267">
        <v>0</v>
      </c>
      <c r="I23" s="111">
        <v>0</v>
      </c>
      <c r="J23" s="30">
        <f t="shared" si="6"/>
        <v>0</v>
      </c>
      <c r="K23" s="153">
        <v>0</v>
      </c>
      <c r="L23" s="142">
        <v>0</v>
      </c>
      <c r="M23" s="143">
        <f t="shared" si="9"/>
        <v>120000</v>
      </c>
      <c r="N23" s="179">
        <v>120000</v>
      </c>
      <c r="O23" s="146">
        <f t="shared" si="17"/>
        <v>0</v>
      </c>
      <c r="P23" s="146">
        <v>0.1</v>
      </c>
      <c r="R23" s="162">
        <f t="shared" si="28"/>
        <v>132000</v>
      </c>
      <c r="S23" s="162">
        <f t="shared" si="19"/>
        <v>145200</v>
      </c>
      <c r="T23" s="162">
        <f t="shared" si="20"/>
        <v>159720</v>
      </c>
      <c r="U23" s="162">
        <f t="shared" si="21"/>
        <v>175692</v>
      </c>
      <c r="V23" s="162">
        <f t="shared" si="22"/>
        <v>193261.2</v>
      </c>
      <c r="W23" s="162">
        <f t="shared" si="23"/>
        <v>212587.32</v>
      </c>
      <c r="X23" s="162">
        <f t="shared" si="24"/>
        <v>233846.05200000003</v>
      </c>
      <c r="Y23" s="162">
        <f t="shared" si="25"/>
        <v>257230.65720000002</v>
      </c>
      <c r="Z23" s="162">
        <f t="shared" si="26"/>
        <v>282953.72292000003</v>
      </c>
    </row>
    <row r="24" spans="1:26" ht="12.75">
      <c r="A24" s="86" t="s">
        <v>712</v>
      </c>
      <c r="B24" s="32">
        <f>SUM(B25:B28)</f>
        <v>24595</v>
      </c>
      <c r="C24" s="78"/>
      <c r="D24" s="111">
        <f t="shared" si="18"/>
        <v>4.052430331368164</v>
      </c>
      <c r="E24" s="30">
        <f t="shared" si="4"/>
        <v>99669.524</v>
      </c>
      <c r="F24" s="154">
        <f>SUM(F25:F28)</f>
        <v>124264.524</v>
      </c>
      <c r="G24" s="270">
        <f t="shared" si="5"/>
        <v>-0.08244126054834444</v>
      </c>
      <c r="H24" s="267">
        <v>114020</v>
      </c>
      <c r="I24" s="111">
        <f aca="true" t="shared" si="29" ref="I24:I30">K24/F24-1</f>
        <v>-0.038905102151278514</v>
      </c>
      <c r="J24" s="30">
        <f t="shared" si="6"/>
        <v>-4834.524000000005</v>
      </c>
      <c r="K24" s="154">
        <f>SUM(K25:K28)</f>
        <v>119430</v>
      </c>
      <c r="L24" s="142">
        <f t="shared" si="8"/>
        <v>0.3651678807669765</v>
      </c>
      <c r="M24" s="143">
        <f t="shared" si="9"/>
        <v>43612</v>
      </c>
      <c r="N24" s="154">
        <f>SUM(N25:N28)</f>
        <v>163042</v>
      </c>
      <c r="O24" s="146">
        <f t="shared" si="17"/>
        <v>1.4595643699946208</v>
      </c>
      <c r="P24" s="146">
        <v>0.1</v>
      </c>
      <c r="R24" s="166">
        <f aca="true" t="shared" si="30" ref="R24:Z24">SUM(R25:R28)</f>
        <v>184237.46</v>
      </c>
      <c r="S24" s="166">
        <f t="shared" si="30"/>
        <v>208188.3298</v>
      </c>
      <c r="T24" s="166">
        <f t="shared" si="30"/>
        <v>235252.81267400002</v>
      </c>
      <c r="U24" s="166">
        <f t="shared" si="30"/>
        <v>265835.67832162</v>
      </c>
      <c r="V24" s="166">
        <f t="shared" si="30"/>
        <v>300394.3165034306</v>
      </c>
      <c r="W24" s="166">
        <f t="shared" si="30"/>
        <v>339445.5776488766</v>
      </c>
      <c r="X24" s="166">
        <f t="shared" si="30"/>
        <v>383573.50274323055</v>
      </c>
      <c r="Y24" s="166">
        <f t="shared" si="30"/>
        <v>433438.05809985055</v>
      </c>
      <c r="Z24" s="166">
        <f t="shared" si="30"/>
        <v>489785.0056528311</v>
      </c>
    </row>
    <row r="25" spans="1:26" ht="12.75">
      <c r="A25" s="81" t="s">
        <v>713</v>
      </c>
      <c r="B25" s="30">
        <v>14332</v>
      </c>
      <c r="C25" s="78"/>
      <c r="D25" s="111">
        <f t="shared" si="18"/>
        <v>-0.1372453251465252</v>
      </c>
      <c r="E25" s="30">
        <f t="shared" si="4"/>
        <v>-1967</v>
      </c>
      <c r="F25" s="104">
        <v>12365</v>
      </c>
      <c r="G25" s="270">
        <f t="shared" si="5"/>
        <v>0.11087747674888804</v>
      </c>
      <c r="H25" s="267">
        <v>13736</v>
      </c>
      <c r="I25" s="111">
        <f t="shared" si="29"/>
        <v>0.15487262434290328</v>
      </c>
      <c r="J25" s="30">
        <f t="shared" si="6"/>
        <v>1915</v>
      </c>
      <c r="K25" s="153">
        <v>14280</v>
      </c>
      <c r="L25" s="142">
        <f t="shared" si="8"/>
        <v>0.8249299719887955</v>
      </c>
      <c r="M25" s="143">
        <f t="shared" si="9"/>
        <v>11780</v>
      </c>
      <c r="N25" s="179">
        <v>26060</v>
      </c>
      <c r="O25" s="146">
        <f t="shared" si="17"/>
        <v>0.2808524237283912</v>
      </c>
      <c r="P25" s="146">
        <v>0.13</v>
      </c>
      <c r="R25" s="162">
        <f t="shared" si="28"/>
        <v>29447.8</v>
      </c>
      <c r="S25" s="162">
        <f t="shared" si="19"/>
        <v>33276.013999999996</v>
      </c>
      <c r="T25" s="162">
        <f t="shared" si="20"/>
        <v>37601.89582</v>
      </c>
      <c r="U25" s="162">
        <f t="shared" si="21"/>
        <v>42490.142276599996</v>
      </c>
      <c r="V25" s="162">
        <f t="shared" si="22"/>
        <v>48013.86077255799</v>
      </c>
      <c r="W25" s="162">
        <f t="shared" si="23"/>
        <v>54255.66267299053</v>
      </c>
      <c r="X25" s="162">
        <f t="shared" si="24"/>
        <v>61308.8988204793</v>
      </c>
      <c r="Y25" s="162">
        <f t="shared" si="25"/>
        <v>69279.05566714161</v>
      </c>
      <c r="Z25" s="162">
        <f t="shared" si="26"/>
        <v>78285.33290387002</v>
      </c>
    </row>
    <row r="26" spans="1:26" ht="12.75">
      <c r="A26" s="81" t="s">
        <v>714</v>
      </c>
      <c r="B26" s="30">
        <v>0</v>
      </c>
      <c r="C26" s="78"/>
      <c r="D26" s="111">
        <v>0</v>
      </c>
      <c r="E26" s="30">
        <f t="shared" si="4"/>
        <v>68383.3</v>
      </c>
      <c r="F26" s="104">
        <v>68383.3</v>
      </c>
      <c r="G26" s="270">
        <f t="shared" si="5"/>
        <v>0.003592982497188535</v>
      </c>
      <c r="H26" s="267">
        <v>68629</v>
      </c>
      <c r="I26" s="111">
        <f t="shared" si="29"/>
        <v>0.04162858475680453</v>
      </c>
      <c r="J26" s="30">
        <f t="shared" si="6"/>
        <v>2846.699999999997</v>
      </c>
      <c r="K26" s="153">
        <v>71230</v>
      </c>
      <c r="L26" s="142">
        <f t="shared" si="8"/>
        <v>0.20244279095886575</v>
      </c>
      <c r="M26" s="143">
        <f t="shared" si="9"/>
        <v>14420</v>
      </c>
      <c r="N26" s="179">
        <v>85650</v>
      </c>
      <c r="O26" s="146">
        <f t="shared" si="17"/>
        <v>0.08135712523855676</v>
      </c>
      <c r="P26" s="146">
        <v>0.13</v>
      </c>
      <c r="R26" s="162">
        <f t="shared" si="28"/>
        <v>96784.5</v>
      </c>
      <c r="S26" s="162">
        <f t="shared" si="19"/>
        <v>109366.485</v>
      </c>
      <c r="T26" s="162">
        <f t="shared" si="20"/>
        <v>123584.12805</v>
      </c>
      <c r="U26" s="162">
        <f t="shared" si="21"/>
        <v>139650.0646965</v>
      </c>
      <c r="V26" s="162">
        <f t="shared" si="22"/>
        <v>157804.573107045</v>
      </c>
      <c r="W26" s="162">
        <f t="shared" si="23"/>
        <v>178319.16761096084</v>
      </c>
      <c r="X26" s="162">
        <f t="shared" si="24"/>
        <v>201500.65940038575</v>
      </c>
      <c r="Y26" s="162">
        <f t="shared" si="25"/>
        <v>227695.7451224359</v>
      </c>
      <c r="Z26" s="162">
        <f t="shared" si="26"/>
        <v>257296.19198835257</v>
      </c>
    </row>
    <row r="27" spans="1:26" ht="12.75">
      <c r="A27" s="81" t="s">
        <v>715</v>
      </c>
      <c r="B27" s="30">
        <v>10263</v>
      </c>
      <c r="C27" s="78"/>
      <c r="D27" s="111">
        <f t="shared" si="18"/>
        <v>-0.12419292604501608</v>
      </c>
      <c r="E27" s="30">
        <f t="shared" si="4"/>
        <v>-1274.5920000000006</v>
      </c>
      <c r="F27" s="104">
        <v>8988.408</v>
      </c>
      <c r="G27" s="270">
        <f t="shared" si="5"/>
        <v>-0.1584716670627323</v>
      </c>
      <c r="H27" s="267">
        <v>7564</v>
      </c>
      <c r="I27" s="111">
        <f t="shared" si="29"/>
        <v>-0.11886509824654146</v>
      </c>
      <c r="J27" s="30">
        <f t="shared" si="6"/>
        <v>-1068.4079999999994</v>
      </c>
      <c r="K27" s="153">
        <v>7920</v>
      </c>
      <c r="L27" s="142">
        <f t="shared" si="8"/>
        <v>0.06464646464646462</v>
      </c>
      <c r="M27" s="143">
        <f t="shared" si="9"/>
        <v>512</v>
      </c>
      <c r="N27" s="179">
        <v>8432</v>
      </c>
      <c r="O27" s="146">
        <f t="shared" si="17"/>
        <v>-0.05947051988169764</v>
      </c>
      <c r="P27" s="146">
        <v>0.13</v>
      </c>
      <c r="R27" s="162">
        <f t="shared" si="28"/>
        <v>9528.16</v>
      </c>
      <c r="S27" s="162">
        <f t="shared" si="19"/>
        <v>10766.8208</v>
      </c>
      <c r="T27" s="162">
        <f t="shared" si="20"/>
        <v>12166.507504</v>
      </c>
      <c r="U27" s="162">
        <f t="shared" si="21"/>
        <v>13748.153479519999</v>
      </c>
      <c r="V27" s="162">
        <f t="shared" si="22"/>
        <v>15535.413431857598</v>
      </c>
      <c r="W27" s="162">
        <f t="shared" si="23"/>
        <v>17555.017177999085</v>
      </c>
      <c r="X27" s="162">
        <f t="shared" si="24"/>
        <v>19837.169411138966</v>
      </c>
      <c r="Y27" s="162">
        <f t="shared" si="25"/>
        <v>22416.001434587033</v>
      </c>
      <c r="Z27" s="162">
        <f t="shared" si="26"/>
        <v>25330.081621083347</v>
      </c>
    </row>
    <row r="28" spans="1:26" ht="12.75">
      <c r="A28" s="81" t="s">
        <v>716</v>
      </c>
      <c r="B28" s="30"/>
      <c r="C28" s="78"/>
      <c r="D28" s="111">
        <v>0</v>
      </c>
      <c r="E28" s="30">
        <f t="shared" si="4"/>
        <v>34527.816</v>
      </c>
      <c r="F28" s="104">
        <v>34527.816</v>
      </c>
      <c r="G28" s="270">
        <f t="shared" si="5"/>
        <v>-0.30227269515106314</v>
      </c>
      <c r="H28" s="267">
        <v>24091</v>
      </c>
      <c r="I28" s="111">
        <f t="shared" si="29"/>
        <v>-0.2469839389783588</v>
      </c>
      <c r="J28" s="30">
        <f t="shared" si="6"/>
        <v>-8527.815999999999</v>
      </c>
      <c r="K28" s="153">
        <v>26000</v>
      </c>
      <c r="L28" s="142">
        <f t="shared" si="8"/>
        <v>0.6499999999999999</v>
      </c>
      <c r="M28" s="143">
        <f t="shared" si="9"/>
        <v>16900</v>
      </c>
      <c r="N28" s="179">
        <v>42900</v>
      </c>
      <c r="O28" s="146">
        <f t="shared" si="17"/>
        <v>0.13433868700721371</v>
      </c>
      <c r="P28" s="146">
        <v>0.13</v>
      </c>
      <c r="R28" s="162">
        <f t="shared" si="28"/>
        <v>48477</v>
      </c>
      <c r="S28" s="162">
        <f t="shared" si="19"/>
        <v>54779.01</v>
      </c>
      <c r="T28" s="162">
        <f t="shared" si="20"/>
        <v>61900.2813</v>
      </c>
      <c r="U28" s="162">
        <f t="shared" si="21"/>
        <v>69947.317869</v>
      </c>
      <c r="V28" s="162">
        <f t="shared" si="22"/>
        <v>79040.46919197001</v>
      </c>
      <c r="W28" s="162">
        <f t="shared" si="23"/>
        <v>89315.73018692611</v>
      </c>
      <c r="X28" s="162">
        <f t="shared" si="24"/>
        <v>100926.77511122651</v>
      </c>
      <c r="Y28" s="162">
        <f t="shared" si="25"/>
        <v>114047.25587568595</v>
      </c>
      <c r="Z28" s="162">
        <f t="shared" si="26"/>
        <v>128873.39913952512</v>
      </c>
    </row>
    <row r="29" spans="1:26" ht="12.75">
      <c r="A29" s="86" t="s">
        <v>717</v>
      </c>
      <c r="B29" s="32">
        <f>SUM(B30:B34)</f>
        <v>584974</v>
      </c>
      <c r="C29" s="78"/>
      <c r="D29" s="111">
        <f t="shared" si="18"/>
        <v>0.09581460030702216</v>
      </c>
      <c r="E29" s="30">
        <f t="shared" si="4"/>
        <v>56049.04999999993</v>
      </c>
      <c r="F29" s="145">
        <f>SUM(F30:F34)</f>
        <v>641023.0499999999</v>
      </c>
      <c r="G29" s="270">
        <f t="shared" si="5"/>
        <v>-0.15791795630437933</v>
      </c>
      <c r="H29" s="267">
        <v>539794</v>
      </c>
      <c r="I29" s="111">
        <f t="shared" si="29"/>
        <v>-0.14604942833178924</v>
      </c>
      <c r="J29" s="30">
        <f t="shared" si="6"/>
        <v>-93621.04999999993</v>
      </c>
      <c r="K29" s="145">
        <f>SUM(K30:K34)</f>
        <v>547402</v>
      </c>
      <c r="L29" s="142">
        <f t="shared" si="8"/>
        <v>-0.3416520217317438</v>
      </c>
      <c r="M29" s="143">
        <f t="shared" si="9"/>
        <v>-187021</v>
      </c>
      <c r="N29" s="145">
        <f>SUM(N30:N34)</f>
        <v>360381</v>
      </c>
      <c r="O29" s="146">
        <f t="shared" si="17"/>
        <v>-0.13062894991883697</v>
      </c>
      <c r="P29" s="146"/>
      <c r="R29" s="171">
        <f aca="true" t="shared" si="31" ref="R29:Z29">SUM(R30:R34)</f>
        <v>403626.72</v>
      </c>
      <c r="S29" s="171">
        <f t="shared" si="31"/>
        <v>452061.9264</v>
      </c>
      <c r="T29" s="171">
        <f t="shared" si="31"/>
        <v>506309.357568</v>
      </c>
      <c r="U29" s="171">
        <f t="shared" si="31"/>
        <v>567066.4804761601</v>
      </c>
      <c r="V29" s="171">
        <f t="shared" si="31"/>
        <v>635114.4581332991</v>
      </c>
      <c r="W29" s="171">
        <f t="shared" si="31"/>
        <v>711328.1931092951</v>
      </c>
      <c r="X29" s="171">
        <f t="shared" si="31"/>
        <v>796687.5762824105</v>
      </c>
      <c r="Y29" s="171">
        <f t="shared" si="31"/>
        <v>892290.0854362999</v>
      </c>
      <c r="Z29" s="171">
        <f t="shared" si="31"/>
        <v>999364.8956886558</v>
      </c>
    </row>
    <row r="30" spans="1:26" ht="12.75">
      <c r="A30" s="81" t="s">
        <v>718</v>
      </c>
      <c r="B30" s="30">
        <v>40886</v>
      </c>
      <c r="C30" s="78"/>
      <c r="D30" s="111">
        <f t="shared" si="18"/>
        <v>1.3942669862544634</v>
      </c>
      <c r="E30" s="30">
        <f t="shared" si="4"/>
        <v>57006</v>
      </c>
      <c r="F30" s="104">
        <v>97892</v>
      </c>
      <c r="G30" s="270">
        <f t="shared" si="5"/>
        <v>0.08153883872022227</v>
      </c>
      <c r="H30" s="267">
        <v>105874</v>
      </c>
      <c r="I30" s="111">
        <f t="shared" si="29"/>
        <v>0.11347198953949245</v>
      </c>
      <c r="J30" s="30">
        <f t="shared" si="6"/>
        <v>11108</v>
      </c>
      <c r="K30" s="153">
        <v>109000</v>
      </c>
      <c r="L30" s="142">
        <f t="shared" si="8"/>
        <v>-1</v>
      </c>
      <c r="M30" s="143">
        <f t="shared" si="9"/>
        <v>-109000</v>
      </c>
      <c r="N30" s="179"/>
      <c r="O30" s="146">
        <f t="shared" si="17"/>
        <v>0.16924632526465197</v>
      </c>
      <c r="P30" s="146"/>
      <c r="R30" s="190"/>
      <c r="S30" s="162">
        <f t="shared" si="19"/>
        <v>0</v>
      </c>
      <c r="T30" s="162">
        <f t="shared" si="20"/>
        <v>0</v>
      </c>
      <c r="U30" s="162">
        <f t="shared" si="21"/>
        <v>0</v>
      </c>
      <c r="V30" s="162">
        <f t="shared" si="22"/>
        <v>0</v>
      </c>
      <c r="W30" s="162">
        <f t="shared" si="23"/>
        <v>0</v>
      </c>
      <c r="X30" s="162">
        <f t="shared" si="24"/>
        <v>0</v>
      </c>
      <c r="Y30" s="162">
        <f t="shared" si="25"/>
        <v>0</v>
      </c>
      <c r="Z30" s="162">
        <f t="shared" si="26"/>
        <v>0</v>
      </c>
    </row>
    <row r="31" spans="1:26" ht="12.75">
      <c r="A31" s="81" t="s">
        <v>719</v>
      </c>
      <c r="B31" s="30">
        <v>0</v>
      </c>
      <c r="C31" s="78"/>
      <c r="D31" s="111">
        <v>0</v>
      </c>
      <c r="E31" s="30">
        <f t="shared" si="4"/>
        <v>0</v>
      </c>
      <c r="F31" s="104">
        <v>0</v>
      </c>
      <c r="G31" s="270" t="e">
        <f t="shared" si="5"/>
        <v>#DIV/0!</v>
      </c>
      <c r="H31" s="267">
        <v>0</v>
      </c>
      <c r="I31" s="111">
        <v>0</v>
      </c>
      <c r="J31" s="30">
        <f t="shared" si="6"/>
        <v>0</v>
      </c>
      <c r="K31" s="153">
        <v>0</v>
      </c>
      <c r="L31" s="142">
        <v>0</v>
      </c>
      <c r="M31" s="143">
        <f t="shared" si="9"/>
        <v>0</v>
      </c>
      <c r="N31" s="179"/>
      <c r="O31" s="146">
        <f t="shared" si="17"/>
        <v>0</v>
      </c>
      <c r="P31" s="146"/>
      <c r="R31" s="190"/>
      <c r="S31" s="162">
        <f t="shared" si="19"/>
        <v>0</v>
      </c>
      <c r="T31" s="162">
        <f t="shared" si="20"/>
        <v>0</v>
      </c>
      <c r="U31" s="162">
        <f t="shared" si="21"/>
        <v>0</v>
      </c>
      <c r="V31" s="162">
        <f t="shared" si="22"/>
        <v>0</v>
      </c>
      <c r="W31" s="162">
        <f t="shared" si="23"/>
        <v>0</v>
      </c>
      <c r="X31" s="162">
        <f t="shared" si="24"/>
        <v>0</v>
      </c>
      <c r="Y31" s="162">
        <f t="shared" si="25"/>
        <v>0</v>
      </c>
      <c r="Z31" s="162">
        <f t="shared" si="26"/>
        <v>0</v>
      </c>
    </row>
    <row r="32" spans="1:26" ht="12.75">
      <c r="A32" s="81" t="s">
        <v>720</v>
      </c>
      <c r="B32" s="30">
        <v>186500</v>
      </c>
      <c r="C32" s="78"/>
      <c r="D32" s="111">
        <f t="shared" si="18"/>
        <v>0.06436103485254674</v>
      </c>
      <c r="E32" s="30">
        <f t="shared" si="4"/>
        <v>12003.332999999984</v>
      </c>
      <c r="F32" s="104">
        <v>198503.33299999998</v>
      </c>
      <c r="G32" s="270">
        <f t="shared" si="5"/>
        <v>0.1679904639183063</v>
      </c>
      <c r="H32" s="267">
        <v>231850</v>
      </c>
      <c r="I32" s="111">
        <f aca="true" t="shared" si="32" ref="I32:I48">K32/F32-1</f>
        <v>0.17090729151635964</v>
      </c>
      <c r="J32" s="30">
        <f t="shared" si="6"/>
        <v>33925.667000000016</v>
      </c>
      <c r="K32" s="153">
        <v>232429</v>
      </c>
      <c r="L32" s="142">
        <f t="shared" si="8"/>
        <v>-0.22556995899823173</v>
      </c>
      <c r="M32" s="143">
        <f t="shared" si="9"/>
        <v>-52429</v>
      </c>
      <c r="N32" s="179">
        <v>180000</v>
      </c>
      <c r="O32" s="146">
        <f t="shared" si="17"/>
        <v>0.0032327891235582142</v>
      </c>
      <c r="P32" s="146">
        <v>0.12</v>
      </c>
      <c r="R32" s="162">
        <f aca="true" t="shared" si="33" ref="R32:R44">(N32*P32)+N32</f>
        <v>201600</v>
      </c>
      <c r="S32" s="162">
        <f t="shared" si="19"/>
        <v>225792</v>
      </c>
      <c r="T32" s="162">
        <f t="shared" si="20"/>
        <v>252887.04</v>
      </c>
      <c r="U32" s="162">
        <f t="shared" si="21"/>
        <v>283233.48480000003</v>
      </c>
      <c r="V32" s="162">
        <f t="shared" si="22"/>
        <v>317221.502976</v>
      </c>
      <c r="W32" s="162">
        <f t="shared" si="23"/>
        <v>355288.08333312004</v>
      </c>
      <c r="X32" s="162">
        <f t="shared" si="24"/>
        <v>397922.65333309444</v>
      </c>
      <c r="Y32" s="162">
        <f t="shared" si="25"/>
        <v>445673.37173306575</v>
      </c>
      <c r="Z32" s="162">
        <f t="shared" si="26"/>
        <v>499154.17634103366</v>
      </c>
    </row>
    <row r="33" spans="1:26" ht="12.75">
      <c r="A33" s="81" t="s">
        <v>721</v>
      </c>
      <c r="B33" s="30">
        <v>74396</v>
      </c>
      <c r="C33" s="78"/>
      <c r="D33" s="111">
        <f t="shared" si="18"/>
        <v>0.701398623581913</v>
      </c>
      <c r="E33" s="30">
        <f t="shared" si="4"/>
        <v>52181.25199999999</v>
      </c>
      <c r="F33" s="104">
        <v>126577.252</v>
      </c>
      <c r="G33" s="270">
        <f t="shared" si="5"/>
        <v>-0.9740869710143494</v>
      </c>
      <c r="H33" s="267">
        <v>3280</v>
      </c>
      <c r="I33" s="111">
        <f t="shared" si="32"/>
        <v>-0.9740869710143494</v>
      </c>
      <c r="J33" s="30">
        <f t="shared" si="6"/>
        <v>-123297.252</v>
      </c>
      <c r="K33" s="153">
        <v>3280</v>
      </c>
      <c r="L33" s="142">
        <f t="shared" si="8"/>
        <v>20.45762195121951</v>
      </c>
      <c r="M33" s="143">
        <f t="shared" si="9"/>
        <v>67101</v>
      </c>
      <c r="N33" s="179">
        <v>70381</v>
      </c>
      <c r="O33" s="146">
        <f t="shared" si="17"/>
        <v>6.7283112012623585</v>
      </c>
      <c r="P33" s="146">
        <v>0.12</v>
      </c>
      <c r="R33" s="162">
        <f t="shared" si="33"/>
        <v>78826.72</v>
      </c>
      <c r="S33" s="162">
        <f t="shared" si="19"/>
        <v>88285.9264</v>
      </c>
      <c r="T33" s="162">
        <f t="shared" si="20"/>
        <v>98880.237568</v>
      </c>
      <c r="U33" s="162">
        <f t="shared" si="21"/>
        <v>110745.86607615999</v>
      </c>
      <c r="V33" s="162">
        <f t="shared" si="22"/>
        <v>124035.37000529919</v>
      </c>
      <c r="W33" s="162">
        <f t="shared" si="23"/>
        <v>138919.6144059351</v>
      </c>
      <c r="X33" s="162">
        <f t="shared" si="24"/>
        <v>155589.96813464732</v>
      </c>
      <c r="Y33" s="162">
        <f t="shared" si="25"/>
        <v>174260.764310805</v>
      </c>
      <c r="Z33" s="162">
        <f t="shared" si="26"/>
        <v>195172.05602810162</v>
      </c>
    </row>
    <row r="34" spans="1:26" ht="12.75">
      <c r="A34" s="81" t="s">
        <v>722</v>
      </c>
      <c r="B34" s="30">
        <v>283192</v>
      </c>
      <c r="C34" s="78"/>
      <c r="D34" s="111">
        <f t="shared" si="18"/>
        <v>-0.2300260424023277</v>
      </c>
      <c r="E34" s="30">
        <f t="shared" si="4"/>
        <v>-65141.535</v>
      </c>
      <c r="F34" s="104">
        <v>218050.465</v>
      </c>
      <c r="G34" s="270">
        <f t="shared" si="5"/>
        <v>-0.08833030922451823</v>
      </c>
      <c r="H34" s="267">
        <v>198790</v>
      </c>
      <c r="I34" s="111">
        <f t="shared" si="32"/>
        <v>-0.07043078307583517</v>
      </c>
      <c r="J34" s="30">
        <f t="shared" si="6"/>
        <v>-15357.464999999997</v>
      </c>
      <c r="K34" s="153">
        <v>202693</v>
      </c>
      <c r="L34" s="142">
        <f t="shared" si="8"/>
        <v>-0.45730735644546183</v>
      </c>
      <c r="M34" s="143">
        <f t="shared" si="9"/>
        <v>-92693</v>
      </c>
      <c r="N34" s="179">
        <v>110000</v>
      </c>
      <c r="O34" s="146">
        <f t="shared" si="17"/>
        <v>-0.25258806064120826</v>
      </c>
      <c r="P34" s="146">
        <v>0.12</v>
      </c>
      <c r="R34" s="162">
        <f t="shared" si="33"/>
        <v>123200</v>
      </c>
      <c r="S34" s="162">
        <f t="shared" si="19"/>
        <v>137984</v>
      </c>
      <c r="T34" s="162">
        <f t="shared" si="20"/>
        <v>154542.08</v>
      </c>
      <c r="U34" s="162">
        <f t="shared" si="21"/>
        <v>173087.1296</v>
      </c>
      <c r="V34" s="162">
        <f t="shared" si="22"/>
        <v>193857.58515199999</v>
      </c>
      <c r="W34" s="162">
        <f t="shared" si="23"/>
        <v>217120.49537023998</v>
      </c>
      <c r="X34" s="162">
        <f t="shared" si="24"/>
        <v>243174.95481466877</v>
      </c>
      <c r="Y34" s="162">
        <f t="shared" si="25"/>
        <v>272355.949392429</v>
      </c>
      <c r="Z34" s="162">
        <f t="shared" si="26"/>
        <v>305038.66331952054</v>
      </c>
    </row>
    <row r="35" spans="1:26" ht="12.75">
      <c r="A35" s="86" t="s">
        <v>723</v>
      </c>
      <c r="B35" s="32">
        <f>SUM(B36)</f>
        <v>25990</v>
      </c>
      <c r="C35" s="78"/>
      <c r="D35" s="111">
        <f t="shared" si="18"/>
        <v>0.21367914582531755</v>
      </c>
      <c r="E35" s="30">
        <f t="shared" si="4"/>
        <v>5553.521000000001</v>
      </c>
      <c r="F35" s="144">
        <f>SUM(F36:F39)</f>
        <v>31543.521</v>
      </c>
      <c r="G35" s="270">
        <f t="shared" si="5"/>
        <v>0.09328314996921239</v>
      </c>
      <c r="H35" s="267">
        <v>34486</v>
      </c>
      <c r="I35" s="111">
        <f t="shared" si="32"/>
        <v>0.11655258777230348</v>
      </c>
      <c r="J35" s="30">
        <f t="shared" si="6"/>
        <v>3676.4789999999994</v>
      </c>
      <c r="K35" s="144">
        <f>SUM(K36:K39)</f>
        <v>35220</v>
      </c>
      <c r="L35" s="142">
        <f t="shared" si="8"/>
        <v>5.72771152754117</v>
      </c>
      <c r="M35" s="143">
        <f t="shared" si="9"/>
        <v>201730</v>
      </c>
      <c r="N35" s="144">
        <f>SUM(N36:N39)</f>
        <v>236950</v>
      </c>
      <c r="O35" s="146"/>
      <c r="P35" s="146"/>
      <c r="R35" s="166">
        <f aca="true" t="shared" si="34" ref="R35:Z35">SUM(R36:R39)</f>
        <v>258275.5</v>
      </c>
      <c r="S35" s="166">
        <f t="shared" si="34"/>
        <v>281520.295</v>
      </c>
      <c r="T35" s="166">
        <f t="shared" si="34"/>
        <v>306857.12155000004</v>
      </c>
      <c r="U35" s="166">
        <f t="shared" si="34"/>
        <v>334474.2624895</v>
      </c>
      <c r="V35" s="166">
        <f t="shared" si="34"/>
        <v>364576.946113555</v>
      </c>
      <c r="W35" s="166">
        <f t="shared" si="34"/>
        <v>397388.8712637749</v>
      </c>
      <c r="X35" s="166">
        <f t="shared" si="34"/>
        <v>433153.86967751465</v>
      </c>
      <c r="Y35" s="166">
        <f t="shared" si="34"/>
        <v>472137.717948491</v>
      </c>
      <c r="Z35" s="166">
        <f t="shared" si="34"/>
        <v>514630.11256385513</v>
      </c>
    </row>
    <row r="36" spans="1:26" ht="12.75">
      <c r="A36" s="81" t="s">
        <v>724</v>
      </c>
      <c r="B36" s="30">
        <v>25990</v>
      </c>
      <c r="C36" s="78"/>
      <c r="D36" s="111">
        <f t="shared" si="18"/>
        <v>0.21367914582531755</v>
      </c>
      <c r="E36" s="30">
        <f t="shared" si="4"/>
        <v>5553.521000000001</v>
      </c>
      <c r="F36" s="104">
        <v>31543.521</v>
      </c>
      <c r="G36" s="270">
        <f t="shared" si="5"/>
        <v>0.09328314996921239</v>
      </c>
      <c r="H36" s="267">
        <v>34486</v>
      </c>
      <c r="I36" s="111">
        <f t="shared" si="32"/>
        <v>0.11655258777230348</v>
      </c>
      <c r="J36" s="30">
        <f t="shared" si="6"/>
        <v>3676.4789999999994</v>
      </c>
      <c r="K36" s="153">
        <v>35220</v>
      </c>
      <c r="L36" s="142">
        <f t="shared" si="8"/>
        <v>0.16837024417944346</v>
      </c>
      <c r="M36" s="143">
        <f t="shared" si="9"/>
        <v>5930</v>
      </c>
      <c r="N36" s="179">
        <v>41150</v>
      </c>
      <c r="O36" s="146">
        <f t="shared" si="17"/>
        <v>0.1662006592590215</v>
      </c>
      <c r="P36" s="146">
        <v>0.09</v>
      </c>
      <c r="Q36">
        <v>0</v>
      </c>
      <c r="R36" s="162">
        <f t="shared" si="33"/>
        <v>44853.5</v>
      </c>
      <c r="S36" s="162">
        <f>(R36*P36)+R36</f>
        <v>48890.315</v>
      </c>
      <c r="T36" s="162">
        <f t="shared" si="20"/>
        <v>53290.44335</v>
      </c>
      <c r="U36" s="162">
        <f t="shared" si="21"/>
        <v>58086.5832515</v>
      </c>
      <c r="V36" s="162">
        <f t="shared" si="22"/>
        <v>63314.375744135</v>
      </c>
      <c r="W36" s="162">
        <f t="shared" si="23"/>
        <v>69012.66956110715</v>
      </c>
      <c r="X36" s="162">
        <f t="shared" si="24"/>
        <v>75223.80982160679</v>
      </c>
      <c r="Y36" s="162">
        <f t="shared" si="25"/>
        <v>81993.9527055514</v>
      </c>
      <c r="Z36" s="162">
        <f t="shared" si="26"/>
        <v>89373.40844905103</v>
      </c>
    </row>
    <row r="37" spans="1:26" ht="12.75">
      <c r="A37" s="165" t="s">
        <v>1120</v>
      </c>
      <c r="B37" s="30"/>
      <c r="C37" s="78"/>
      <c r="D37" s="111" t="e">
        <f t="shared" si="18"/>
        <v>#DIV/0!</v>
      </c>
      <c r="E37" s="30"/>
      <c r="F37" s="104"/>
      <c r="G37" s="270" t="e">
        <f t="shared" si="5"/>
        <v>#DIV/0!</v>
      </c>
      <c r="H37" s="79"/>
      <c r="I37" s="111"/>
      <c r="J37" s="30"/>
      <c r="K37" s="164"/>
      <c r="L37" s="142"/>
      <c r="M37" s="143"/>
      <c r="N37" s="179">
        <v>80200</v>
      </c>
      <c r="O37" s="146"/>
      <c r="P37" s="146">
        <v>0.09</v>
      </c>
      <c r="R37" s="162">
        <f t="shared" si="33"/>
        <v>87418</v>
      </c>
      <c r="S37" s="162">
        <f t="shared" si="19"/>
        <v>95285.62</v>
      </c>
      <c r="T37" s="162">
        <f t="shared" si="20"/>
        <v>103861.32579999999</v>
      </c>
      <c r="U37" s="162">
        <f t="shared" si="21"/>
        <v>113208.84512199998</v>
      </c>
      <c r="V37" s="162">
        <f t="shared" si="22"/>
        <v>123397.64118297998</v>
      </c>
      <c r="W37" s="162">
        <f t="shared" si="23"/>
        <v>134503.42888944817</v>
      </c>
      <c r="X37" s="162">
        <f t="shared" si="24"/>
        <v>146608.7374894985</v>
      </c>
      <c r="Y37" s="162">
        <f t="shared" si="25"/>
        <v>159803.5238635534</v>
      </c>
      <c r="Z37" s="162">
        <f t="shared" si="26"/>
        <v>174185.8410112732</v>
      </c>
    </row>
    <row r="38" spans="1:26" ht="12.75">
      <c r="A38" s="165" t="s">
        <v>1121</v>
      </c>
      <c r="B38" s="30"/>
      <c r="C38" s="78"/>
      <c r="D38" s="111" t="e">
        <f t="shared" si="18"/>
        <v>#DIV/0!</v>
      </c>
      <c r="E38" s="30"/>
      <c r="F38" s="104"/>
      <c r="G38" s="270" t="e">
        <f t="shared" si="5"/>
        <v>#DIV/0!</v>
      </c>
      <c r="H38" s="79"/>
      <c r="I38" s="111"/>
      <c r="J38" s="30"/>
      <c r="K38" s="164"/>
      <c r="L38" s="142"/>
      <c r="M38" s="143"/>
      <c r="N38" s="179">
        <v>6600</v>
      </c>
      <c r="O38" s="146"/>
      <c r="P38" s="146">
        <v>0.09</v>
      </c>
      <c r="R38" s="162">
        <f t="shared" si="33"/>
        <v>7194</v>
      </c>
      <c r="S38" s="162">
        <f t="shared" si="19"/>
        <v>7841.46</v>
      </c>
      <c r="T38" s="162">
        <f t="shared" si="20"/>
        <v>8547.1914</v>
      </c>
      <c r="U38" s="162">
        <f t="shared" si="21"/>
        <v>9316.438626</v>
      </c>
      <c r="V38" s="162">
        <f t="shared" si="22"/>
        <v>10154.91810234</v>
      </c>
      <c r="W38" s="162">
        <f t="shared" si="23"/>
        <v>11068.8607315506</v>
      </c>
      <c r="X38" s="162">
        <f t="shared" si="24"/>
        <v>12065.058197390154</v>
      </c>
      <c r="Y38" s="162">
        <f t="shared" si="25"/>
        <v>13150.913435155268</v>
      </c>
      <c r="Z38" s="162">
        <f t="shared" si="26"/>
        <v>14334.495644319242</v>
      </c>
    </row>
    <row r="39" spans="1:26" ht="12.75">
      <c r="A39" s="165" t="s">
        <v>1122</v>
      </c>
      <c r="B39" s="30"/>
      <c r="C39" s="78"/>
      <c r="D39" s="111" t="e">
        <f t="shared" si="18"/>
        <v>#DIV/0!</v>
      </c>
      <c r="E39" s="30"/>
      <c r="F39" s="104"/>
      <c r="G39" s="270" t="e">
        <f t="shared" si="5"/>
        <v>#DIV/0!</v>
      </c>
      <c r="H39" s="79"/>
      <c r="I39" s="111"/>
      <c r="J39" s="30"/>
      <c r="K39" s="164"/>
      <c r="L39" s="142"/>
      <c r="M39" s="143"/>
      <c r="N39" s="179">
        <v>109000</v>
      </c>
      <c r="O39" s="146"/>
      <c r="P39" s="146">
        <v>0.09</v>
      </c>
      <c r="R39" s="162">
        <f t="shared" si="33"/>
        <v>118810</v>
      </c>
      <c r="S39" s="162">
        <f t="shared" si="19"/>
        <v>129502.9</v>
      </c>
      <c r="T39" s="162">
        <f t="shared" si="20"/>
        <v>141158.161</v>
      </c>
      <c r="U39" s="162">
        <f t="shared" si="21"/>
        <v>153862.39549</v>
      </c>
      <c r="V39" s="162">
        <f t="shared" si="22"/>
        <v>167710.0110841</v>
      </c>
      <c r="W39" s="162">
        <f t="shared" si="23"/>
        <v>182803.912081669</v>
      </c>
      <c r="X39" s="162">
        <f t="shared" si="24"/>
        <v>199256.2641690192</v>
      </c>
      <c r="Y39" s="162">
        <f t="shared" si="25"/>
        <v>217189.32794423093</v>
      </c>
      <c r="Z39" s="162">
        <f t="shared" si="26"/>
        <v>236736.3674592117</v>
      </c>
    </row>
    <row r="40" spans="1:26" ht="12.75">
      <c r="A40" s="86" t="s">
        <v>725</v>
      </c>
      <c r="B40" s="32">
        <f>SUM(B41:B44)</f>
        <v>32487</v>
      </c>
      <c r="C40" s="78"/>
      <c r="D40" s="111">
        <f t="shared" si="18"/>
        <v>0.21366620494351607</v>
      </c>
      <c r="E40" s="30">
        <f t="shared" si="4"/>
        <v>6941.374000000003</v>
      </c>
      <c r="F40" s="144">
        <f>SUM(F41:F44)</f>
        <v>39428.374</v>
      </c>
      <c r="G40" s="270">
        <f t="shared" si="5"/>
        <v>0.09900550299132282</v>
      </c>
      <c r="H40" s="267">
        <v>43332</v>
      </c>
      <c r="I40" s="111">
        <f t="shared" si="32"/>
        <v>0.11128092677623469</v>
      </c>
      <c r="J40" s="30">
        <f t="shared" si="6"/>
        <v>4387.625999999997</v>
      </c>
      <c r="K40" s="144">
        <f>SUM(K41:K44)</f>
        <v>43816</v>
      </c>
      <c r="L40" s="142">
        <f t="shared" si="8"/>
        <v>0.17422859229505194</v>
      </c>
      <c r="M40" s="143">
        <f t="shared" si="9"/>
        <v>7634</v>
      </c>
      <c r="N40" s="144">
        <f>SUM(N41:N44)</f>
        <v>51450</v>
      </c>
      <c r="O40" s="146">
        <f t="shared" si="17"/>
        <v>0.16639190800493422</v>
      </c>
      <c r="P40" s="146"/>
      <c r="R40" s="166">
        <f aca="true" t="shared" si="35" ref="R40:Z40">SUM(R41:R44)</f>
        <v>59682</v>
      </c>
      <c r="S40" s="166">
        <f t="shared" si="35"/>
        <v>69231.12</v>
      </c>
      <c r="T40" s="166">
        <f t="shared" si="35"/>
        <v>80308.0992</v>
      </c>
      <c r="U40" s="166">
        <f t="shared" si="35"/>
        <v>93157.395072</v>
      </c>
      <c r="V40" s="166">
        <f t="shared" si="35"/>
        <v>108062.57828352001</v>
      </c>
      <c r="W40" s="166">
        <f t="shared" si="35"/>
        <v>125352.5908088832</v>
      </c>
      <c r="X40" s="166">
        <f t="shared" si="35"/>
        <v>145409.0053383045</v>
      </c>
      <c r="Y40" s="166">
        <f t="shared" si="35"/>
        <v>168674.4461924332</v>
      </c>
      <c r="Z40" s="166">
        <f t="shared" si="35"/>
        <v>195662.35758322253</v>
      </c>
    </row>
    <row r="41" spans="1:26" ht="12.75">
      <c r="A41" s="81" t="s">
        <v>726</v>
      </c>
      <c r="B41" s="97">
        <v>3248</v>
      </c>
      <c r="C41" s="78"/>
      <c r="D41" s="111">
        <f t="shared" si="18"/>
        <v>0.2139633620689656</v>
      </c>
      <c r="E41" s="30">
        <f t="shared" si="4"/>
        <v>694.953</v>
      </c>
      <c r="F41" s="104">
        <v>3942.953</v>
      </c>
      <c r="G41" s="270">
        <f t="shared" si="5"/>
        <v>0.09892255880300871</v>
      </c>
      <c r="H41" s="267">
        <v>4333</v>
      </c>
      <c r="I41" s="111">
        <f t="shared" si="32"/>
        <v>0.1116034099315919</v>
      </c>
      <c r="J41" s="30">
        <f t="shared" si="6"/>
        <v>440.047</v>
      </c>
      <c r="K41" s="153">
        <v>4383</v>
      </c>
      <c r="L41" s="142">
        <f t="shared" si="8"/>
        <v>0.17499429614419348</v>
      </c>
      <c r="M41" s="143">
        <f t="shared" si="9"/>
        <v>767</v>
      </c>
      <c r="N41" s="179">
        <v>5150</v>
      </c>
      <c r="O41" s="146">
        <f t="shared" si="17"/>
        <v>0.16685368938158365</v>
      </c>
      <c r="P41" s="146">
        <v>0.16</v>
      </c>
      <c r="R41" s="162">
        <f t="shared" si="33"/>
        <v>5974</v>
      </c>
      <c r="S41" s="162">
        <f t="shared" si="19"/>
        <v>6929.84</v>
      </c>
      <c r="T41" s="162">
        <f t="shared" si="20"/>
        <v>8038.6144</v>
      </c>
      <c r="U41" s="162">
        <f t="shared" si="21"/>
        <v>9324.792704</v>
      </c>
      <c r="V41" s="162">
        <f t="shared" si="22"/>
        <v>10816.75953664</v>
      </c>
      <c r="W41" s="162">
        <f t="shared" si="23"/>
        <v>12547.4410625024</v>
      </c>
      <c r="X41" s="162">
        <f t="shared" si="24"/>
        <v>14555.031632502783</v>
      </c>
      <c r="Y41" s="162">
        <f t="shared" si="25"/>
        <v>16883.83669370323</v>
      </c>
      <c r="Z41" s="147">
        <f t="shared" si="26"/>
        <v>19585.250564695747</v>
      </c>
    </row>
    <row r="42" spans="1:26" ht="12.75">
      <c r="A42" s="81" t="s">
        <v>727</v>
      </c>
      <c r="B42" s="97">
        <v>19493</v>
      </c>
      <c r="C42" s="78"/>
      <c r="D42" s="111">
        <f t="shared" si="18"/>
        <v>0.2135950341148105</v>
      </c>
      <c r="E42" s="30">
        <f t="shared" si="4"/>
        <v>4163.608</v>
      </c>
      <c r="F42" s="104">
        <v>23656.608</v>
      </c>
      <c r="G42" s="270">
        <f t="shared" si="5"/>
        <v>0.09901639322087097</v>
      </c>
      <c r="H42" s="267">
        <v>25999</v>
      </c>
      <c r="I42" s="111">
        <f t="shared" si="32"/>
        <v>0.11131739596817947</v>
      </c>
      <c r="J42" s="30">
        <f t="shared" si="6"/>
        <v>2633.392</v>
      </c>
      <c r="K42" s="153">
        <v>26290</v>
      </c>
      <c r="L42" s="142">
        <f t="shared" si="8"/>
        <v>0.17344998098136166</v>
      </c>
      <c r="M42" s="143">
        <f t="shared" si="9"/>
        <v>4560</v>
      </c>
      <c r="N42" s="180">
        <v>30850</v>
      </c>
      <c r="O42" s="146">
        <f t="shared" si="17"/>
        <v>0.1661208036881172</v>
      </c>
      <c r="P42" s="146">
        <v>0.16</v>
      </c>
      <c r="R42" s="162">
        <f t="shared" si="33"/>
        <v>35786</v>
      </c>
      <c r="S42" s="162">
        <f t="shared" si="19"/>
        <v>41511.76</v>
      </c>
      <c r="T42" s="162">
        <f t="shared" si="20"/>
        <v>48153.6416</v>
      </c>
      <c r="U42" s="162">
        <f t="shared" si="21"/>
        <v>55858.224256</v>
      </c>
      <c r="V42" s="162">
        <f t="shared" si="22"/>
        <v>64795.54013696</v>
      </c>
      <c r="W42" s="162">
        <f t="shared" si="23"/>
        <v>75162.8265588736</v>
      </c>
      <c r="X42" s="162">
        <f t="shared" si="24"/>
        <v>87188.87880829338</v>
      </c>
      <c r="Y42" s="162">
        <f t="shared" si="25"/>
        <v>101139.09941762031</v>
      </c>
      <c r="Z42" s="147">
        <f t="shared" si="26"/>
        <v>117321.35532443956</v>
      </c>
    </row>
    <row r="43" spans="1:26" ht="12.75">
      <c r="A43" s="81" t="s">
        <v>728</v>
      </c>
      <c r="B43" s="97">
        <v>3249</v>
      </c>
      <c r="C43" s="78"/>
      <c r="D43" s="111">
        <f t="shared" si="18"/>
        <v>0.2135897199138197</v>
      </c>
      <c r="E43" s="30">
        <f t="shared" si="4"/>
        <v>693.953</v>
      </c>
      <c r="F43" s="104">
        <v>3942.953</v>
      </c>
      <c r="G43" s="270">
        <f t="shared" si="5"/>
        <v>0.09892255880300871</v>
      </c>
      <c r="H43" s="267">
        <v>4333</v>
      </c>
      <c r="I43" s="111">
        <f t="shared" si="32"/>
        <v>0.1116034099315919</v>
      </c>
      <c r="J43" s="30">
        <f t="shared" si="6"/>
        <v>440.047</v>
      </c>
      <c r="K43" s="153">
        <v>4383</v>
      </c>
      <c r="L43" s="142">
        <f t="shared" si="8"/>
        <v>0.17499429614419348</v>
      </c>
      <c r="M43" s="143">
        <f t="shared" si="9"/>
        <v>767</v>
      </c>
      <c r="N43" s="179">
        <v>5150</v>
      </c>
      <c r="O43" s="146">
        <f t="shared" si="17"/>
        <v>0.16672914199653502</v>
      </c>
      <c r="P43" s="146">
        <v>0.16</v>
      </c>
      <c r="R43" s="162">
        <f t="shared" si="33"/>
        <v>5974</v>
      </c>
      <c r="S43" s="162">
        <f t="shared" si="19"/>
        <v>6929.84</v>
      </c>
      <c r="T43" s="162">
        <f t="shared" si="20"/>
        <v>8038.6144</v>
      </c>
      <c r="U43" s="162">
        <f t="shared" si="21"/>
        <v>9324.792704</v>
      </c>
      <c r="V43" s="162">
        <f t="shared" si="22"/>
        <v>10816.75953664</v>
      </c>
      <c r="W43" s="162">
        <f t="shared" si="23"/>
        <v>12547.4410625024</v>
      </c>
      <c r="X43" s="162">
        <f t="shared" si="24"/>
        <v>14555.031632502783</v>
      </c>
      <c r="Y43" s="162">
        <f t="shared" si="25"/>
        <v>16883.83669370323</v>
      </c>
      <c r="Z43" s="147">
        <f t="shared" si="26"/>
        <v>19585.250564695747</v>
      </c>
    </row>
    <row r="44" spans="1:26" ht="12.75">
      <c r="A44" s="81" t="s">
        <v>729</v>
      </c>
      <c r="B44" s="97">
        <v>6497</v>
      </c>
      <c r="C44" s="78"/>
      <c r="D44" s="111">
        <f t="shared" si="18"/>
        <v>0.21376943204555943</v>
      </c>
      <c r="E44" s="30">
        <f t="shared" si="4"/>
        <v>1388.8599999999997</v>
      </c>
      <c r="F44" s="104">
        <v>7885.86</v>
      </c>
      <c r="G44" s="270">
        <f t="shared" si="5"/>
        <v>0.09905577831713974</v>
      </c>
      <c r="H44" s="267">
        <v>8667</v>
      </c>
      <c r="I44" s="111">
        <f t="shared" si="32"/>
        <v>0.11084903865906837</v>
      </c>
      <c r="J44" s="30">
        <f t="shared" si="6"/>
        <v>874.1400000000003</v>
      </c>
      <c r="K44" s="153">
        <v>8760</v>
      </c>
      <c r="L44" s="142">
        <f t="shared" si="8"/>
        <v>0.17579908675799083</v>
      </c>
      <c r="M44" s="143">
        <f t="shared" si="9"/>
        <v>1540</v>
      </c>
      <c r="N44" s="179">
        <v>10300</v>
      </c>
      <c r="O44" s="146">
        <f t="shared" si="17"/>
        <v>0.16680585248753954</v>
      </c>
      <c r="P44" s="146">
        <v>0.16</v>
      </c>
      <c r="R44" s="162">
        <f t="shared" si="33"/>
        <v>11948</v>
      </c>
      <c r="S44" s="162">
        <f t="shared" si="19"/>
        <v>13859.68</v>
      </c>
      <c r="T44" s="162">
        <f t="shared" si="20"/>
        <v>16077.2288</v>
      </c>
      <c r="U44" s="162">
        <f t="shared" si="21"/>
        <v>18649.585408</v>
      </c>
      <c r="V44" s="162">
        <f t="shared" si="22"/>
        <v>21633.51907328</v>
      </c>
      <c r="W44" s="162">
        <f t="shared" si="23"/>
        <v>25094.8821250048</v>
      </c>
      <c r="X44" s="162">
        <f t="shared" si="24"/>
        <v>29110.063265005567</v>
      </c>
      <c r="Y44" s="162">
        <f t="shared" si="25"/>
        <v>33767.67338740646</v>
      </c>
      <c r="Z44" s="147">
        <f t="shared" si="26"/>
        <v>39170.501129391494</v>
      </c>
    </row>
    <row r="45" spans="1:26" ht="12.75">
      <c r="A45" s="85" t="s">
        <v>730</v>
      </c>
      <c r="B45" s="144">
        <f>SUM(B46+B50+B62)</f>
        <v>706193</v>
      </c>
      <c r="C45" s="78"/>
      <c r="D45" s="111">
        <f t="shared" si="18"/>
        <v>0.20574234239081934</v>
      </c>
      <c r="E45" s="30">
        <f t="shared" si="4"/>
        <v>145293.8019999999</v>
      </c>
      <c r="F45" s="144">
        <f>SUM(F46+F50+F62)</f>
        <v>851486.8019999999</v>
      </c>
      <c r="G45" s="270">
        <f t="shared" si="5"/>
        <v>-0.1383295686126207</v>
      </c>
      <c r="H45" s="267">
        <v>733701</v>
      </c>
      <c r="I45" s="111">
        <f t="shared" si="32"/>
        <v>-0.08644150658250593</v>
      </c>
      <c r="J45" s="30">
        <f t="shared" si="6"/>
        <v>-73603.80199999991</v>
      </c>
      <c r="K45" s="144">
        <f>SUM(K46+K50+K62)</f>
        <v>777883</v>
      </c>
      <c r="L45" s="142">
        <f t="shared" si="8"/>
        <v>0.5183671580430476</v>
      </c>
      <c r="M45" s="143">
        <f t="shared" si="9"/>
        <v>403229</v>
      </c>
      <c r="N45" s="144">
        <f>SUM(N46+N50+N62)</f>
        <v>1181112</v>
      </c>
      <c r="O45" s="146">
        <f t="shared" si="17"/>
        <v>0.21255599795045366</v>
      </c>
      <c r="P45" s="146"/>
      <c r="R45" s="166">
        <f aca="true" t="shared" si="36" ref="R45:Z45">SUM(R46+R50+R62)</f>
        <v>1343509.56</v>
      </c>
      <c r="S45" s="166">
        <f t="shared" si="36"/>
        <v>1528346.7528</v>
      </c>
      <c r="T45" s="166">
        <f t="shared" si="36"/>
        <v>1738739.9231639998</v>
      </c>
      <c r="U45" s="166">
        <f t="shared" si="36"/>
        <v>1978240.4195503201</v>
      </c>
      <c r="V45" s="166">
        <f t="shared" si="36"/>
        <v>2250895.6264231117</v>
      </c>
      <c r="W45" s="166">
        <f t="shared" si="36"/>
        <v>2561318.6030390537</v>
      </c>
      <c r="X45" s="166">
        <f t="shared" si="36"/>
        <v>2914767.5483922083</v>
      </c>
      <c r="Y45" s="166">
        <f t="shared" si="36"/>
        <v>3317236.4856849858</v>
      </c>
      <c r="Z45" s="166">
        <f t="shared" si="36"/>
        <v>3775558.758226092</v>
      </c>
    </row>
    <row r="46" spans="1:26" ht="12.75">
      <c r="A46" s="86" t="s">
        <v>731</v>
      </c>
      <c r="B46" s="32">
        <f>SUM(B47:B49)</f>
        <v>246752</v>
      </c>
      <c r="C46" s="78"/>
      <c r="D46" s="111">
        <f t="shared" si="18"/>
        <v>0.1534543104007262</v>
      </c>
      <c r="E46" s="30">
        <f t="shared" si="4"/>
        <v>37865.157999999996</v>
      </c>
      <c r="F46" s="144">
        <f>SUM(F47:F49)</f>
        <v>284617.158</v>
      </c>
      <c r="G46" s="270">
        <f t="shared" si="5"/>
        <v>-0.027384708830519577</v>
      </c>
      <c r="H46" s="267">
        <v>276823</v>
      </c>
      <c r="I46" s="111">
        <f t="shared" si="32"/>
        <v>-0.0168618014237919</v>
      </c>
      <c r="J46" s="30">
        <f t="shared" si="6"/>
        <v>-4799.157999999996</v>
      </c>
      <c r="K46" s="144">
        <f>SUM(K47:K49)</f>
        <v>279818</v>
      </c>
      <c r="L46" s="142">
        <f t="shared" si="8"/>
        <v>0.5819211058616671</v>
      </c>
      <c r="M46" s="143">
        <f t="shared" si="9"/>
        <v>162832</v>
      </c>
      <c r="N46" s="144">
        <f>SUM(N47:N49)</f>
        <v>442650</v>
      </c>
      <c r="O46" s="146">
        <f t="shared" si="17"/>
        <v>0.2395045382795338</v>
      </c>
      <c r="P46" s="146"/>
      <c r="R46" s="166">
        <f aca="true" t="shared" si="37" ref="R46:Z46">SUM(R47:R49)</f>
        <v>509047.5</v>
      </c>
      <c r="S46" s="166">
        <f t="shared" si="37"/>
        <v>585404.625</v>
      </c>
      <c r="T46" s="166">
        <f t="shared" si="37"/>
        <v>673215.31875</v>
      </c>
      <c r="U46" s="166">
        <f t="shared" si="37"/>
        <v>774197.6165625</v>
      </c>
      <c r="V46" s="166">
        <f t="shared" si="37"/>
        <v>890327.2590468749</v>
      </c>
      <c r="W46" s="166">
        <f t="shared" si="37"/>
        <v>1023876.3479039061</v>
      </c>
      <c r="X46" s="166">
        <f t="shared" si="37"/>
        <v>1177457.800089492</v>
      </c>
      <c r="Y46" s="166">
        <f t="shared" si="37"/>
        <v>1354076.470102916</v>
      </c>
      <c r="Z46" s="166">
        <f t="shared" si="37"/>
        <v>1557187.9406183534</v>
      </c>
    </row>
    <row r="47" spans="1:26" ht="12.75">
      <c r="A47" s="81" t="s">
        <v>732</v>
      </c>
      <c r="B47" s="30">
        <v>19944</v>
      </c>
      <c r="C47" s="78"/>
      <c r="D47" s="111">
        <f t="shared" si="18"/>
        <v>0.915325210589651</v>
      </c>
      <c r="E47" s="30">
        <f t="shared" si="4"/>
        <v>18255.246</v>
      </c>
      <c r="F47" s="104">
        <v>38199.246</v>
      </c>
      <c r="G47" s="270">
        <f t="shared" si="5"/>
        <v>0.1466980264479567</v>
      </c>
      <c r="H47" s="267">
        <v>43803</v>
      </c>
      <c r="I47" s="111">
        <f t="shared" si="32"/>
        <v>0.16381878322938626</v>
      </c>
      <c r="J47" s="30">
        <f t="shared" si="6"/>
        <v>6257.754000000001</v>
      </c>
      <c r="K47" s="153">
        <v>44457</v>
      </c>
      <c r="L47" s="142">
        <f t="shared" si="8"/>
        <v>4.263513057561239</v>
      </c>
      <c r="M47" s="143">
        <f t="shared" si="9"/>
        <v>189543</v>
      </c>
      <c r="N47" s="179">
        <v>234000</v>
      </c>
      <c r="O47" s="146">
        <f t="shared" si="17"/>
        <v>1.7808856837934253</v>
      </c>
      <c r="P47" s="146">
        <v>0.15</v>
      </c>
      <c r="R47" s="162">
        <f>(N47*P47)+N47</f>
        <v>269100</v>
      </c>
      <c r="S47" s="162">
        <f t="shared" si="19"/>
        <v>309465</v>
      </c>
      <c r="T47" s="162">
        <f t="shared" si="20"/>
        <v>355884.75</v>
      </c>
      <c r="U47" s="162">
        <f t="shared" si="21"/>
        <v>409267.4625</v>
      </c>
      <c r="V47" s="162">
        <f t="shared" si="22"/>
        <v>470657.58187500003</v>
      </c>
      <c r="W47" s="162">
        <f t="shared" si="23"/>
        <v>541256.21915625</v>
      </c>
      <c r="X47" s="162">
        <f t="shared" si="24"/>
        <v>622444.6520296875</v>
      </c>
      <c r="Y47" s="162">
        <f t="shared" si="25"/>
        <v>715811.3498341406</v>
      </c>
      <c r="Z47" s="147">
        <f t="shared" si="26"/>
        <v>823183.0523092618</v>
      </c>
    </row>
    <row r="48" spans="1:26" ht="13.5" thickBot="1">
      <c r="A48" s="87" t="s">
        <v>733</v>
      </c>
      <c r="B48" s="30">
        <v>226808</v>
      </c>
      <c r="C48" s="78"/>
      <c r="D48" s="111">
        <f t="shared" si="18"/>
        <v>0.0864604070403161</v>
      </c>
      <c r="E48" s="30">
        <f t="shared" si="4"/>
        <v>19609.91200000001</v>
      </c>
      <c r="F48" s="104">
        <v>246417.912</v>
      </c>
      <c r="G48" s="270">
        <f t="shared" si="5"/>
        <v>-0.05437069039039666</v>
      </c>
      <c r="H48" s="267">
        <v>233020</v>
      </c>
      <c r="I48" s="111">
        <f t="shared" si="32"/>
        <v>-0.0448705693115361</v>
      </c>
      <c r="J48" s="30">
        <f t="shared" si="6"/>
        <v>-11056.912000000011</v>
      </c>
      <c r="K48" s="155">
        <v>235361</v>
      </c>
      <c r="L48" s="142">
        <f t="shared" si="8"/>
        <v>-0.11348949061229341</v>
      </c>
      <c r="M48" s="143">
        <f t="shared" si="9"/>
        <v>-26711</v>
      </c>
      <c r="N48" s="179">
        <v>208650</v>
      </c>
      <c r="O48" s="146">
        <f t="shared" si="17"/>
        <v>-0.023966550961171135</v>
      </c>
      <c r="P48" s="146">
        <v>0.15</v>
      </c>
      <c r="R48" s="162">
        <f>(N48*P48)+N48</f>
        <v>239947.5</v>
      </c>
      <c r="S48" s="162">
        <f t="shared" si="19"/>
        <v>275939.625</v>
      </c>
      <c r="T48" s="162">
        <f t="shared" si="20"/>
        <v>317330.56875</v>
      </c>
      <c r="U48" s="162">
        <f t="shared" si="21"/>
        <v>364930.1540625</v>
      </c>
      <c r="V48" s="162">
        <f t="shared" si="22"/>
        <v>419669.67717187497</v>
      </c>
      <c r="W48" s="162">
        <f t="shared" si="23"/>
        <v>482620.1287476562</v>
      </c>
      <c r="X48" s="162">
        <f t="shared" si="24"/>
        <v>555013.1480598046</v>
      </c>
      <c r="Y48" s="162">
        <f t="shared" si="25"/>
        <v>638265.1202687753</v>
      </c>
      <c r="Z48" s="147">
        <f t="shared" si="26"/>
        <v>734004.8883090916</v>
      </c>
    </row>
    <row r="49" spans="1:26" ht="12.75">
      <c r="A49" s="81" t="s">
        <v>734</v>
      </c>
      <c r="B49" s="30">
        <v>0</v>
      </c>
      <c r="C49" s="78"/>
      <c r="D49" s="111">
        <v>0</v>
      </c>
      <c r="E49" s="30">
        <f t="shared" si="4"/>
        <v>0</v>
      </c>
      <c r="F49" s="104">
        <v>0</v>
      </c>
      <c r="G49" s="270" t="e">
        <f t="shared" si="5"/>
        <v>#DIV/0!</v>
      </c>
      <c r="H49" s="267">
        <v>0</v>
      </c>
      <c r="I49" s="111">
        <v>0</v>
      </c>
      <c r="J49" s="30">
        <f t="shared" si="6"/>
        <v>0</v>
      </c>
      <c r="K49" s="153">
        <v>0</v>
      </c>
      <c r="L49" s="142">
        <v>0</v>
      </c>
      <c r="M49" s="143">
        <f t="shared" si="9"/>
        <v>0</v>
      </c>
      <c r="N49" s="179">
        <v>0</v>
      </c>
      <c r="O49" s="146">
        <f t="shared" si="17"/>
        <v>0</v>
      </c>
      <c r="P49" s="146"/>
      <c r="R49" s="190"/>
      <c r="S49" s="162">
        <f t="shared" si="19"/>
        <v>0</v>
      </c>
      <c r="T49" s="162">
        <f t="shared" si="20"/>
        <v>0</v>
      </c>
      <c r="U49" s="162">
        <f t="shared" si="21"/>
        <v>0</v>
      </c>
      <c r="V49" s="162">
        <f t="shared" si="22"/>
        <v>0</v>
      </c>
      <c r="W49" s="162">
        <f t="shared" si="23"/>
        <v>0</v>
      </c>
      <c r="X49" s="162">
        <f t="shared" si="24"/>
        <v>0</v>
      </c>
      <c r="Y49" s="162">
        <f t="shared" si="25"/>
        <v>0</v>
      </c>
      <c r="Z49" s="147">
        <f t="shared" si="26"/>
        <v>0</v>
      </c>
    </row>
    <row r="50" spans="1:26" ht="12.75">
      <c r="A50" s="86" t="s">
        <v>735</v>
      </c>
      <c r="B50" s="32">
        <f>SUM(B51:B61)</f>
        <v>389999</v>
      </c>
      <c r="C50" s="78"/>
      <c r="D50" s="111">
        <f t="shared" si="18"/>
        <v>0.23880847386788173</v>
      </c>
      <c r="E50" s="30">
        <f t="shared" si="4"/>
        <v>93135.06599999999</v>
      </c>
      <c r="F50" s="144">
        <f>SUM(F51:F61)</f>
        <v>483134.066</v>
      </c>
      <c r="G50" s="270">
        <f t="shared" si="5"/>
        <v>-0.11130671543248205</v>
      </c>
      <c r="H50" s="267">
        <v>429358</v>
      </c>
      <c r="I50" s="111">
        <f aca="true" t="shared" si="38" ref="I50:I67">K50/F50-1</f>
        <v>-0.035594811482409505</v>
      </c>
      <c r="J50" s="30">
        <f t="shared" si="6"/>
        <v>-17197.06599999999</v>
      </c>
      <c r="K50" s="144">
        <f>SUM(K51:K61)</f>
        <v>465937</v>
      </c>
      <c r="L50" s="142">
        <f t="shared" si="8"/>
        <v>0.37027538057720255</v>
      </c>
      <c r="M50" s="143">
        <f t="shared" si="9"/>
        <v>172525</v>
      </c>
      <c r="N50" s="144">
        <f>SUM(N51:N61)</f>
        <v>638462</v>
      </c>
      <c r="O50" s="146">
        <f t="shared" si="17"/>
        <v>0.19116301432089158</v>
      </c>
      <c r="P50" s="146"/>
      <c r="R50" s="166">
        <f aca="true" t="shared" si="39" ref="R50:Z50">SUM(R51:R61)</f>
        <v>721462.0599999999</v>
      </c>
      <c r="S50" s="166">
        <f t="shared" si="39"/>
        <v>815252.1277999999</v>
      </c>
      <c r="T50" s="166">
        <f t="shared" si="39"/>
        <v>921234.9044139999</v>
      </c>
      <c r="U50" s="166">
        <f t="shared" si="39"/>
        <v>1040995.44198782</v>
      </c>
      <c r="V50" s="166">
        <f t="shared" si="39"/>
        <v>1176324.8494462366</v>
      </c>
      <c r="W50" s="166">
        <f t="shared" si="39"/>
        <v>1329247.0798742473</v>
      </c>
      <c r="X50" s="166">
        <f t="shared" si="39"/>
        <v>1502049.2002578992</v>
      </c>
      <c r="Y50" s="166">
        <f t="shared" si="39"/>
        <v>1697315.5962914266</v>
      </c>
      <c r="Z50" s="166">
        <f t="shared" si="39"/>
        <v>1917966.6238093115</v>
      </c>
    </row>
    <row r="51" spans="1:26" ht="12.75">
      <c r="A51" s="81" t="s">
        <v>736</v>
      </c>
      <c r="B51" s="30">
        <v>54168</v>
      </c>
      <c r="C51" s="78"/>
      <c r="D51" s="111">
        <f t="shared" si="18"/>
        <v>-0.3732125978437454</v>
      </c>
      <c r="E51" s="30">
        <f t="shared" si="4"/>
        <v>-20216.18</v>
      </c>
      <c r="F51" s="104">
        <v>33951.82</v>
      </c>
      <c r="G51" s="270">
        <f t="shared" si="5"/>
        <v>1.1498405681933987</v>
      </c>
      <c r="H51" s="267">
        <v>72991</v>
      </c>
      <c r="I51" s="111">
        <f t="shared" si="38"/>
        <v>1.2822340599119575</v>
      </c>
      <c r="J51" s="30">
        <f t="shared" si="6"/>
        <v>43534.18</v>
      </c>
      <c r="K51" s="153">
        <v>77486</v>
      </c>
      <c r="L51" s="142">
        <f t="shared" si="8"/>
        <v>0.6777224272771856</v>
      </c>
      <c r="M51" s="143">
        <f t="shared" si="9"/>
        <v>52514</v>
      </c>
      <c r="N51" s="179">
        <v>130000</v>
      </c>
      <c r="O51" s="146">
        <f t="shared" si="17"/>
        <v>0.5289146297817992</v>
      </c>
      <c r="P51" s="146">
        <v>0.13</v>
      </c>
      <c r="R51" s="162">
        <f aca="true" t="shared" si="40" ref="R51:R72">(N51*P51)+N51</f>
        <v>146900</v>
      </c>
      <c r="S51" s="162">
        <f t="shared" si="19"/>
        <v>165997</v>
      </c>
      <c r="T51" s="162">
        <f t="shared" si="20"/>
        <v>187576.61</v>
      </c>
      <c r="U51" s="162">
        <f t="shared" si="21"/>
        <v>211961.56929999997</v>
      </c>
      <c r="V51" s="162">
        <f t="shared" si="22"/>
        <v>239516.57330899997</v>
      </c>
      <c r="W51" s="162">
        <f t="shared" si="23"/>
        <v>270653.72783916997</v>
      </c>
      <c r="X51" s="162">
        <f t="shared" si="24"/>
        <v>305838.71245826205</v>
      </c>
      <c r="Y51" s="162">
        <f t="shared" si="25"/>
        <v>345597.7450778361</v>
      </c>
      <c r="Z51" s="147">
        <f t="shared" si="26"/>
        <v>390525.45193795476</v>
      </c>
    </row>
    <row r="52" spans="1:26" ht="12.75">
      <c r="A52" s="81" t="s">
        <v>737</v>
      </c>
      <c r="B52" s="30">
        <v>44456</v>
      </c>
      <c r="C52" s="78"/>
      <c r="D52" s="111">
        <f t="shared" si="18"/>
        <v>0.1467968328234659</v>
      </c>
      <c r="E52" s="30">
        <f t="shared" si="4"/>
        <v>6526</v>
      </c>
      <c r="F52" s="104">
        <v>50982</v>
      </c>
      <c r="G52" s="270">
        <f t="shared" si="5"/>
        <v>0.2550311874779334</v>
      </c>
      <c r="H52" s="267">
        <v>63984</v>
      </c>
      <c r="I52" s="111">
        <f t="shared" si="38"/>
        <v>0.3134831901455415</v>
      </c>
      <c r="J52" s="30">
        <f t="shared" si="6"/>
        <v>15982</v>
      </c>
      <c r="K52" s="153">
        <v>66964</v>
      </c>
      <c r="L52" s="142">
        <f t="shared" si="8"/>
        <v>0.4933397049160744</v>
      </c>
      <c r="M52" s="143">
        <f t="shared" si="9"/>
        <v>33036</v>
      </c>
      <c r="N52" s="179">
        <f>80000+20000</f>
        <v>100000</v>
      </c>
      <c r="O52" s="146">
        <f t="shared" si="17"/>
        <v>0.3178732426283606</v>
      </c>
      <c r="P52" s="146">
        <v>0.13</v>
      </c>
      <c r="R52" s="162">
        <f t="shared" si="40"/>
        <v>113000</v>
      </c>
      <c r="S52" s="162">
        <f t="shared" si="19"/>
        <v>127690</v>
      </c>
      <c r="T52" s="162">
        <f t="shared" si="20"/>
        <v>144289.7</v>
      </c>
      <c r="U52" s="162">
        <f t="shared" si="21"/>
        <v>163047.361</v>
      </c>
      <c r="V52" s="162">
        <f t="shared" si="22"/>
        <v>184243.51793</v>
      </c>
      <c r="W52" s="162">
        <f t="shared" si="23"/>
        <v>208195.1752609</v>
      </c>
      <c r="X52" s="162">
        <f t="shared" si="24"/>
        <v>235260.548044817</v>
      </c>
      <c r="Y52" s="162">
        <f t="shared" si="25"/>
        <v>265844.4192906432</v>
      </c>
      <c r="Z52" s="147">
        <f t="shared" si="26"/>
        <v>300404.1937984268</v>
      </c>
    </row>
    <row r="53" spans="1:26" ht="12.75">
      <c r="A53" s="81" t="s">
        <v>738</v>
      </c>
      <c r="B53" s="30">
        <v>27283</v>
      </c>
      <c r="C53" s="78"/>
      <c r="D53" s="111">
        <f t="shared" si="18"/>
        <v>0.9362892277242238</v>
      </c>
      <c r="E53" s="30">
        <f t="shared" si="4"/>
        <v>25544.779000000002</v>
      </c>
      <c r="F53" s="104">
        <v>52827.779</v>
      </c>
      <c r="G53" s="270">
        <f t="shared" si="5"/>
        <v>-0.7068587721622748</v>
      </c>
      <c r="H53" s="267">
        <v>15486</v>
      </c>
      <c r="I53" s="111">
        <f t="shared" si="38"/>
        <v>-0.6520391288833096</v>
      </c>
      <c r="J53" s="30">
        <f t="shared" si="6"/>
        <v>-34445.779</v>
      </c>
      <c r="K53" s="153">
        <v>18382</v>
      </c>
      <c r="L53" s="142">
        <f t="shared" si="8"/>
        <v>1.1579806332281581</v>
      </c>
      <c r="M53" s="143">
        <f t="shared" si="9"/>
        <v>21286</v>
      </c>
      <c r="N53" s="179">
        <v>39668</v>
      </c>
      <c r="O53" s="146">
        <f t="shared" si="17"/>
        <v>0.4807435773563575</v>
      </c>
      <c r="P53" s="146">
        <v>0.13</v>
      </c>
      <c r="R53" s="162">
        <f t="shared" si="40"/>
        <v>44824.84</v>
      </c>
      <c r="S53" s="162">
        <f t="shared" si="19"/>
        <v>50652.0692</v>
      </c>
      <c r="T53" s="162">
        <f t="shared" si="20"/>
        <v>57236.838196</v>
      </c>
      <c r="U53" s="162">
        <f t="shared" si="21"/>
        <v>64677.62716148</v>
      </c>
      <c r="V53" s="162">
        <f t="shared" si="22"/>
        <v>73085.7186924724</v>
      </c>
      <c r="W53" s="162">
        <f t="shared" si="23"/>
        <v>82586.86212249381</v>
      </c>
      <c r="X53" s="162">
        <f t="shared" si="24"/>
        <v>93323.15419841801</v>
      </c>
      <c r="Y53" s="162">
        <f t="shared" si="25"/>
        <v>105455.16424421236</v>
      </c>
      <c r="Z53" s="147">
        <f t="shared" si="26"/>
        <v>119164.33559595996</v>
      </c>
    </row>
    <row r="54" spans="1:26" ht="12.75">
      <c r="A54" s="81" t="s">
        <v>739</v>
      </c>
      <c r="B54" s="30">
        <v>7695</v>
      </c>
      <c r="C54" s="78"/>
      <c r="D54" s="111">
        <f t="shared" si="18"/>
        <v>-0.014269005847953209</v>
      </c>
      <c r="E54" s="30">
        <f t="shared" si="4"/>
        <v>-109.80000000000018</v>
      </c>
      <c r="F54" s="104">
        <v>7585.2</v>
      </c>
      <c r="G54" s="270">
        <f t="shared" si="5"/>
        <v>0.2524389600801562</v>
      </c>
      <c r="H54" s="267">
        <v>9500</v>
      </c>
      <c r="I54" s="111">
        <f t="shared" si="38"/>
        <v>0.4275167431313611</v>
      </c>
      <c r="J54" s="30">
        <f t="shared" si="6"/>
        <v>3242.8</v>
      </c>
      <c r="K54" s="153">
        <v>10828</v>
      </c>
      <c r="L54" s="142">
        <f t="shared" si="8"/>
        <v>1.7705947543405984</v>
      </c>
      <c r="M54" s="143">
        <f t="shared" si="9"/>
        <v>19172</v>
      </c>
      <c r="N54" s="179">
        <v>30000</v>
      </c>
      <c r="O54" s="146">
        <f t="shared" si="17"/>
        <v>0.7279474972080021</v>
      </c>
      <c r="P54" s="146">
        <v>0.13</v>
      </c>
      <c r="R54" s="162">
        <f t="shared" si="40"/>
        <v>33900</v>
      </c>
      <c r="S54" s="162">
        <f t="shared" si="19"/>
        <v>38307</v>
      </c>
      <c r="T54" s="162">
        <f t="shared" si="20"/>
        <v>43286.91</v>
      </c>
      <c r="U54" s="162">
        <f t="shared" si="21"/>
        <v>48914.208300000006</v>
      </c>
      <c r="V54" s="162">
        <f t="shared" si="22"/>
        <v>55273.055379000005</v>
      </c>
      <c r="W54" s="162">
        <f t="shared" si="23"/>
        <v>62458.552578270006</v>
      </c>
      <c r="X54" s="162">
        <f t="shared" si="24"/>
        <v>70578.1644134451</v>
      </c>
      <c r="Y54" s="162">
        <f t="shared" si="25"/>
        <v>79753.32578719297</v>
      </c>
      <c r="Z54" s="147">
        <f t="shared" si="26"/>
        <v>90121.25813952806</v>
      </c>
    </row>
    <row r="55" spans="1:26" ht="12.75">
      <c r="A55" s="81" t="s">
        <v>740</v>
      </c>
      <c r="B55" s="30">
        <v>59870</v>
      </c>
      <c r="C55" s="78"/>
      <c r="D55" s="111">
        <f t="shared" si="18"/>
        <v>-0.34305852680808413</v>
      </c>
      <c r="E55" s="30">
        <f t="shared" si="4"/>
        <v>-20538.913999999997</v>
      </c>
      <c r="F55" s="104">
        <v>39331.086</v>
      </c>
      <c r="G55" s="270">
        <f t="shared" si="5"/>
        <v>0.4883901247984863</v>
      </c>
      <c r="H55" s="267">
        <v>58540</v>
      </c>
      <c r="I55" s="111">
        <f t="shared" si="38"/>
        <v>0.7415232317765137</v>
      </c>
      <c r="J55" s="30">
        <f t="shared" si="6"/>
        <v>29164.913999999997</v>
      </c>
      <c r="K55" s="153">
        <v>68496</v>
      </c>
      <c r="L55" s="142">
        <f t="shared" si="8"/>
        <v>0.3139453398738612</v>
      </c>
      <c r="M55" s="143">
        <f t="shared" si="9"/>
        <v>21504</v>
      </c>
      <c r="N55" s="179">
        <v>90000</v>
      </c>
      <c r="O55" s="146">
        <f t="shared" si="17"/>
        <v>0.23747001494743025</v>
      </c>
      <c r="P55" s="146">
        <v>0.13</v>
      </c>
      <c r="R55" s="162">
        <f t="shared" si="40"/>
        <v>101700</v>
      </c>
      <c r="S55" s="162">
        <f t="shared" si="19"/>
        <v>114921</v>
      </c>
      <c r="T55" s="162">
        <f t="shared" si="20"/>
        <v>129860.73</v>
      </c>
      <c r="U55" s="162">
        <f t="shared" si="21"/>
        <v>146742.6249</v>
      </c>
      <c r="V55" s="162">
        <f t="shared" si="22"/>
        <v>165819.166137</v>
      </c>
      <c r="W55" s="162">
        <f t="shared" si="23"/>
        <v>187375.65773481</v>
      </c>
      <c r="X55" s="162">
        <f t="shared" si="24"/>
        <v>211734.4932403353</v>
      </c>
      <c r="Y55" s="162">
        <f t="shared" si="25"/>
        <v>239259.97736157887</v>
      </c>
      <c r="Z55" s="147">
        <f t="shared" si="26"/>
        <v>270363.77441858413</v>
      </c>
    </row>
    <row r="56" spans="1:26" ht="12.75">
      <c r="A56" s="81" t="s">
        <v>741</v>
      </c>
      <c r="B56" s="30">
        <v>108008</v>
      </c>
      <c r="C56" s="78"/>
      <c r="D56" s="111">
        <f t="shared" si="18"/>
        <v>0.4659225705503296</v>
      </c>
      <c r="E56" s="30">
        <f t="shared" si="4"/>
        <v>50323.36499999999</v>
      </c>
      <c r="F56" s="104">
        <v>158331.365</v>
      </c>
      <c r="G56" s="270">
        <f t="shared" si="5"/>
        <v>-0.1810213977502183</v>
      </c>
      <c r="H56" s="267">
        <v>129670</v>
      </c>
      <c r="I56" s="111">
        <f t="shared" si="38"/>
        <v>-0.1596927115483403</v>
      </c>
      <c r="J56" s="30">
        <f t="shared" si="6"/>
        <v>-25284.36499999999</v>
      </c>
      <c r="K56" s="153">
        <v>133047</v>
      </c>
      <c r="L56" s="142">
        <f t="shared" si="8"/>
        <v>-0.09806309048682049</v>
      </c>
      <c r="M56" s="143">
        <f t="shared" si="9"/>
        <v>-13047</v>
      </c>
      <c r="N56" s="179">
        <v>120000</v>
      </c>
      <c r="O56" s="146">
        <f t="shared" si="17"/>
        <v>0.0693889228383896</v>
      </c>
      <c r="P56" s="146">
        <v>0.13</v>
      </c>
      <c r="R56" s="162">
        <f t="shared" si="40"/>
        <v>135600</v>
      </c>
      <c r="S56" s="162">
        <f t="shared" si="19"/>
        <v>153228</v>
      </c>
      <c r="T56" s="162">
        <f t="shared" si="20"/>
        <v>173147.64</v>
      </c>
      <c r="U56" s="162">
        <f t="shared" si="21"/>
        <v>195656.83320000002</v>
      </c>
      <c r="V56" s="162">
        <f t="shared" si="22"/>
        <v>221092.22151600002</v>
      </c>
      <c r="W56" s="162">
        <f t="shared" si="23"/>
        <v>249834.21031308002</v>
      </c>
      <c r="X56" s="162">
        <f t="shared" si="24"/>
        <v>282312.6576537804</v>
      </c>
      <c r="Y56" s="162">
        <f t="shared" si="25"/>
        <v>319013.30314877187</v>
      </c>
      <c r="Z56" s="147">
        <f t="shared" si="26"/>
        <v>360485.03255811223</v>
      </c>
    </row>
    <row r="57" spans="1:26" ht="12.75">
      <c r="A57" s="81" t="s">
        <v>742</v>
      </c>
      <c r="B57" s="30">
        <v>8700</v>
      </c>
      <c r="C57" s="78"/>
      <c r="D57" s="111">
        <f t="shared" si="18"/>
        <v>2.1745402298850576</v>
      </c>
      <c r="E57" s="30">
        <f t="shared" si="4"/>
        <v>18918.5</v>
      </c>
      <c r="F57" s="104">
        <v>27618.5</v>
      </c>
      <c r="G57" s="270">
        <f t="shared" si="5"/>
        <v>-0.4677480674185781</v>
      </c>
      <c r="H57" s="267">
        <v>14700</v>
      </c>
      <c r="I57" s="111">
        <f t="shared" si="38"/>
        <v>-0.4568857830801818</v>
      </c>
      <c r="J57" s="30">
        <f t="shared" si="6"/>
        <v>-12618.5</v>
      </c>
      <c r="K57" s="153">
        <v>15000</v>
      </c>
      <c r="L57" s="142">
        <f t="shared" si="8"/>
        <v>0.33333333333333326</v>
      </c>
      <c r="M57" s="143">
        <f t="shared" si="9"/>
        <v>5000</v>
      </c>
      <c r="N57" s="179">
        <v>20000</v>
      </c>
      <c r="O57" s="146">
        <f t="shared" si="17"/>
        <v>0.683662593379403</v>
      </c>
      <c r="P57" s="146">
        <v>0.13</v>
      </c>
      <c r="R57" s="162">
        <f t="shared" si="40"/>
        <v>22600</v>
      </c>
      <c r="S57" s="162">
        <f t="shared" si="19"/>
        <v>25538</v>
      </c>
      <c r="T57" s="162">
        <f t="shared" si="20"/>
        <v>28857.94</v>
      </c>
      <c r="U57" s="162">
        <f t="shared" si="21"/>
        <v>32609.4722</v>
      </c>
      <c r="V57" s="162">
        <f t="shared" si="22"/>
        <v>36848.703586</v>
      </c>
      <c r="W57" s="162">
        <f t="shared" si="23"/>
        <v>41639.03505218001</v>
      </c>
      <c r="X57" s="162">
        <f t="shared" si="24"/>
        <v>47052.10960896341</v>
      </c>
      <c r="Y57" s="162">
        <f t="shared" si="25"/>
        <v>53168.883858128655</v>
      </c>
      <c r="Z57" s="147">
        <f t="shared" si="26"/>
        <v>60080.83875968538</v>
      </c>
    </row>
    <row r="58" spans="1:26" ht="12.75">
      <c r="A58" s="81" t="s">
        <v>743</v>
      </c>
      <c r="B58" s="30">
        <v>7659</v>
      </c>
      <c r="C58" s="78"/>
      <c r="D58" s="111">
        <f t="shared" si="18"/>
        <v>3.8768962005483747</v>
      </c>
      <c r="E58" s="30">
        <f t="shared" si="4"/>
        <v>29693.148</v>
      </c>
      <c r="F58" s="104">
        <v>37352.148</v>
      </c>
      <c r="G58" s="270">
        <f t="shared" si="5"/>
        <v>-0.9880060445252038</v>
      </c>
      <c r="H58" s="267">
        <v>448</v>
      </c>
      <c r="I58" s="111">
        <f t="shared" si="38"/>
        <v>-0.8150039456900846</v>
      </c>
      <c r="J58" s="30">
        <f t="shared" si="6"/>
        <v>-30442.148</v>
      </c>
      <c r="K58" s="153">
        <v>6910</v>
      </c>
      <c r="L58" s="142">
        <f t="shared" si="8"/>
        <v>0.07004341534008685</v>
      </c>
      <c r="M58" s="143">
        <f t="shared" si="9"/>
        <v>484</v>
      </c>
      <c r="N58" s="179">
        <v>7394</v>
      </c>
      <c r="O58" s="146">
        <f t="shared" si="17"/>
        <v>1.0439785567327924</v>
      </c>
      <c r="P58" s="146">
        <v>0.13</v>
      </c>
      <c r="R58" s="162">
        <f t="shared" si="40"/>
        <v>8355.22</v>
      </c>
      <c r="S58" s="162">
        <f t="shared" si="19"/>
        <v>9441.398599999999</v>
      </c>
      <c r="T58" s="162">
        <f t="shared" si="20"/>
        <v>10668.780417999998</v>
      </c>
      <c r="U58" s="162">
        <f t="shared" si="21"/>
        <v>12055.721872339998</v>
      </c>
      <c r="V58" s="162">
        <f t="shared" si="22"/>
        <v>13622.965715744198</v>
      </c>
      <c r="W58" s="162">
        <f t="shared" si="23"/>
        <v>15393.951258790943</v>
      </c>
      <c r="X58" s="162">
        <f t="shared" si="24"/>
        <v>17395.164922433767</v>
      </c>
      <c r="Y58" s="162">
        <f t="shared" si="25"/>
        <v>19656.536362350158</v>
      </c>
      <c r="Z58" s="147">
        <f t="shared" si="26"/>
        <v>22211.88608945568</v>
      </c>
    </row>
    <row r="59" spans="1:26" ht="12.75">
      <c r="A59" s="81" t="s">
        <v>744</v>
      </c>
      <c r="B59" s="30">
        <v>10075</v>
      </c>
      <c r="C59" s="78"/>
      <c r="D59" s="111">
        <f t="shared" si="18"/>
        <v>-0.04874660049627799</v>
      </c>
      <c r="E59" s="30">
        <f t="shared" si="4"/>
        <v>-491.1220000000012</v>
      </c>
      <c r="F59" s="104">
        <v>9583.877999999999</v>
      </c>
      <c r="G59" s="270">
        <f t="shared" si="5"/>
        <v>-0.17851625406750782</v>
      </c>
      <c r="H59" s="267">
        <v>7873</v>
      </c>
      <c r="I59" s="111">
        <f t="shared" si="38"/>
        <v>0.02307228869148803</v>
      </c>
      <c r="J59" s="30">
        <f t="shared" si="6"/>
        <v>221.1220000000012</v>
      </c>
      <c r="K59" s="153">
        <v>9805</v>
      </c>
      <c r="L59" s="142">
        <f t="shared" si="8"/>
        <v>0.0912799592044875</v>
      </c>
      <c r="M59" s="143">
        <f t="shared" si="9"/>
        <v>895</v>
      </c>
      <c r="N59" s="179">
        <v>10700</v>
      </c>
      <c r="O59" s="146">
        <f t="shared" si="17"/>
        <v>0.021868549133232513</v>
      </c>
      <c r="P59" s="146">
        <v>0.13</v>
      </c>
      <c r="R59" s="162">
        <f t="shared" si="40"/>
        <v>12091</v>
      </c>
      <c r="S59" s="162">
        <f t="shared" si="19"/>
        <v>13662.83</v>
      </c>
      <c r="T59" s="162">
        <f t="shared" si="20"/>
        <v>15438.9979</v>
      </c>
      <c r="U59" s="162">
        <f t="shared" si="21"/>
        <v>17446.067627</v>
      </c>
      <c r="V59" s="162">
        <f t="shared" si="22"/>
        <v>19714.05641851</v>
      </c>
      <c r="W59" s="162">
        <f t="shared" si="23"/>
        <v>22276.883752916303</v>
      </c>
      <c r="X59" s="162">
        <f t="shared" si="24"/>
        <v>25172.87864079542</v>
      </c>
      <c r="Y59" s="162">
        <f t="shared" si="25"/>
        <v>28445.352864098826</v>
      </c>
      <c r="Z59" s="147">
        <f t="shared" si="26"/>
        <v>32143.248736431673</v>
      </c>
    </row>
    <row r="60" spans="1:26" ht="12.75">
      <c r="A60" s="81" t="s">
        <v>745</v>
      </c>
      <c r="B60" s="30">
        <v>4017</v>
      </c>
      <c r="C60" s="78"/>
      <c r="D60" s="111">
        <f t="shared" si="18"/>
        <v>0.22902663679362711</v>
      </c>
      <c r="E60" s="30">
        <f t="shared" si="4"/>
        <v>920</v>
      </c>
      <c r="F60" s="104">
        <v>4937</v>
      </c>
      <c r="G60" s="270">
        <f t="shared" si="5"/>
        <v>1.2284788332995746</v>
      </c>
      <c r="H60" s="267">
        <v>11002</v>
      </c>
      <c r="I60" s="111">
        <f t="shared" si="38"/>
        <v>1.2284788332995746</v>
      </c>
      <c r="J60" s="30">
        <f t="shared" si="6"/>
        <v>6065</v>
      </c>
      <c r="K60" s="153">
        <v>11002</v>
      </c>
      <c r="L60" s="142">
        <f t="shared" si="8"/>
        <v>-0.027449554626431505</v>
      </c>
      <c r="M60" s="143">
        <f t="shared" si="9"/>
        <v>-302</v>
      </c>
      <c r="N60" s="179">
        <v>10700</v>
      </c>
      <c r="O60" s="146">
        <f t="shared" si="17"/>
        <v>0.4766853051555901</v>
      </c>
      <c r="P60" s="146">
        <v>0.13</v>
      </c>
      <c r="R60" s="162">
        <f t="shared" si="40"/>
        <v>12091</v>
      </c>
      <c r="S60" s="162">
        <f t="shared" si="19"/>
        <v>13662.83</v>
      </c>
      <c r="T60" s="162">
        <f t="shared" si="20"/>
        <v>15438.9979</v>
      </c>
      <c r="U60" s="162">
        <f t="shared" si="21"/>
        <v>17446.067627</v>
      </c>
      <c r="V60" s="162">
        <f t="shared" si="22"/>
        <v>19714.05641851</v>
      </c>
      <c r="W60" s="162">
        <f t="shared" si="23"/>
        <v>22276.883752916303</v>
      </c>
      <c r="X60" s="162">
        <f t="shared" si="24"/>
        <v>25172.87864079542</v>
      </c>
      <c r="Y60" s="162">
        <f t="shared" si="25"/>
        <v>28445.352864098826</v>
      </c>
      <c r="Z60" s="147">
        <f t="shared" si="26"/>
        <v>32143.248736431673</v>
      </c>
    </row>
    <row r="61" spans="1:26" ht="12.75">
      <c r="A61" s="81" t="s">
        <v>501</v>
      </c>
      <c r="B61" s="30">
        <v>58068</v>
      </c>
      <c r="C61" s="78"/>
      <c r="D61" s="111">
        <f t="shared" si="18"/>
        <v>0.044177343803816216</v>
      </c>
      <c r="E61" s="30">
        <f t="shared" si="4"/>
        <v>2565.290000000001</v>
      </c>
      <c r="F61" s="104">
        <v>60633.29</v>
      </c>
      <c r="G61" s="270">
        <f t="shared" si="5"/>
        <v>-0.25512865952020747</v>
      </c>
      <c r="H61" s="267">
        <v>45164</v>
      </c>
      <c r="I61" s="111">
        <f t="shared" si="38"/>
        <v>-0.2080752998888894</v>
      </c>
      <c r="J61" s="30">
        <f t="shared" si="6"/>
        <v>-12616.29</v>
      </c>
      <c r="K61" s="153">
        <v>48017</v>
      </c>
      <c r="L61" s="142">
        <f t="shared" si="8"/>
        <v>0.6660765978715872</v>
      </c>
      <c r="M61" s="143">
        <f t="shared" si="9"/>
        <v>31983</v>
      </c>
      <c r="N61" s="179">
        <v>80000</v>
      </c>
      <c r="O61" s="146">
        <f t="shared" si="17"/>
        <v>0.1673928805955047</v>
      </c>
      <c r="P61" s="146">
        <v>0.13</v>
      </c>
      <c r="R61" s="162">
        <f t="shared" si="40"/>
        <v>90400</v>
      </c>
      <c r="S61" s="162">
        <f t="shared" si="19"/>
        <v>102152</v>
      </c>
      <c r="T61" s="162">
        <f t="shared" si="20"/>
        <v>115431.76</v>
      </c>
      <c r="U61" s="162">
        <f t="shared" si="21"/>
        <v>130437.8888</v>
      </c>
      <c r="V61" s="162">
        <f t="shared" si="22"/>
        <v>147394.814344</v>
      </c>
      <c r="W61" s="162">
        <f t="shared" si="23"/>
        <v>166556.14020872003</v>
      </c>
      <c r="X61" s="162">
        <f t="shared" si="24"/>
        <v>188208.43843585363</v>
      </c>
      <c r="Y61" s="162">
        <f t="shared" si="25"/>
        <v>212675.53543251462</v>
      </c>
      <c r="Z61" s="147">
        <f t="shared" si="26"/>
        <v>240323.35503874152</v>
      </c>
    </row>
    <row r="62" spans="1:26" ht="12.75">
      <c r="A62" s="86" t="s">
        <v>746</v>
      </c>
      <c r="B62" s="30">
        <f>SUM(B63:B72)</f>
        <v>69442</v>
      </c>
      <c r="C62" s="78"/>
      <c r="D62" s="111">
        <f t="shared" si="18"/>
        <v>0.2058347685838542</v>
      </c>
      <c r="E62" s="30">
        <f t="shared" si="4"/>
        <v>14293.578000000009</v>
      </c>
      <c r="F62" s="144">
        <f>SUM(F63:F72)</f>
        <v>83735.57800000001</v>
      </c>
      <c r="G62" s="270">
        <f t="shared" si="5"/>
        <v>-0.6713463899419194</v>
      </c>
      <c r="H62" s="267">
        <v>27520</v>
      </c>
      <c r="I62" s="111">
        <f t="shared" si="38"/>
        <v>-0.6163160180252174</v>
      </c>
      <c r="J62" s="30">
        <f t="shared" si="6"/>
        <v>-51607.57800000001</v>
      </c>
      <c r="K62" s="144">
        <f>SUM(K63:K72)</f>
        <v>32128</v>
      </c>
      <c r="L62" s="142">
        <f t="shared" si="8"/>
        <v>2.112549800796813</v>
      </c>
      <c r="M62" s="143">
        <f t="shared" si="9"/>
        <v>67872</v>
      </c>
      <c r="N62" s="144">
        <f>SUM(N63:N72)</f>
        <v>100000</v>
      </c>
      <c r="O62" s="146">
        <f t="shared" si="17"/>
        <v>0.5673561837851498</v>
      </c>
      <c r="P62" s="146"/>
      <c r="R62" s="166">
        <f aca="true" t="shared" si="41" ref="R62:Z62">SUM(R63:R72)</f>
        <v>113000</v>
      </c>
      <c r="S62" s="166">
        <f t="shared" si="41"/>
        <v>127690</v>
      </c>
      <c r="T62" s="166">
        <f t="shared" si="41"/>
        <v>144289.69999999998</v>
      </c>
      <c r="U62" s="166">
        <f t="shared" si="41"/>
        <v>163047.361</v>
      </c>
      <c r="V62" s="166">
        <f t="shared" si="41"/>
        <v>184243.51793000003</v>
      </c>
      <c r="W62" s="166">
        <f t="shared" si="41"/>
        <v>208195.17526090003</v>
      </c>
      <c r="X62" s="166">
        <f t="shared" si="41"/>
        <v>235260.548044817</v>
      </c>
      <c r="Y62" s="166">
        <f t="shared" si="41"/>
        <v>265844.4192906433</v>
      </c>
      <c r="Z62" s="166">
        <f t="shared" si="41"/>
        <v>300404.1937984269</v>
      </c>
    </row>
    <row r="63" spans="1:26" ht="12.75">
      <c r="A63" s="81" t="s">
        <v>747</v>
      </c>
      <c r="B63" s="30">
        <v>5523</v>
      </c>
      <c r="C63" s="78"/>
      <c r="D63" s="111">
        <f t="shared" si="18"/>
        <v>0.5626652181785263</v>
      </c>
      <c r="E63" s="30">
        <f t="shared" si="4"/>
        <v>3107.6000000000004</v>
      </c>
      <c r="F63" s="104">
        <v>8630.6</v>
      </c>
      <c r="G63" s="270">
        <f t="shared" si="5"/>
        <v>-1</v>
      </c>
      <c r="H63" s="267">
        <v>0</v>
      </c>
      <c r="I63" s="111">
        <f t="shared" si="38"/>
        <v>-1</v>
      </c>
      <c r="J63" s="30">
        <f t="shared" si="6"/>
        <v>-8630.6</v>
      </c>
      <c r="K63" s="153">
        <v>0</v>
      </c>
      <c r="L63" s="142">
        <v>0</v>
      </c>
      <c r="M63" s="143">
        <f t="shared" si="9"/>
        <v>20000</v>
      </c>
      <c r="N63" s="179">
        <v>20000</v>
      </c>
      <c r="O63" s="146">
        <f t="shared" si="17"/>
        <v>-0.1457782606071579</v>
      </c>
      <c r="P63" s="146">
        <v>0.13</v>
      </c>
      <c r="R63" s="162">
        <f t="shared" si="40"/>
        <v>22600</v>
      </c>
      <c r="S63" s="162">
        <f t="shared" si="19"/>
        <v>25538</v>
      </c>
      <c r="T63" s="162">
        <f t="shared" si="20"/>
        <v>28857.94</v>
      </c>
      <c r="U63" s="162">
        <f t="shared" si="21"/>
        <v>32609.4722</v>
      </c>
      <c r="V63" s="162">
        <f t="shared" si="22"/>
        <v>36848.703586</v>
      </c>
      <c r="W63" s="162">
        <f t="shared" si="23"/>
        <v>41639.03505218001</v>
      </c>
      <c r="X63" s="162">
        <f t="shared" si="24"/>
        <v>47052.10960896341</v>
      </c>
      <c r="Y63" s="162">
        <f t="shared" si="25"/>
        <v>53168.883858128655</v>
      </c>
      <c r="Z63" s="147">
        <f t="shared" si="26"/>
        <v>60080.83875968538</v>
      </c>
    </row>
    <row r="64" spans="1:26" ht="12.75">
      <c r="A64" s="81" t="s">
        <v>748</v>
      </c>
      <c r="B64" s="30">
        <v>3657</v>
      </c>
      <c r="C64" s="78"/>
      <c r="D64" s="111">
        <f t="shared" si="18"/>
        <v>-0.25350314465408796</v>
      </c>
      <c r="E64" s="30">
        <f t="shared" si="4"/>
        <v>-927.0609999999997</v>
      </c>
      <c r="F64" s="104">
        <v>2729.9390000000003</v>
      </c>
      <c r="G64" s="270">
        <f t="shared" si="5"/>
        <v>0.3084541449460958</v>
      </c>
      <c r="H64" s="267">
        <v>3572</v>
      </c>
      <c r="I64" s="111">
        <f t="shared" si="38"/>
        <v>0.8315427560835607</v>
      </c>
      <c r="J64" s="30">
        <f t="shared" si="6"/>
        <v>2270.0609999999997</v>
      </c>
      <c r="K64" s="153">
        <v>5000</v>
      </c>
      <c r="L64" s="142">
        <f t="shared" si="8"/>
        <v>1</v>
      </c>
      <c r="M64" s="143">
        <f t="shared" si="9"/>
        <v>5000</v>
      </c>
      <c r="N64" s="179">
        <v>10000</v>
      </c>
      <c r="O64" s="146">
        <f t="shared" si="17"/>
        <v>0.5260132038098243</v>
      </c>
      <c r="P64" s="146">
        <v>0.13</v>
      </c>
      <c r="R64" s="162">
        <f t="shared" si="40"/>
        <v>11300</v>
      </c>
      <c r="S64" s="162">
        <f t="shared" si="19"/>
        <v>12769</v>
      </c>
      <c r="T64" s="162">
        <f t="shared" si="20"/>
        <v>14428.97</v>
      </c>
      <c r="U64" s="162">
        <f t="shared" si="21"/>
        <v>16304.7361</v>
      </c>
      <c r="V64" s="162">
        <f t="shared" si="22"/>
        <v>18424.351793</v>
      </c>
      <c r="W64" s="162">
        <f t="shared" si="23"/>
        <v>20819.517526090003</v>
      </c>
      <c r="X64" s="162">
        <f t="shared" si="24"/>
        <v>23526.054804481704</v>
      </c>
      <c r="Y64" s="162">
        <f t="shared" si="25"/>
        <v>26584.441929064327</v>
      </c>
      <c r="Z64" s="147">
        <f t="shared" si="26"/>
        <v>30040.41937984269</v>
      </c>
    </row>
    <row r="65" spans="1:26" ht="12.75">
      <c r="A65" s="81" t="s">
        <v>749</v>
      </c>
      <c r="B65" s="30">
        <v>2620</v>
      </c>
      <c r="C65" s="78"/>
      <c r="D65" s="111">
        <f t="shared" si="18"/>
        <v>0.055343511450381744</v>
      </c>
      <c r="E65" s="30">
        <f t="shared" si="4"/>
        <v>145</v>
      </c>
      <c r="F65" s="104">
        <v>2765</v>
      </c>
      <c r="G65" s="270">
        <f t="shared" si="5"/>
        <v>0.895117540687161</v>
      </c>
      <c r="H65" s="267">
        <v>5240</v>
      </c>
      <c r="I65" s="111">
        <f t="shared" si="38"/>
        <v>0.9370705244122965</v>
      </c>
      <c r="J65" s="30">
        <f t="shared" si="6"/>
        <v>2591</v>
      </c>
      <c r="K65" s="153">
        <v>5356</v>
      </c>
      <c r="L65" s="142">
        <f t="shared" si="8"/>
        <v>5.534727408513816</v>
      </c>
      <c r="M65" s="143">
        <f t="shared" si="9"/>
        <v>29644</v>
      </c>
      <c r="N65" s="179">
        <v>35000</v>
      </c>
      <c r="O65" s="146">
        <f t="shared" si="17"/>
        <v>2.175713814792165</v>
      </c>
      <c r="P65" s="146">
        <v>0.13</v>
      </c>
      <c r="R65" s="162">
        <f t="shared" si="40"/>
        <v>39550</v>
      </c>
      <c r="S65" s="162">
        <f t="shared" si="19"/>
        <v>44691.5</v>
      </c>
      <c r="T65" s="162">
        <f t="shared" si="20"/>
        <v>50501.395000000004</v>
      </c>
      <c r="U65" s="162">
        <f t="shared" si="21"/>
        <v>57066.57635</v>
      </c>
      <c r="V65" s="162">
        <f t="shared" si="22"/>
        <v>64485.2312755</v>
      </c>
      <c r="W65" s="162">
        <f t="shared" si="23"/>
        <v>72868.311341315</v>
      </c>
      <c r="X65" s="162">
        <f t="shared" si="24"/>
        <v>82341.19181568595</v>
      </c>
      <c r="Y65" s="162">
        <f t="shared" si="25"/>
        <v>93045.54675172512</v>
      </c>
      <c r="Z65" s="147">
        <f t="shared" si="26"/>
        <v>105141.4678294494</v>
      </c>
    </row>
    <row r="66" spans="1:26" ht="12.75">
      <c r="A66" s="81" t="s">
        <v>750</v>
      </c>
      <c r="B66" s="30">
        <v>6455</v>
      </c>
      <c r="C66" s="78"/>
      <c r="D66" s="111">
        <f t="shared" si="18"/>
        <v>1.0895894655305964</v>
      </c>
      <c r="E66" s="30">
        <f t="shared" si="4"/>
        <v>7033.299999999999</v>
      </c>
      <c r="F66" s="104">
        <v>13488.3</v>
      </c>
      <c r="G66" s="270">
        <f t="shared" si="5"/>
        <v>-0.8566906133463816</v>
      </c>
      <c r="H66" s="267">
        <v>1933</v>
      </c>
      <c r="I66" s="111">
        <f t="shared" si="38"/>
        <v>-0.8408250113060949</v>
      </c>
      <c r="J66" s="30">
        <f t="shared" si="6"/>
        <v>-11341.3</v>
      </c>
      <c r="K66" s="153">
        <v>2147</v>
      </c>
      <c r="L66" s="142">
        <f t="shared" si="8"/>
        <v>3.657661853749418</v>
      </c>
      <c r="M66" s="143">
        <f t="shared" si="9"/>
        <v>7853</v>
      </c>
      <c r="N66" s="179">
        <v>10000</v>
      </c>
      <c r="O66" s="146">
        <f t="shared" si="17"/>
        <v>1.3021421026579731</v>
      </c>
      <c r="P66" s="146">
        <v>0.13</v>
      </c>
      <c r="R66" s="162">
        <f t="shared" si="40"/>
        <v>11300</v>
      </c>
      <c r="S66" s="162">
        <f t="shared" si="19"/>
        <v>12769</v>
      </c>
      <c r="T66" s="162">
        <f t="shared" si="20"/>
        <v>14428.97</v>
      </c>
      <c r="U66" s="162">
        <f t="shared" si="21"/>
        <v>16304.7361</v>
      </c>
      <c r="V66" s="162">
        <f t="shared" si="22"/>
        <v>18424.351793</v>
      </c>
      <c r="W66" s="162">
        <f t="shared" si="23"/>
        <v>20819.517526090003</v>
      </c>
      <c r="X66" s="162">
        <f t="shared" si="24"/>
        <v>23526.054804481704</v>
      </c>
      <c r="Y66" s="162">
        <f t="shared" si="25"/>
        <v>26584.441929064327</v>
      </c>
      <c r="Z66" s="147">
        <f t="shared" si="26"/>
        <v>30040.41937984269</v>
      </c>
    </row>
    <row r="67" spans="1:26" ht="12.75">
      <c r="A67" s="81" t="s">
        <v>751</v>
      </c>
      <c r="B67" s="30">
        <v>16256</v>
      </c>
      <c r="C67" s="78"/>
      <c r="D67" s="111">
        <f t="shared" si="18"/>
        <v>0.4200910433070866</v>
      </c>
      <c r="E67" s="30">
        <f t="shared" si="4"/>
        <v>6829</v>
      </c>
      <c r="F67" s="104">
        <v>23085</v>
      </c>
      <c r="G67" s="270">
        <f t="shared" si="5"/>
        <v>-0.3437296946068876</v>
      </c>
      <c r="H67" s="267">
        <v>15150</v>
      </c>
      <c r="I67" s="111">
        <f t="shared" si="38"/>
        <v>-0.22027290448343084</v>
      </c>
      <c r="J67" s="30">
        <f t="shared" si="6"/>
        <v>-5085</v>
      </c>
      <c r="K67" s="153">
        <v>18000</v>
      </c>
      <c r="L67" s="142">
        <f t="shared" si="8"/>
        <v>-1</v>
      </c>
      <c r="M67" s="143">
        <f t="shared" si="9"/>
        <v>-18000</v>
      </c>
      <c r="N67" s="179">
        <v>0</v>
      </c>
      <c r="O67" s="146">
        <f t="shared" si="17"/>
        <v>-0.2667272870587814</v>
      </c>
      <c r="P67" s="146">
        <v>0.13</v>
      </c>
      <c r="R67" s="162">
        <f t="shared" si="40"/>
        <v>0</v>
      </c>
      <c r="S67" s="162">
        <f t="shared" si="19"/>
        <v>0</v>
      </c>
      <c r="T67" s="162">
        <f t="shared" si="20"/>
        <v>0</v>
      </c>
      <c r="U67" s="162">
        <f t="shared" si="21"/>
        <v>0</v>
      </c>
      <c r="V67" s="162">
        <f t="shared" si="22"/>
        <v>0</v>
      </c>
      <c r="W67" s="162">
        <f t="shared" si="23"/>
        <v>0</v>
      </c>
      <c r="X67" s="162">
        <f t="shared" si="24"/>
        <v>0</v>
      </c>
      <c r="Y67" s="162">
        <f t="shared" si="25"/>
        <v>0</v>
      </c>
      <c r="Z67" s="147">
        <f t="shared" si="26"/>
        <v>0</v>
      </c>
    </row>
    <row r="68" spans="1:26" ht="12.75">
      <c r="A68" s="81" t="s">
        <v>752</v>
      </c>
      <c r="B68" s="30">
        <v>0</v>
      </c>
      <c r="C68" s="78"/>
      <c r="D68" s="111">
        <v>0</v>
      </c>
      <c r="E68" s="30">
        <f t="shared" si="4"/>
        <v>0</v>
      </c>
      <c r="F68" s="104">
        <v>0</v>
      </c>
      <c r="G68" s="270" t="e">
        <f aca="true" t="shared" si="42" ref="G68:G131">H68/F68-1</f>
        <v>#DIV/0!</v>
      </c>
      <c r="H68" s="267">
        <v>625</v>
      </c>
      <c r="I68" s="111">
        <v>0</v>
      </c>
      <c r="J68" s="30">
        <f t="shared" si="6"/>
        <v>625</v>
      </c>
      <c r="K68" s="153">
        <v>625</v>
      </c>
      <c r="L68" s="142">
        <f t="shared" si="8"/>
        <v>3.8</v>
      </c>
      <c r="M68" s="143">
        <f t="shared" si="9"/>
        <v>2375</v>
      </c>
      <c r="N68" s="179">
        <v>3000</v>
      </c>
      <c r="O68" s="146">
        <f t="shared" si="17"/>
        <v>1.2666666666666666</v>
      </c>
      <c r="P68" s="146">
        <v>0.13</v>
      </c>
      <c r="R68" s="162">
        <f t="shared" si="40"/>
        <v>3390</v>
      </c>
      <c r="S68" s="162">
        <f t="shared" si="19"/>
        <v>3830.7</v>
      </c>
      <c r="T68" s="162">
        <f t="shared" si="20"/>
        <v>4328.691</v>
      </c>
      <c r="U68" s="162">
        <f t="shared" si="21"/>
        <v>4891.42083</v>
      </c>
      <c r="V68" s="162">
        <f t="shared" si="22"/>
        <v>5527.3055379</v>
      </c>
      <c r="W68" s="162">
        <f t="shared" si="23"/>
        <v>6245.855257827</v>
      </c>
      <c r="X68" s="162">
        <f t="shared" si="24"/>
        <v>7057.81644134451</v>
      </c>
      <c r="Y68" s="162">
        <f t="shared" si="25"/>
        <v>7975.332578719296</v>
      </c>
      <c r="Z68" s="147">
        <f t="shared" si="26"/>
        <v>9012.125813952805</v>
      </c>
    </row>
    <row r="69" spans="1:26" ht="12.75">
      <c r="A69" s="81" t="s">
        <v>753</v>
      </c>
      <c r="B69" s="30">
        <v>30000</v>
      </c>
      <c r="C69" s="78"/>
      <c r="D69" s="111">
        <f t="shared" si="18"/>
        <v>0</v>
      </c>
      <c r="E69" s="30">
        <f t="shared" si="4"/>
        <v>0</v>
      </c>
      <c r="F69" s="104">
        <v>30000</v>
      </c>
      <c r="G69" s="270">
        <f t="shared" si="42"/>
        <v>-1</v>
      </c>
      <c r="H69" s="267">
        <v>0</v>
      </c>
      <c r="I69" s="111">
        <f aca="true" t="shared" si="43" ref="I69:I119">K69/F69-1</f>
        <v>-1</v>
      </c>
      <c r="J69" s="30">
        <f t="shared" si="6"/>
        <v>-30000</v>
      </c>
      <c r="K69" s="153">
        <v>0</v>
      </c>
      <c r="L69" s="142" t="e">
        <f t="shared" si="8"/>
        <v>#DIV/0!</v>
      </c>
      <c r="M69" s="143">
        <f t="shared" si="9"/>
        <v>0</v>
      </c>
      <c r="N69" s="179">
        <v>0</v>
      </c>
      <c r="O69" s="146" t="e">
        <f t="shared" si="17"/>
        <v>#DIV/0!</v>
      </c>
      <c r="P69" s="146">
        <v>0.13</v>
      </c>
      <c r="R69" s="162">
        <f t="shared" si="40"/>
        <v>0</v>
      </c>
      <c r="S69" s="162">
        <f t="shared" si="19"/>
        <v>0</v>
      </c>
      <c r="T69" s="162">
        <f t="shared" si="20"/>
        <v>0</v>
      </c>
      <c r="U69" s="162">
        <f t="shared" si="21"/>
        <v>0</v>
      </c>
      <c r="V69" s="162">
        <f t="shared" si="22"/>
        <v>0</v>
      </c>
      <c r="W69" s="162">
        <f t="shared" si="23"/>
        <v>0</v>
      </c>
      <c r="X69" s="162">
        <f t="shared" si="24"/>
        <v>0</v>
      </c>
      <c r="Y69" s="162">
        <f t="shared" si="25"/>
        <v>0</v>
      </c>
      <c r="Z69" s="147">
        <f t="shared" si="26"/>
        <v>0</v>
      </c>
    </row>
    <row r="70" spans="1:26" ht="12.75">
      <c r="A70" s="81" t="s">
        <v>754</v>
      </c>
      <c r="B70" s="30">
        <v>1694</v>
      </c>
      <c r="C70" s="78"/>
      <c r="D70" s="111">
        <f t="shared" si="18"/>
        <v>-0.40968181818181815</v>
      </c>
      <c r="E70" s="30">
        <f t="shared" si="4"/>
        <v>-694.001</v>
      </c>
      <c r="F70" s="104">
        <v>999.999</v>
      </c>
      <c r="G70" s="270">
        <f t="shared" si="42"/>
        <v>-1</v>
      </c>
      <c r="H70" s="267">
        <v>0</v>
      </c>
      <c r="I70" s="111">
        <f t="shared" si="43"/>
        <v>-1</v>
      </c>
      <c r="J70" s="30">
        <f t="shared" si="6"/>
        <v>-999.999</v>
      </c>
      <c r="K70" s="153">
        <v>0</v>
      </c>
      <c r="L70" s="142" t="e">
        <f t="shared" si="8"/>
        <v>#DIV/0!</v>
      </c>
      <c r="M70" s="143">
        <f t="shared" si="9"/>
        <v>0</v>
      </c>
      <c r="N70" s="179">
        <v>0</v>
      </c>
      <c r="O70" s="146" t="e">
        <f t="shared" si="17"/>
        <v>#DIV/0!</v>
      </c>
      <c r="P70" s="146">
        <v>0.13</v>
      </c>
      <c r="R70" s="162">
        <f t="shared" si="40"/>
        <v>0</v>
      </c>
      <c r="S70" s="162">
        <f t="shared" si="19"/>
        <v>0</v>
      </c>
      <c r="T70" s="162">
        <f t="shared" si="20"/>
        <v>0</v>
      </c>
      <c r="U70" s="162">
        <f t="shared" si="21"/>
        <v>0</v>
      </c>
      <c r="V70" s="162">
        <f t="shared" si="22"/>
        <v>0</v>
      </c>
      <c r="W70" s="162">
        <f t="shared" si="23"/>
        <v>0</v>
      </c>
      <c r="X70" s="162">
        <f t="shared" si="24"/>
        <v>0</v>
      </c>
      <c r="Y70" s="162">
        <f t="shared" si="25"/>
        <v>0</v>
      </c>
      <c r="Z70" s="147">
        <f t="shared" si="26"/>
        <v>0</v>
      </c>
    </row>
    <row r="71" spans="1:26" ht="12.75">
      <c r="A71" s="81" t="s">
        <v>755</v>
      </c>
      <c r="B71" s="30">
        <v>2000</v>
      </c>
      <c r="C71" s="78"/>
      <c r="D71" s="111">
        <f t="shared" si="18"/>
        <v>0</v>
      </c>
      <c r="E71" s="30">
        <f aca="true" t="shared" si="44" ref="E71:E135">F71-B71</f>
        <v>0</v>
      </c>
      <c r="F71" s="104">
        <v>2000</v>
      </c>
      <c r="G71" s="270">
        <f t="shared" si="42"/>
        <v>-0.5</v>
      </c>
      <c r="H71" s="267">
        <v>1000</v>
      </c>
      <c r="I71" s="111">
        <f t="shared" si="43"/>
        <v>-0.5</v>
      </c>
      <c r="J71" s="30">
        <f t="shared" si="6"/>
        <v>-1000</v>
      </c>
      <c r="K71" s="153">
        <v>1000</v>
      </c>
      <c r="L71" s="142">
        <f t="shared" si="8"/>
        <v>1</v>
      </c>
      <c r="M71" s="143">
        <f t="shared" si="9"/>
        <v>1000</v>
      </c>
      <c r="N71" s="179">
        <v>2000</v>
      </c>
      <c r="O71" s="146">
        <f t="shared" si="17"/>
        <v>0.16666666666666666</v>
      </c>
      <c r="P71" s="146">
        <v>0.13</v>
      </c>
      <c r="R71" s="162">
        <f t="shared" si="40"/>
        <v>2260</v>
      </c>
      <c r="S71" s="162">
        <f t="shared" si="19"/>
        <v>2553.8</v>
      </c>
      <c r="T71" s="162">
        <f t="shared" si="20"/>
        <v>2885.7940000000003</v>
      </c>
      <c r="U71" s="162">
        <f t="shared" si="21"/>
        <v>3260.9472200000005</v>
      </c>
      <c r="V71" s="162">
        <f t="shared" si="22"/>
        <v>3684.8703586000006</v>
      </c>
      <c r="W71" s="162">
        <f t="shared" si="23"/>
        <v>4163.903505218001</v>
      </c>
      <c r="X71" s="162">
        <f t="shared" si="24"/>
        <v>4705.210960896341</v>
      </c>
      <c r="Y71" s="162">
        <f t="shared" si="25"/>
        <v>5316.888385812866</v>
      </c>
      <c r="Z71" s="147">
        <f t="shared" si="26"/>
        <v>6008.083875968538</v>
      </c>
    </row>
    <row r="72" spans="1:26" ht="12.75">
      <c r="A72" s="81" t="s">
        <v>756</v>
      </c>
      <c r="B72" s="30">
        <v>1237</v>
      </c>
      <c r="C72" s="78"/>
      <c r="D72" s="111">
        <f t="shared" si="18"/>
        <v>-0.970299110751819</v>
      </c>
      <c r="E72" s="30">
        <f t="shared" si="44"/>
        <v>-1200.26</v>
      </c>
      <c r="F72" s="104">
        <v>36.74</v>
      </c>
      <c r="G72" s="270">
        <f t="shared" si="42"/>
        <v>-1</v>
      </c>
      <c r="H72" s="267">
        <v>0</v>
      </c>
      <c r="I72" s="111">
        <f t="shared" si="43"/>
        <v>-1</v>
      </c>
      <c r="J72" s="30">
        <f t="shared" si="6"/>
        <v>-36.74</v>
      </c>
      <c r="K72" s="153">
        <v>0</v>
      </c>
      <c r="L72" s="142" t="e">
        <f t="shared" si="8"/>
        <v>#DIV/0!</v>
      </c>
      <c r="M72" s="143">
        <f t="shared" si="9"/>
        <v>20000</v>
      </c>
      <c r="N72" s="179">
        <v>20000</v>
      </c>
      <c r="O72" s="146" t="e">
        <f t="shared" si="17"/>
        <v>#DIV/0!</v>
      </c>
      <c r="P72" s="146">
        <v>0.13</v>
      </c>
      <c r="R72" s="162">
        <f t="shared" si="40"/>
        <v>22600</v>
      </c>
      <c r="S72" s="162">
        <f t="shared" si="19"/>
        <v>25538</v>
      </c>
      <c r="T72" s="162">
        <f t="shared" si="20"/>
        <v>28857.94</v>
      </c>
      <c r="U72" s="162">
        <f t="shared" si="21"/>
        <v>32609.4722</v>
      </c>
      <c r="V72" s="162">
        <f t="shared" si="22"/>
        <v>36848.703586</v>
      </c>
      <c r="W72" s="162">
        <f t="shared" si="23"/>
        <v>41639.03505218001</v>
      </c>
      <c r="X72" s="162">
        <f t="shared" si="24"/>
        <v>47052.10960896341</v>
      </c>
      <c r="Y72" s="162">
        <f t="shared" si="25"/>
        <v>53168.883858128655</v>
      </c>
      <c r="Z72" s="147">
        <f t="shared" si="26"/>
        <v>60080.83875968538</v>
      </c>
    </row>
    <row r="73" spans="1:26" ht="12.75">
      <c r="A73" s="86" t="s">
        <v>757</v>
      </c>
      <c r="B73" s="32">
        <v>879297</v>
      </c>
      <c r="C73" s="78"/>
      <c r="D73" s="111">
        <f t="shared" si="18"/>
        <v>-0.1417286576776675</v>
      </c>
      <c r="E73" s="30">
        <f t="shared" si="44"/>
        <v>-124621.58351000003</v>
      </c>
      <c r="F73" s="144">
        <f>SUM(F74+F88+F94)</f>
        <v>754675.41649</v>
      </c>
      <c r="G73" s="270">
        <f t="shared" si="42"/>
        <v>1.0805924847835637</v>
      </c>
      <c r="H73" s="267">
        <v>1570172</v>
      </c>
      <c r="I73" s="111">
        <f t="shared" si="43"/>
        <v>1.228882726594406</v>
      </c>
      <c r="J73" s="30">
        <f aca="true" t="shared" si="45" ref="J73:J119">K73-F73</f>
        <v>927407.58351</v>
      </c>
      <c r="K73" s="144">
        <f>SUM(K74+K88+K94)</f>
        <v>1682083</v>
      </c>
      <c r="L73" s="142">
        <f t="shared" si="8"/>
        <v>-0.11121329922483014</v>
      </c>
      <c r="M73" s="143">
        <f t="shared" si="9"/>
        <v>-187070</v>
      </c>
      <c r="N73" s="144">
        <f>SUM(N74+N88+N94)</f>
        <v>1495013</v>
      </c>
      <c r="O73" s="146">
        <f t="shared" si="17"/>
        <v>0.3253135898973028</v>
      </c>
      <c r="P73" s="146"/>
      <c r="R73" s="166">
        <f aca="true" t="shared" si="46" ref="R73:Z73">SUM(R74+R88+R94)</f>
        <v>1644514.3</v>
      </c>
      <c r="S73" s="166">
        <f t="shared" si="46"/>
        <v>1808965.73</v>
      </c>
      <c r="T73" s="166">
        <f t="shared" si="46"/>
        <v>1989862.303</v>
      </c>
      <c r="U73" s="166">
        <f t="shared" si="46"/>
        <v>2188848.5333000002</v>
      </c>
      <c r="V73" s="166">
        <f t="shared" si="46"/>
        <v>2407733.3866300005</v>
      </c>
      <c r="W73" s="166">
        <f t="shared" si="46"/>
        <v>2648506.725293</v>
      </c>
      <c r="X73" s="166">
        <f t="shared" si="46"/>
        <v>2913357.3978223004</v>
      </c>
      <c r="Y73" s="166">
        <f t="shared" si="46"/>
        <v>3204693.13760453</v>
      </c>
      <c r="Z73" s="166">
        <f t="shared" si="46"/>
        <v>3525162.451364983</v>
      </c>
    </row>
    <row r="74" spans="1:26" ht="12.75">
      <c r="A74" s="86" t="s">
        <v>758</v>
      </c>
      <c r="B74" s="32">
        <v>419918</v>
      </c>
      <c r="C74" s="78"/>
      <c r="D74" s="111">
        <f t="shared" si="18"/>
        <v>0.13910021718526</v>
      </c>
      <c r="E74" s="30">
        <f t="shared" si="44"/>
        <v>58410.685</v>
      </c>
      <c r="F74" s="144">
        <f>SUM(F75+F81+F85)</f>
        <v>478328.685</v>
      </c>
      <c r="G74" s="270">
        <f t="shared" si="42"/>
        <v>0.5659023250926296</v>
      </c>
      <c r="H74" s="267">
        <v>749016</v>
      </c>
      <c r="I74" s="111">
        <f t="shared" si="43"/>
        <v>0.779577572271251</v>
      </c>
      <c r="J74" s="30">
        <f t="shared" si="45"/>
        <v>372894.315</v>
      </c>
      <c r="K74" s="144">
        <f>SUM(K75+K81+K85)</f>
        <v>851223</v>
      </c>
      <c r="L74" s="142">
        <f t="shared" si="8"/>
        <v>-0.1688370732463761</v>
      </c>
      <c r="M74" s="143">
        <f t="shared" si="9"/>
        <v>-143718</v>
      </c>
      <c r="N74" s="144">
        <f>SUM(N75+N81+N85)</f>
        <v>707505</v>
      </c>
      <c r="O74" s="146">
        <f t="shared" si="17"/>
        <v>0.2499469054033783</v>
      </c>
      <c r="P74" s="146"/>
      <c r="R74" s="166">
        <f aca="true" t="shared" si="47" ref="R74:Z74">SUM(R75+R81+R85)</f>
        <v>778255.5</v>
      </c>
      <c r="S74" s="166">
        <f t="shared" si="47"/>
        <v>856081.05</v>
      </c>
      <c r="T74" s="166">
        <f t="shared" si="47"/>
        <v>941689.155</v>
      </c>
      <c r="U74" s="166">
        <f t="shared" si="47"/>
        <v>1035858.0704999999</v>
      </c>
      <c r="V74" s="166">
        <f t="shared" si="47"/>
        <v>1139443.87755</v>
      </c>
      <c r="W74" s="166">
        <f t="shared" si="47"/>
        <v>1253388.265305</v>
      </c>
      <c r="X74" s="166">
        <f t="shared" si="47"/>
        <v>1378727.0918355002</v>
      </c>
      <c r="Y74" s="166">
        <f t="shared" si="47"/>
        <v>1516599.8010190502</v>
      </c>
      <c r="Z74" s="166">
        <f t="shared" si="47"/>
        <v>1668259.781120955</v>
      </c>
    </row>
    <row r="75" spans="1:26" ht="12.75">
      <c r="A75" s="86" t="s">
        <v>759</v>
      </c>
      <c r="B75" s="32">
        <f>SUM(B76:B80)</f>
        <v>276300</v>
      </c>
      <c r="C75" s="78"/>
      <c r="D75" s="111">
        <f t="shared" si="18"/>
        <v>0.06228637712631202</v>
      </c>
      <c r="E75" s="30">
        <f t="shared" si="44"/>
        <v>17209.726000000024</v>
      </c>
      <c r="F75" s="144">
        <f>SUM(F76:F80)</f>
        <v>293509.726</v>
      </c>
      <c r="G75" s="270">
        <f t="shared" si="42"/>
        <v>0.9574036193948814</v>
      </c>
      <c r="H75" s="267">
        <v>574517</v>
      </c>
      <c r="I75" s="111">
        <f t="shared" si="43"/>
        <v>1.2861422997614733</v>
      </c>
      <c r="J75" s="30">
        <f t="shared" si="45"/>
        <v>377495.274</v>
      </c>
      <c r="K75" s="144">
        <f>SUM(K76:K80)</f>
        <v>671005</v>
      </c>
      <c r="L75" s="142">
        <f aca="true" t="shared" si="48" ref="L75:L119">N75/K75-1</f>
        <v>-0.15022242755270077</v>
      </c>
      <c r="M75" s="143">
        <f aca="true" t="shared" si="49" ref="M75:M119">N75-K75</f>
        <v>-100800</v>
      </c>
      <c r="N75" s="144">
        <f>SUM(N76:N80)</f>
        <v>570205</v>
      </c>
      <c r="O75" s="146">
        <f t="shared" si="17"/>
        <v>0.39940208311169484</v>
      </c>
      <c r="P75" s="146"/>
      <c r="R75" s="166">
        <f aca="true" t="shared" si="50" ref="R75:Z75">SUM(R76:R80)</f>
        <v>627225.5</v>
      </c>
      <c r="S75" s="166">
        <f t="shared" si="50"/>
        <v>689948.05</v>
      </c>
      <c r="T75" s="166">
        <f t="shared" si="50"/>
        <v>758942.855</v>
      </c>
      <c r="U75" s="166">
        <f t="shared" si="50"/>
        <v>834837.1405</v>
      </c>
      <c r="V75" s="166">
        <f t="shared" si="50"/>
        <v>918320.85455</v>
      </c>
      <c r="W75" s="166">
        <f t="shared" si="50"/>
        <v>1010152.940005</v>
      </c>
      <c r="X75" s="166">
        <f t="shared" si="50"/>
        <v>1111168.2340055</v>
      </c>
      <c r="Y75" s="166">
        <f t="shared" si="50"/>
        <v>1222285.0574060502</v>
      </c>
      <c r="Z75" s="166">
        <f t="shared" si="50"/>
        <v>1344513.563146655</v>
      </c>
    </row>
    <row r="76" spans="1:26" ht="12.75">
      <c r="A76" s="81" t="s">
        <v>760</v>
      </c>
      <c r="B76" s="30">
        <v>154115</v>
      </c>
      <c r="C76" s="78"/>
      <c r="D76" s="111">
        <f t="shared" si="18"/>
        <v>0.11748785647081728</v>
      </c>
      <c r="E76" s="30">
        <f t="shared" si="44"/>
        <v>18106.641000000003</v>
      </c>
      <c r="F76" s="104">
        <v>172221.641</v>
      </c>
      <c r="G76" s="270">
        <f t="shared" si="42"/>
        <v>-0.024303803956902237</v>
      </c>
      <c r="H76" s="267">
        <v>168036</v>
      </c>
      <c r="I76" s="111">
        <f t="shared" si="43"/>
        <v>-0.015222482986328112</v>
      </c>
      <c r="J76" s="30">
        <f t="shared" si="45"/>
        <v>-2621.6410000000033</v>
      </c>
      <c r="K76" s="153">
        <v>169600</v>
      </c>
      <c r="L76" s="142">
        <f t="shared" si="48"/>
        <v>0.07000000000000006</v>
      </c>
      <c r="M76" s="143">
        <f t="shared" si="49"/>
        <v>11872</v>
      </c>
      <c r="N76" s="179">
        <v>181472</v>
      </c>
      <c r="O76" s="146">
        <f t="shared" si="17"/>
        <v>0.057421791161496406</v>
      </c>
      <c r="P76" s="146">
        <v>0.1</v>
      </c>
      <c r="R76" s="162">
        <f>(N76*P76)+N76</f>
        <v>199619.2</v>
      </c>
      <c r="S76" s="162">
        <f t="shared" si="19"/>
        <v>219581.12000000002</v>
      </c>
      <c r="T76" s="162">
        <f t="shared" si="20"/>
        <v>241539.23200000002</v>
      </c>
      <c r="U76" s="162">
        <f t="shared" si="21"/>
        <v>265693.15520000004</v>
      </c>
      <c r="V76" s="162">
        <f t="shared" si="22"/>
        <v>292262.47072000004</v>
      </c>
      <c r="W76" s="162">
        <f t="shared" si="23"/>
        <v>321488.71779200004</v>
      </c>
      <c r="X76" s="162">
        <f t="shared" si="24"/>
        <v>353637.5895712</v>
      </c>
      <c r="Y76" s="162">
        <f t="shared" si="25"/>
        <v>389001.34852832</v>
      </c>
      <c r="Z76" s="147">
        <f t="shared" si="26"/>
        <v>427901.48338115204</v>
      </c>
    </row>
    <row r="77" spans="1:26" ht="12.75">
      <c r="A77" s="81" t="s">
        <v>761</v>
      </c>
      <c r="B77" s="30">
        <v>93126</v>
      </c>
      <c r="C77" s="78"/>
      <c r="D77" s="111">
        <f t="shared" si="18"/>
        <v>-0.17040859695466348</v>
      </c>
      <c r="E77" s="30">
        <f t="shared" si="44"/>
        <v>-15869.47099999999</v>
      </c>
      <c r="F77" s="104">
        <v>77256.52900000001</v>
      </c>
      <c r="G77" s="270">
        <f t="shared" si="42"/>
        <v>0.20917935621984762</v>
      </c>
      <c r="H77" s="267">
        <v>93417</v>
      </c>
      <c r="I77" s="111">
        <f t="shared" si="43"/>
        <v>0.24465855824301896</v>
      </c>
      <c r="J77" s="30">
        <f t="shared" si="45"/>
        <v>18901.47099999999</v>
      </c>
      <c r="K77" s="153">
        <v>96158</v>
      </c>
      <c r="L77" s="142">
        <f t="shared" si="48"/>
        <v>-1</v>
      </c>
      <c r="M77" s="143">
        <f t="shared" si="49"/>
        <v>-96158</v>
      </c>
      <c r="N77" s="179">
        <v>0</v>
      </c>
      <c r="O77" s="146">
        <f t="shared" si="17"/>
        <v>-0.30858334623721484</v>
      </c>
      <c r="P77" s="146">
        <v>0.1</v>
      </c>
      <c r="R77" s="162">
        <f>(N77*P77)+N77</f>
        <v>0</v>
      </c>
      <c r="S77" s="162">
        <f t="shared" si="19"/>
        <v>0</v>
      </c>
      <c r="T77" s="162">
        <f t="shared" si="20"/>
        <v>0</v>
      </c>
      <c r="U77" s="162">
        <f t="shared" si="21"/>
        <v>0</v>
      </c>
      <c r="V77" s="162">
        <f t="shared" si="22"/>
        <v>0</v>
      </c>
      <c r="W77" s="162">
        <f t="shared" si="23"/>
        <v>0</v>
      </c>
      <c r="X77" s="162">
        <f t="shared" si="24"/>
        <v>0</v>
      </c>
      <c r="Y77" s="162">
        <f t="shared" si="25"/>
        <v>0</v>
      </c>
      <c r="Z77" s="147">
        <f t="shared" si="26"/>
        <v>0</v>
      </c>
    </row>
    <row r="78" spans="1:26" ht="12.75">
      <c r="A78" s="81" t="s">
        <v>762</v>
      </c>
      <c r="B78" s="30">
        <v>25533</v>
      </c>
      <c r="C78" s="78"/>
      <c r="D78" s="111">
        <f t="shared" si="18"/>
        <v>0.13756146947088088</v>
      </c>
      <c r="E78" s="30">
        <f t="shared" si="44"/>
        <v>3512.3570000000036</v>
      </c>
      <c r="F78" s="104">
        <v>29045.357000000004</v>
      </c>
      <c r="G78" s="270">
        <f t="shared" si="42"/>
        <v>-0.02993101444750712</v>
      </c>
      <c r="H78" s="267">
        <v>28176</v>
      </c>
      <c r="I78" s="111">
        <f t="shared" si="43"/>
        <v>-0.01784646682084179</v>
      </c>
      <c r="J78" s="30">
        <f t="shared" si="45"/>
        <v>-518.3570000000036</v>
      </c>
      <c r="K78" s="153">
        <v>28527</v>
      </c>
      <c r="L78" s="142">
        <f t="shared" si="48"/>
        <v>0.060609247379675324</v>
      </c>
      <c r="M78" s="143">
        <f t="shared" si="49"/>
        <v>1729</v>
      </c>
      <c r="N78" s="179">
        <v>30256</v>
      </c>
      <c r="O78" s="146">
        <f t="shared" si="17"/>
        <v>0.06010808334323814</v>
      </c>
      <c r="P78" s="146">
        <v>0.1</v>
      </c>
      <c r="R78" s="162">
        <f>(N78*P78)+N78</f>
        <v>33281.6</v>
      </c>
      <c r="S78" s="162">
        <f t="shared" si="19"/>
        <v>36609.759999999995</v>
      </c>
      <c r="T78" s="162">
        <f t="shared" si="20"/>
        <v>40270.736</v>
      </c>
      <c r="U78" s="162">
        <f t="shared" si="21"/>
        <v>44297.80959999999</v>
      </c>
      <c r="V78" s="162">
        <f t="shared" si="22"/>
        <v>48727.59055999999</v>
      </c>
      <c r="W78" s="162">
        <f t="shared" si="23"/>
        <v>53600.34961599999</v>
      </c>
      <c r="X78" s="162">
        <f t="shared" si="24"/>
        <v>58960.384577599994</v>
      </c>
      <c r="Y78" s="162">
        <f t="shared" si="25"/>
        <v>64856.42303535999</v>
      </c>
      <c r="Z78" s="147">
        <f t="shared" si="26"/>
        <v>71342.06533889599</v>
      </c>
    </row>
    <row r="79" spans="1:26" ht="12.75">
      <c r="A79" s="81" t="s">
        <v>763</v>
      </c>
      <c r="B79" s="30">
        <v>3526</v>
      </c>
      <c r="C79" s="78"/>
      <c r="D79" s="111">
        <f t="shared" si="18"/>
        <v>3.250198241633579</v>
      </c>
      <c r="E79" s="30">
        <f t="shared" si="44"/>
        <v>11460.199</v>
      </c>
      <c r="F79" s="104">
        <v>14986.199</v>
      </c>
      <c r="G79" s="270">
        <f t="shared" si="42"/>
        <v>17.915269976062643</v>
      </c>
      <c r="H79" s="267">
        <v>283468</v>
      </c>
      <c r="I79" s="111">
        <f t="shared" si="43"/>
        <v>24.043041267502186</v>
      </c>
      <c r="J79" s="30">
        <f t="shared" si="45"/>
        <v>360313.801</v>
      </c>
      <c r="K79" s="153">
        <v>375300</v>
      </c>
      <c r="L79" s="142">
        <f t="shared" si="48"/>
        <v>-0.0448254729549693</v>
      </c>
      <c r="M79" s="143">
        <f t="shared" si="49"/>
        <v>-16823</v>
      </c>
      <c r="N79" s="179">
        <v>358477</v>
      </c>
      <c r="O79" s="146">
        <f t="shared" si="17"/>
        <v>9.082804678726932</v>
      </c>
      <c r="P79" s="146">
        <v>0.1</v>
      </c>
      <c r="R79" s="162">
        <f>(N79*P79)+N79</f>
        <v>394324.7</v>
      </c>
      <c r="S79" s="162">
        <f t="shared" si="19"/>
        <v>433757.17000000004</v>
      </c>
      <c r="T79" s="162">
        <f t="shared" si="20"/>
        <v>477132.88700000005</v>
      </c>
      <c r="U79" s="162">
        <f t="shared" si="21"/>
        <v>524846.1757</v>
      </c>
      <c r="V79" s="162">
        <f t="shared" si="22"/>
        <v>577330.79327</v>
      </c>
      <c r="W79" s="162">
        <f t="shared" si="23"/>
        <v>635063.872597</v>
      </c>
      <c r="X79" s="162">
        <f t="shared" si="24"/>
        <v>698570.2598567</v>
      </c>
      <c r="Y79" s="162">
        <f t="shared" si="25"/>
        <v>768427.28584237</v>
      </c>
      <c r="Z79" s="147">
        <f t="shared" si="26"/>
        <v>845270.014426607</v>
      </c>
    </row>
    <row r="80" spans="1:26" ht="12.75">
      <c r="A80" s="81" t="s">
        <v>764</v>
      </c>
      <c r="B80" s="30">
        <v>0</v>
      </c>
      <c r="C80" s="78"/>
      <c r="D80" s="111" t="e">
        <f t="shared" si="18"/>
        <v>#DIV/0!</v>
      </c>
      <c r="E80" s="30">
        <f t="shared" si="44"/>
        <v>0</v>
      </c>
      <c r="F80" s="104">
        <v>0</v>
      </c>
      <c r="G80" s="270" t="e">
        <f t="shared" si="42"/>
        <v>#DIV/0!</v>
      </c>
      <c r="H80" s="267">
        <v>1420</v>
      </c>
      <c r="I80" s="111" t="e">
        <f t="shared" si="43"/>
        <v>#DIV/0!</v>
      </c>
      <c r="J80" s="30">
        <f t="shared" si="45"/>
        <v>1420</v>
      </c>
      <c r="K80" s="153">
        <v>1420</v>
      </c>
      <c r="L80" s="142">
        <f t="shared" si="48"/>
        <v>-1</v>
      </c>
      <c r="M80" s="143">
        <f t="shared" si="49"/>
        <v>-1420</v>
      </c>
      <c r="N80" s="179">
        <v>0</v>
      </c>
      <c r="O80" s="146" t="e">
        <f t="shared" si="17"/>
        <v>#DIV/0!</v>
      </c>
      <c r="P80" s="146"/>
      <c r="R80" s="190"/>
      <c r="S80" s="162">
        <f t="shared" si="19"/>
        <v>0</v>
      </c>
      <c r="T80" s="162">
        <f t="shared" si="20"/>
        <v>0</v>
      </c>
      <c r="U80" s="162">
        <f t="shared" si="21"/>
        <v>0</v>
      </c>
      <c r="V80" s="147">
        <f t="shared" si="22"/>
        <v>0</v>
      </c>
      <c r="W80" s="162">
        <f t="shared" si="23"/>
        <v>0</v>
      </c>
      <c r="X80" s="162">
        <f t="shared" si="24"/>
        <v>0</v>
      </c>
      <c r="Y80" s="162">
        <f t="shared" si="25"/>
        <v>0</v>
      </c>
      <c r="Z80" s="147">
        <f t="shared" si="26"/>
        <v>0</v>
      </c>
    </row>
    <row r="81" spans="1:26" ht="12.75">
      <c r="A81" s="86" t="s">
        <v>765</v>
      </c>
      <c r="B81" s="32">
        <f>SUM(B82:B84)</f>
        <v>46469</v>
      </c>
      <c r="C81" s="78"/>
      <c r="D81" s="111">
        <f t="shared" si="18"/>
        <v>1.2206232542124855</v>
      </c>
      <c r="E81" s="30">
        <f t="shared" si="44"/>
        <v>56721.14199999999</v>
      </c>
      <c r="F81" s="144">
        <f>SUM(F82:F84)</f>
        <v>103190.14199999999</v>
      </c>
      <c r="G81" s="270">
        <f t="shared" si="42"/>
        <v>-0.20777316112230948</v>
      </c>
      <c r="H81" s="267">
        <v>81750</v>
      </c>
      <c r="I81" s="111">
        <f t="shared" si="43"/>
        <v>-0.1897675652001719</v>
      </c>
      <c r="J81" s="30">
        <f t="shared" si="45"/>
        <v>-19582.141999999993</v>
      </c>
      <c r="K81" s="144">
        <f>SUM(K82:K84)</f>
        <v>83608</v>
      </c>
      <c r="L81" s="142">
        <f t="shared" si="48"/>
        <v>0.6421873504927758</v>
      </c>
      <c r="M81" s="143">
        <f t="shared" si="49"/>
        <v>53692</v>
      </c>
      <c r="N81" s="144">
        <f>SUM(N82:N84)</f>
        <v>137300</v>
      </c>
      <c r="O81" s="146">
        <f t="shared" si="17"/>
        <v>0.5576810131683632</v>
      </c>
      <c r="P81" s="146"/>
      <c r="R81" s="166">
        <f aca="true" t="shared" si="51" ref="R81:Z81">SUM(R82:R84)</f>
        <v>151030</v>
      </c>
      <c r="S81" s="166">
        <f t="shared" si="51"/>
        <v>166133</v>
      </c>
      <c r="T81" s="166">
        <f t="shared" si="51"/>
        <v>182746.3</v>
      </c>
      <c r="U81" s="166">
        <f t="shared" si="51"/>
        <v>201020.93</v>
      </c>
      <c r="V81" s="166">
        <f t="shared" si="51"/>
        <v>221123.023</v>
      </c>
      <c r="W81" s="166">
        <f t="shared" si="51"/>
        <v>243235.3253</v>
      </c>
      <c r="X81" s="166">
        <f t="shared" si="51"/>
        <v>267558.85783</v>
      </c>
      <c r="Y81" s="166">
        <f t="shared" si="51"/>
        <v>294314.74361299997</v>
      </c>
      <c r="Z81" s="166">
        <f t="shared" si="51"/>
        <v>323746.2179743</v>
      </c>
    </row>
    <row r="82" spans="1:26" ht="12.75">
      <c r="A82" s="81" t="s">
        <v>766</v>
      </c>
      <c r="B82" s="97">
        <v>26796</v>
      </c>
      <c r="C82" s="78"/>
      <c r="D82" s="111">
        <f t="shared" si="18"/>
        <v>1.0155085087326468</v>
      </c>
      <c r="E82" s="30">
        <f t="shared" si="44"/>
        <v>27211.566</v>
      </c>
      <c r="F82" s="104">
        <v>54007.566</v>
      </c>
      <c r="G82" s="270">
        <f t="shared" si="42"/>
        <v>0.36554941209533487</v>
      </c>
      <c r="H82" s="267">
        <v>73750</v>
      </c>
      <c r="I82" s="111">
        <f t="shared" si="43"/>
        <v>0.3999519993180216</v>
      </c>
      <c r="J82" s="30">
        <f t="shared" si="45"/>
        <v>21600.434</v>
      </c>
      <c r="K82" s="153">
        <v>75608</v>
      </c>
      <c r="L82" s="142">
        <f t="shared" si="48"/>
        <v>0.8159454026028992</v>
      </c>
      <c r="M82" s="143">
        <f t="shared" si="49"/>
        <v>61692</v>
      </c>
      <c r="N82" s="179">
        <v>137300</v>
      </c>
      <c r="O82" s="146">
        <f t="shared" si="17"/>
        <v>0.7438019702178558</v>
      </c>
      <c r="P82" s="146">
        <v>0.1</v>
      </c>
      <c r="R82" s="162">
        <f>(N82*P82)+N82</f>
        <v>151030</v>
      </c>
      <c r="S82" s="162">
        <f t="shared" si="19"/>
        <v>166133</v>
      </c>
      <c r="T82" s="162">
        <f t="shared" si="20"/>
        <v>182746.3</v>
      </c>
      <c r="U82" s="162">
        <f t="shared" si="21"/>
        <v>201020.93</v>
      </c>
      <c r="V82" s="162">
        <f t="shared" si="22"/>
        <v>221123.023</v>
      </c>
      <c r="W82" s="162">
        <f t="shared" si="23"/>
        <v>243235.3253</v>
      </c>
      <c r="X82" s="162">
        <f t="shared" si="24"/>
        <v>267558.85783</v>
      </c>
      <c r="Y82" s="162">
        <f t="shared" si="25"/>
        <v>294314.74361299997</v>
      </c>
      <c r="Z82" s="147">
        <f t="shared" si="26"/>
        <v>323746.2179743</v>
      </c>
    </row>
    <row r="83" spans="1:26" ht="12.75">
      <c r="A83" s="81" t="s">
        <v>767</v>
      </c>
      <c r="B83" s="97">
        <v>0</v>
      </c>
      <c r="C83" s="78"/>
      <c r="D83" s="111" t="e">
        <f t="shared" si="18"/>
        <v>#DIV/0!</v>
      </c>
      <c r="E83" s="30">
        <f t="shared" si="44"/>
        <v>0</v>
      </c>
      <c r="F83" s="104">
        <v>0</v>
      </c>
      <c r="G83" s="270" t="e">
        <f t="shared" si="42"/>
        <v>#DIV/0!</v>
      </c>
      <c r="H83" s="267">
        <v>0</v>
      </c>
      <c r="I83" s="111" t="e">
        <f t="shared" si="43"/>
        <v>#DIV/0!</v>
      </c>
      <c r="J83" s="30">
        <f t="shared" si="45"/>
        <v>0</v>
      </c>
      <c r="K83" s="153">
        <v>0</v>
      </c>
      <c r="L83" s="142" t="e">
        <f t="shared" si="48"/>
        <v>#DIV/0!</v>
      </c>
      <c r="M83" s="143">
        <f t="shared" si="49"/>
        <v>0</v>
      </c>
      <c r="N83" s="179">
        <v>0</v>
      </c>
      <c r="O83" s="146" t="e">
        <f t="shared" si="17"/>
        <v>#DIV/0!</v>
      </c>
      <c r="P83" s="146"/>
      <c r="R83" s="190"/>
      <c r="S83" s="162">
        <f t="shared" si="19"/>
        <v>0</v>
      </c>
      <c r="T83" s="162">
        <f t="shared" si="20"/>
        <v>0</v>
      </c>
      <c r="U83" s="162">
        <f t="shared" si="21"/>
        <v>0</v>
      </c>
      <c r="V83" s="162">
        <f t="shared" si="22"/>
        <v>0</v>
      </c>
      <c r="W83" s="162">
        <f t="shared" si="23"/>
        <v>0</v>
      </c>
      <c r="X83" s="162">
        <f t="shared" si="24"/>
        <v>0</v>
      </c>
      <c r="Y83" s="162">
        <f t="shared" si="25"/>
        <v>0</v>
      </c>
      <c r="Z83" s="147">
        <f t="shared" si="26"/>
        <v>0</v>
      </c>
    </row>
    <row r="84" spans="1:26" ht="12.75">
      <c r="A84" s="81" t="s">
        <v>768</v>
      </c>
      <c r="B84" s="97">
        <v>19673</v>
      </c>
      <c r="C84" s="78"/>
      <c r="D84" s="111">
        <f t="shared" si="18"/>
        <v>1.5000038631627102</v>
      </c>
      <c r="E84" s="30">
        <f t="shared" si="44"/>
        <v>29509.576</v>
      </c>
      <c r="F84" s="104">
        <v>49182.576</v>
      </c>
      <c r="G84" s="270">
        <f t="shared" si="42"/>
        <v>-0.8373407688121094</v>
      </c>
      <c r="H84" s="267">
        <v>8000</v>
      </c>
      <c r="I84" s="111">
        <f t="shared" si="43"/>
        <v>-0.8373407688121094</v>
      </c>
      <c r="J84" s="30">
        <f t="shared" si="45"/>
        <v>-41182.576</v>
      </c>
      <c r="K84" s="153">
        <v>8000</v>
      </c>
      <c r="L84" s="142">
        <f t="shared" si="48"/>
        <v>-1</v>
      </c>
      <c r="M84" s="143">
        <f t="shared" si="49"/>
        <v>-8000</v>
      </c>
      <c r="N84" s="179">
        <v>0</v>
      </c>
      <c r="O84" s="146">
        <f t="shared" si="17"/>
        <v>-0.1124456352164664</v>
      </c>
      <c r="P84" s="146"/>
      <c r="R84" s="162">
        <f>(N84*P84)+N84</f>
        <v>0</v>
      </c>
      <c r="S84" s="162">
        <f t="shared" si="19"/>
        <v>0</v>
      </c>
      <c r="T84" s="162">
        <f t="shared" si="20"/>
        <v>0</v>
      </c>
      <c r="U84" s="162">
        <f t="shared" si="21"/>
        <v>0</v>
      </c>
      <c r="V84" s="162">
        <f t="shared" si="22"/>
        <v>0</v>
      </c>
      <c r="W84" s="147">
        <f t="shared" si="23"/>
        <v>0</v>
      </c>
      <c r="X84" s="162">
        <f t="shared" si="24"/>
        <v>0</v>
      </c>
      <c r="Y84" s="162">
        <f t="shared" si="25"/>
        <v>0</v>
      </c>
      <c r="Z84" s="147">
        <f t="shared" si="26"/>
        <v>0</v>
      </c>
    </row>
    <row r="85" spans="1:26" ht="12.75">
      <c r="A85" s="86" t="s">
        <v>769</v>
      </c>
      <c r="B85" s="32">
        <f>SUM(B86:B87)</f>
        <v>97149</v>
      </c>
      <c r="C85" s="78"/>
      <c r="D85" s="111">
        <f aca="true" t="shared" si="52" ref="D85:D149">F85/B85-1</f>
        <v>-0.15975648745741078</v>
      </c>
      <c r="E85" s="30">
        <f t="shared" si="44"/>
        <v>-15520.183000000005</v>
      </c>
      <c r="F85" s="144">
        <f>SUM(F86:F87)</f>
        <v>81628.817</v>
      </c>
      <c r="G85" s="270">
        <f t="shared" si="42"/>
        <v>0.1362286433723523</v>
      </c>
      <c r="H85" s="267">
        <v>92749</v>
      </c>
      <c r="I85" s="111">
        <f t="shared" si="43"/>
        <v>0.18352811605734787</v>
      </c>
      <c r="J85" s="30">
        <f t="shared" si="45"/>
        <v>14981.183000000005</v>
      </c>
      <c r="K85" s="144">
        <f>SUM(K86:K87)</f>
        <v>96610</v>
      </c>
      <c r="L85" s="142">
        <f t="shared" si="48"/>
        <v>-1</v>
      </c>
      <c r="M85" s="143">
        <f t="shared" si="49"/>
        <v>-96610</v>
      </c>
      <c r="N85" s="144">
        <f>SUM(N86:N87)</f>
        <v>0</v>
      </c>
      <c r="O85" s="146">
        <f aca="true" t="shared" si="53" ref="O85:O149">(D85+I85+L85)/3</f>
        <v>-0.3254094571333543</v>
      </c>
      <c r="P85" s="146"/>
      <c r="R85" s="185">
        <f aca="true" t="shared" si="54" ref="R85:Z85">SUM(R86:R87)</f>
        <v>0</v>
      </c>
      <c r="S85" s="166">
        <f t="shared" si="54"/>
        <v>0</v>
      </c>
      <c r="T85" s="166">
        <f t="shared" si="54"/>
        <v>0</v>
      </c>
      <c r="U85" s="166">
        <f t="shared" si="54"/>
        <v>0</v>
      </c>
      <c r="V85" s="166">
        <f t="shared" si="54"/>
        <v>0</v>
      </c>
      <c r="W85" s="166">
        <f t="shared" si="54"/>
        <v>0</v>
      </c>
      <c r="X85" s="166">
        <f t="shared" si="54"/>
        <v>0</v>
      </c>
      <c r="Y85" s="166">
        <f t="shared" si="54"/>
        <v>0</v>
      </c>
      <c r="Z85" s="166">
        <f t="shared" si="54"/>
        <v>0</v>
      </c>
    </row>
    <row r="86" spans="1:26" ht="12.75">
      <c r="A86" s="81" t="s">
        <v>770</v>
      </c>
      <c r="B86" s="97">
        <v>81565</v>
      </c>
      <c r="C86" s="78"/>
      <c r="D86" s="111">
        <f t="shared" si="52"/>
        <v>-0.1189582664132901</v>
      </c>
      <c r="E86" s="30">
        <f t="shared" si="44"/>
        <v>-9702.831000000006</v>
      </c>
      <c r="F86" s="104">
        <v>71862.169</v>
      </c>
      <c r="G86" s="270">
        <f t="shared" si="42"/>
        <v>0.13908334717812387</v>
      </c>
      <c r="H86" s="267">
        <v>81857</v>
      </c>
      <c r="I86" s="111">
        <f t="shared" si="43"/>
        <v>0.1885252169329874</v>
      </c>
      <c r="J86" s="30">
        <f t="shared" si="45"/>
        <v>13547.831000000006</v>
      </c>
      <c r="K86" s="153">
        <v>85410</v>
      </c>
      <c r="L86" s="142">
        <f t="shared" si="48"/>
        <v>-1</v>
      </c>
      <c r="M86" s="143">
        <f t="shared" si="49"/>
        <v>-85410</v>
      </c>
      <c r="N86" s="100">
        <v>0</v>
      </c>
      <c r="O86" s="146">
        <f t="shared" si="53"/>
        <v>-0.3101443498267676</v>
      </c>
      <c r="P86" s="146">
        <v>0.12</v>
      </c>
      <c r="R86" s="162">
        <f>(N86*P86)+N86</f>
        <v>0</v>
      </c>
      <c r="S86" s="162">
        <f aca="true" t="shared" si="55" ref="S86:S149">(R86*P86)+R86</f>
        <v>0</v>
      </c>
      <c r="T86" s="147">
        <f aca="true" t="shared" si="56" ref="T86:T149">(S86*P86)+S86</f>
        <v>0</v>
      </c>
      <c r="U86" s="162">
        <f aca="true" t="shared" si="57" ref="U86:U149">(T86*P86)+T86</f>
        <v>0</v>
      </c>
      <c r="V86" s="147">
        <f aca="true" t="shared" si="58" ref="V86:V149">(U86*P86)+U86</f>
        <v>0</v>
      </c>
      <c r="W86" s="147">
        <f aca="true" t="shared" si="59" ref="W86:W149">(V86*P86)+V86</f>
        <v>0</v>
      </c>
      <c r="X86" s="162">
        <f aca="true" t="shared" si="60" ref="X86:X149">(W86*P86)+W86</f>
        <v>0</v>
      </c>
      <c r="Y86" s="147">
        <f aca="true" t="shared" si="61" ref="Y86:Y149">(X86*P86)+X86</f>
        <v>0</v>
      </c>
      <c r="Z86" s="147">
        <f aca="true" t="shared" si="62" ref="Z86:Z149">(Y86*P86)+Y86</f>
        <v>0</v>
      </c>
    </row>
    <row r="87" spans="1:26" ht="12.75">
      <c r="A87" s="81" t="s">
        <v>771</v>
      </c>
      <c r="B87" s="97">
        <v>15584</v>
      </c>
      <c r="C87" s="78"/>
      <c r="D87" s="111">
        <f t="shared" si="52"/>
        <v>-0.37329004106776176</v>
      </c>
      <c r="E87" s="30">
        <f t="shared" si="44"/>
        <v>-5817.351999999999</v>
      </c>
      <c r="F87" s="104">
        <v>9766.648000000001</v>
      </c>
      <c r="G87" s="270">
        <f t="shared" si="42"/>
        <v>0.11522397448950739</v>
      </c>
      <c r="H87" s="267">
        <v>10892</v>
      </c>
      <c r="I87" s="111">
        <f t="shared" si="43"/>
        <v>0.14675987094036747</v>
      </c>
      <c r="J87" s="30">
        <f t="shared" si="45"/>
        <v>1433.351999999999</v>
      </c>
      <c r="K87" s="153">
        <v>11200</v>
      </c>
      <c r="L87" s="142">
        <f t="shared" si="48"/>
        <v>-1</v>
      </c>
      <c r="M87" s="143">
        <f t="shared" si="49"/>
        <v>-11200</v>
      </c>
      <c r="N87" s="100">
        <v>0</v>
      </c>
      <c r="O87" s="146">
        <f t="shared" si="53"/>
        <v>-0.4088433900424648</v>
      </c>
      <c r="P87" s="146">
        <v>0.12</v>
      </c>
      <c r="R87" s="162">
        <f>(N87*P87)+N87</f>
        <v>0</v>
      </c>
      <c r="S87" s="162">
        <f t="shared" si="55"/>
        <v>0</v>
      </c>
      <c r="T87" s="147">
        <f t="shared" si="56"/>
        <v>0</v>
      </c>
      <c r="U87" s="162">
        <f t="shared" si="57"/>
        <v>0</v>
      </c>
      <c r="V87" s="147">
        <f t="shared" si="58"/>
        <v>0</v>
      </c>
      <c r="W87" s="147">
        <f t="shared" si="59"/>
        <v>0</v>
      </c>
      <c r="X87" s="162">
        <f t="shared" si="60"/>
        <v>0</v>
      </c>
      <c r="Y87" s="147">
        <f t="shared" si="61"/>
        <v>0</v>
      </c>
      <c r="Z87" s="147">
        <f t="shared" si="62"/>
        <v>0</v>
      </c>
    </row>
    <row r="88" spans="1:26" ht="12.75">
      <c r="A88" s="86" t="s">
        <v>772</v>
      </c>
      <c r="B88" s="32">
        <f>SUM(B89:B94)</f>
        <v>207827</v>
      </c>
      <c r="C88" s="78"/>
      <c r="D88" s="111">
        <f t="shared" si="52"/>
        <v>-0.039264015310811584</v>
      </c>
      <c r="E88" s="30">
        <f t="shared" si="44"/>
        <v>-8160.122510000045</v>
      </c>
      <c r="F88" s="144">
        <f>SUM(F89:F93)</f>
        <v>199666.87748999996</v>
      </c>
      <c r="G88" s="270">
        <f t="shared" si="42"/>
        <v>2.8271595650023214</v>
      </c>
      <c r="H88" s="267">
        <v>764157</v>
      </c>
      <c r="I88" s="111">
        <f t="shared" si="43"/>
        <v>2.8757555070132135</v>
      </c>
      <c r="J88" s="30">
        <f t="shared" si="45"/>
        <v>574193.12251</v>
      </c>
      <c r="K88" s="144">
        <f>SUM(K89:K93)</f>
        <v>773860</v>
      </c>
      <c r="L88" s="142">
        <f t="shared" si="48"/>
        <v>0.017636264957485936</v>
      </c>
      <c r="M88" s="143">
        <f t="shared" si="49"/>
        <v>13648</v>
      </c>
      <c r="N88" s="144">
        <f>SUM(N89:N93)</f>
        <v>787508</v>
      </c>
      <c r="O88" s="146">
        <f t="shared" si="53"/>
        <v>0.9513759188866292</v>
      </c>
      <c r="P88" s="146"/>
      <c r="R88" s="166">
        <f aca="true" t="shared" si="63" ref="R88:Z88">SUM(R89:R93)</f>
        <v>866258.8</v>
      </c>
      <c r="S88" s="166">
        <f t="shared" si="63"/>
        <v>952884.68</v>
      </c>
      <c r="T88" s="166">
        <f t="shared" si="63"/>
        <v>1048173.148</v>
      </c>
      <c r="U88" s="166">
        <f t="shared" si="63"/>
        <v>1152990.4628</v>
      </c>
      <c r="V88" s="166">
        <f t="shared" si="63"/>
        <v>1268289.5090800002</v>
      </c>
      <c r="W88" s="166">
        <f t="shared" si="63"/>
        <v>1395118.459988</v>
      </c>
      <c r="X88" s="166">
        <f t="shared" si="63"/>
        <v>1534630.3059868002</v>
      </c>
      <c r="Y88" s="166">
        <f t="shared" si="63"/>
        <v>1688093.33658548</v>
      </c>
      <c r="Z88" s="166">
        <f t="shared" si="63"/>
        <v>1856902.670244028</v>
      </c>
    </row>
    <row r="89" spans="1:26" ht="12.75">
      <c r="A89" s="81" t="s">
        <v>773</v>
      </c>
      <c r="B89" s="97">
        <v>90923</v>
      </c>
      <c r="C89" s="78"/>
      <c r="D89" s="111">
        <f t="shared" si="52"/>
        <v>1.1763126765504874</v>
      </c>
      <c r="E89" s="30">
        <f t="shared" si="44"/>
        <v>106953.87748999996</v>
      </c>
      <c r="F89" s="104">
        <v>197876.87748999996</v>
      </c>
      <c r="G89" s="270">
        <f t="shared" si="42"/>
        <v>-0.41322098128485063</v>
      </c>
      <c r="H89" s="267">
        <v>116110</v>
      </c>
      <c r="I89" s="111">
        <f t="shared" si="43"/>
        <v>-0.41322098128485063</v>
      </c>
      <c r="J89" s="30">
        <f t="shared" si="45"/>
        <v>-81766.87748999996</v>
      </c>
      <c r="K89" s="153">
        <v>116110</v>
      </c>
      <c r="L89" s="142">
        <f t="shared" si="48"/>
        <v>0.19019033674963404</v>
      </c>
      <c r="M89" s="143">
        <f t="shared" si="49"/>
        <v>22083</v>
      </c>
      <c r="N89" s="179">
        <v>138193</v>
      </c>
      <c r="O89" s="146">
        <f t="shared" si="53"/>
        <v>0.3177606773384236</v>
      </c>
      <c r="P89" s="146">
        <v>0.1</v>
      </c>
      <c r="R89" s="162">
        <f>(N89*P89)+N89</f>
        <v>152012.3</v>
      </c>
      <c r="S89" s="162">
        <f t="shared" si="55"/>
        <v>167213.53</v>
      </c>
      <c r="T89" s="162">
        <f t="shared" si="56"/>
        <v>183934.883</v>
      </c>
      <c r="U89" s="162">
        <f t="shared" si="57"/>
        <v>202328.3713</v>
      </c>
      <c r="V89" s="162">
        <f t="shared" si="58"/>
        <v>222561.20843</v>
      </c>
      <c r="W89" s="162">
        <f t="shared" si="59"/>
        <v>244817.329273</v>
      </c>
      <c r="X89" s="162">
        <f t="shared" si="60"/>
        <v>269299.0622003</v>
      </c>
      <c r="Y89" s="162">
        <f t="shared" si="61"/>
        <v>296228.96842032997</v>
      </c>
      <c r="Z89" s="147">
        <f t="shared" si="62"/>
        <v>325851.865262363</v>
      </c>
    </row>
    <row r="90" spans="1:26" ht="12.75">
      <c r="A90" s="81" t="s">
        <v>774</v>
      </c>
      <c r="B90" s="97">
        <v>1144</v>
      </c>
      <c r="C90" s="78"/>
      <c r="D90" s="111">
        <f t="shared" si="52"/>
        <v>0.08041958041958042</v>
      </c>
      <c r="E90" s="30">
        <f t="shared" si="44"/>
        <v>92</v>
      </c>
      <c r="F90" s="104">
        <v>1236</v>
      </c>
      <c r="G90" s="270">
        <f t="shared" si="42"/>
        <v>-0.19417475728155342</v>
      </c>
      <c r="H90" s="267">
        <v>996</v>
      </c>
      <c r="I90" s="111">
        <f t="shared" si="43"/>
        <v>-0.0744336569579288</v>
      </c>
      <c r="J90" s="30">
        <f t="shared" si="45"/>
        <v>-92</v>
      </c>
      <c r="K90" s="153">
        <v>1144</v>
      </c>
      <c r="L90" s="142">
        <f t="shared" si="48"/>
        <v>0.2674825174825175</v>
      </c>
      <c r="M90" s="143">
        <f t="shared" si="49"/>
        <v>306</v>
      </c>
      <c r="N90" s="179">
        <v>1450</v>
      </c>
      <c r="O90" s="146">
        <f t="shared" si="53"/>
        <v>0.0911561469813897</v>
      </c>
      <c r="P90" s="146">
        <v>0.1</v>
      </c>
      <c r="R90" s="162">
        <f>(N90*P90)+N90</f>
        <v>1595</v>
      </c>
      <c r="S90" s="162">
        <f t="shared" si="55"/>
        <v>1754.5</v>
      </c>
      <c r="T90" s="162">
        <f t="shared" si="56"/>
        <v>1929.95</v>
      </c>
      <c r="U90" s="162">
        <f t="shared" si="57"/>
        <v>2122.945</v>
      </c>
      <c r="V90" s="162">
        <f t="shared" si="58"/>
        <v>2335.2395</v>
      </c>
      <c r="W90" s="162">
        <f t="shared" si="59"/>
        <v>2568.7634500000004</v>
      </c>
      <c r="X90" s="162">
        <f t="shared" si="60"/>
        <v>2825.6397950000005</v>
      </c>
      <c r="Y90" s="162">
        <f t="shared" si="61"/>
        <v>3108.2037745000007</v>
      </c>
      <c r="Z90" s="147">
        <f t="shared" si="62"/>
        <v>3419.024151950001</v>
      </c>
    </row>
    <row r="91" spans="1:26" ht="12.75">
      <c r="A91" s="81" t="s">
        <v>775</v>
      </c>
      <c r="B91" s="97">
        <v>0</v>
      </c>
      <c r="C91" s="78"/>
      <c r="D91" s="111" t="e">
        <f t="shared" si="52"/>
        <v>#DIV/0!</v>
      </c>
      <c r="E91" s="30">
        <f t="shared" si="44"/>
        <v>0</v>
      </c>
      <c r="F91" s="104">
        <v>0</v>
      </c>
      <c r="G91" s="270" t="e">
        <f t="shared" si="42"/>
        <v>#DIV/0!</v>
      </c>
      <c r="H91" s="267">
        <v>647051</v>
      </c>
      <c r="I91" s="111" t="e">
        <f t="shared" si="43"/>
        <v>#DIV/0!</v>
      </c>
      <c r="J91" s="30">
        <f t="shared" si="45"/>
        <v>651606</v>
      </c>
      <c r="K91" s="153">
        <v>651606</v>
      </c>
      <c r="L91" s="142">
        <f t="shared" si="48"/>
        <v>-0.01648388750257057</v>
      </c>
      <c r="M91" s="143">
        <f t="shared" si="49"/>
        <v>-10741</v>
      </c>
      <c r="N91" s="179">
        <v>640865</v>
      </c>
      <c r="O91" s="146" t="e">
        <f t="shared" si="53"/>
        <v>#DIV/0!</v>
      </c>
      <c r="P91" s="146">
        <v>0.1</v>
      </c>
      <c r="R91" s="162">
        <f>(N91*P91)+N91</f>
        <v>704951.5</v>
      </c>
      <c r="S91" s="162">
        <f t="shared" si="55"/>
        <v>775446.65</v>
      </c>
      <c r="T91" s="162">
        <f t="shared" si="56"/>
        <v>852991.3150000001</v>
      </c>
      <c r="U91" s="162">
        <f t="shared" si="57"/>
        <v>938290.4465000001</v>
      </c>
      <c r="V91" s="162">
        <f t="shared" si="58"/>
        <v>1032119.4911500001</v>
      </c>
      <c r="W91" s="162">
        <f t="shared" si="59"/>
        <v>1135331.440265</v>
      </c>
      <c r="X91" s="162">
        <f t="shared" si="60"/>
        <v>1248864.5842915</v>
      </c>
      <c r="Y91" s="162">
        <f t="shared" si="61"/>
        <v>1373751.04272065</v>
      </c>
      <c r="Z91" s="147">
        <f t="shared" si="62"/>
        <v>1511126.146992715</v>
      </c>
    </row>
    <row r="92" spans="1:26" ht="13.5" thickBot="1">
      <c r="A92" s="87" t="s">
        <v>776</v>
      </c>
      <c r="B92" s="97">
        <v>0</v>
      </c>
      <c r="C92" s="78"/>
      <c r="D92" s="111" t="e">
        <f t="shared" si="52"/>
        <v>#DIV/0!</v>
      </c>
      <c r="E92" s="30">
        <f t="shared" si="44"/>
        <v>0</v>
      </c>
      <c r="F92" s="104">
        <v>0</v>
      </c>
      <c r="G92" s="270" t="e">
        <f t="shared" si="42"/>
        <v>#DIV/0!</v>
      </c>
      <c r="H92" s="267">
        <v>0</v>
      </c>
      <c r="I92" s="111" t="e">
        <f t="shared" si="43"/>
        <v>#DIV/0!</v>
      </c>
      <c r="J92" s="30">
        <f t="shared" si="45"/>
        <v>0</v>
      </c>
      <c r="K92" s="156">
        <v>0</v>
      </c>
      <c r="L92" s="142" t="e">
        <f t="shared" si="48"/>
        <v>#DIV/0!</v>
      </c>
      <c r="M92" s="143">
        <f t="shared" si="49"/>
        <v>0</v>
      </c>
      <c r="N92" s="179">
        <v>0</v>
      </c>
      <c r="O92" s="146" t="e">
        <f t="shared" si="53"/>
        <v>#DIV/0!</v>
      </c>
      <c r="P92" s="146">
        <v>0.1</v>
      </c>
      <c r="R92" s="190">
        <f>(N92*P92)+N92</f>
        <v>0</v>
      </c>
      <c r="S92" s="162">
        <f t="shared" si="55"/>
        <v>0</v>
      </c>
      <c r="T92" s="162">
        <f t="shared" si="56"/>
        <v>0</v>
      </c>
      <c r="U92" s="162">
        <f t="shared" si="57"/>
        <v>0</v>
      </c>
      <c r="V92" s="162">
        <f t="shared" si="58"/>
        <v>0</v>
      </c>
      <c r="W92" s="162">
        <f t="shared" si="59"/>
        <v>0</v>
      </c>
      <c r="X92" s="162">
        <f t="shared" si="60"/>
        <v>0</v>
      </c>
      <c r="Y92" s="162">
        <f t="shared" si="61"/>
        <v>0</v>
      </c>
      <c r="Z92" s="147">
        <f t="shared" si="62"/>
        <v>0</v>
      </c>
    </row>
    <row r="93" spans="1:26" ht="12.75">
      <c r="A93" s="181" t="s">
        <v>777</v>
      </c>
      <c r="B93" s="30">
        <v>0</v>
      </c>
      <c r="C93" s="78"/>
      <c r="D93" s="111" t="e">
        <f t="shared" si="52"/>
        <v>#DIV/0!</v>
      </c>
      <c r="E93" s="30">
        <f t="shared" si="44"/>
        <v>554</v>
      </c>
      <c r="F93" s="104">
        <v>554</v>
      </c>
      <c r="G93" s="270">
        <f t="shared" si="42"/>
        <v>-1</v>
      </c>
      <c r="H93" s="267">
        <v>0</v>
      </c>
      <c r="I93" s="111">
        <f t="shared" si="43"/>
        <v>8.025270758122744</v>
      </c>
      <c r="J93" s="30">
        <f t="shared" si="45"/>
        <v>4446</v>
      </c>
      <c r="K93" s="153">
        <v>5000</v>
      </c>
      <c r="L93" s="142">
        <f t="shared" si="48"/>
        <v>0.3999999999999999</v>
      </c>
      <c r="M93" s="143">
        <f t="shared" si="49"/>
        <v>2000</v>
      </c>
      <c r="N93" s="179">
        <v>7000</v>
      </c>
      <c r="O93" s="146" t="e">
        <f t="shared" si="53"/>
        <v>#DIV/0!</v>
      </c>
      <c r="P93" s="146">
        <v>0.1</v>
      </c>
      <c r="R93" s="162">
        <f>(N93*P93)+N93</f>
        <v>7700</v>
      </c>
      <c r="S93" s="162">
        <f t="shared" si="55"/>
        <v>8470</v>
      </c>
      <c r="T93" s="162">
        <f t="shared" si="56"/>
        <v>9317</v>
      </c>
      <c r="U93" s="162">
        <f t="shared" si="57"/>
        <v>10248.7</v>
      </c>
      <c r="V93" s="162">
        <f t="shared" si="58"/>
        <v>11273.570000000002</v>
      </c>
      <c r="W93" s="162">
        <f t="shared" si="59"/>
        <v>12400.927000000001</v>
      </c>
      <c r="X93" s="162">
        <f t="shared" si="60"/>
        <v>13641.0197</v>
      </c>
      <c r="Y93" s="162">
        <f t="shared" si="61"/>
        <v>15005.12167</v>
      </c>
      <c r="Z93" s="147">
        <f t="shared" si="62"/>
        <v>16505.633837</v>
      </c>
    </row>
    <row r="94" spans="1:26" ht="12.75">
      <c r="A94" s="86" t="s">
        <v>778</v>
      </c>
      <c r="B94" s="32">
        <f>SUM(B95:B100)</f>
        <v>115760</v>
      </c>
      <c r="C94" s="78"/>
      <c r="D94" s="111">
        <f t="shared" si="52"/>
        <v>-0.3375962854181064</v>
      </c>
      <c r="E94" s="30">
        <f t="shared" si="44"/>
        <v>-39080.14599999999</v>
      </c>
      <c r="F94" s="144">
        <f>SUM(F95:F100)</f>
        <v>76679.854</v>
      </c>
      <c r="G94" s="270">
        <f t="shared" si="42"/>
        <v>-0.256662643097886</v>
      </c>
      <c r="H94" s="267">
        <v>56999</v>
      </c>
      <c r="I94" s="111">
        <f t="shared" si="43"/>
        <v>-0.2566496018628309</v>
      </c>
      <c r="J94" s="30">
        <f t="shared" si="45"/>
        <v>-19679.854000000007</v>
      </c>
      <c r="K94" s="144">
        <f>SUM(K95:K100)</f>
        <v>57000</v>
      </c>
      <c r="L94" s="142">
        <f t="shared" si="48"/>
        <v>-1</v>
      </c>
      <c r="M94" s="143">
        <f t="shared" si="49"/>
        <v>-57000</v>
      </c>
      <c r="N94" s="144">
        <f>SUM(N95:N100)</f>
        <v>0</v>
      </c>
      <c r="O94" s="146">
        <f t="shared" si="53"/>
        <v>-0.5314152957603124</v>
      </c>
      <c r="P94" s="146"/>
      <c r="R94" s="166">
        <f aca="true" t="shared" si="64" ref="R94:Z94">SUM(R95:R100)</f>
        <v>0</v>
      </c>
      <c r="S94" s="185">
        <f t="shared" si="64"/>
        <v>0</v>
      </c>
      <c r="T94" s="166">
        <f t="shared" si="64"/>
        <v>0</v>
      </c>
      <c r="U94" s="166">
        <f t="shared" si="64"/>
        <v>0</v>
      </c>
      <c r="V94" s="185">
        <f t="shared" si="64"/>
        <v>0</v>
      </c>
      <c r="W94" s="166">
        <f t="shared" si="64"/>
        <v>0</v>
      </c>
      <c r="X94" s="166">
        <f t="shared" si="64"/>
        <v>0</v>
      </c>
      <c r="Y94" s="166">
        <f t="shared" si="64"/>
        <v>0</v>
      </c>
      <c r="Z94" s="166">
        <f t="shared" si="64"/>
        <v>0</v>
      </c>
    </row>
    <row r="95" spans="1:26" ht="12.75">
      <c r="A95" s="81" t="s">
        <v>779</v>
      </c>
      <c r="B95" s="97">
        <v>65000</v>
      </c>
      <c r="C95" s="78"/>
      <c r="D95" s="111">
        <f t="shared" si="52"/>
        <v>-0.46153846153846156</v>
      </c>
      <c r="E95" s="30">
        <f t="shared" si="44"/>
        <v>-30000</v>
      </c>
      <c r="F95" s="107">
        <v>35000</v>
      </c>
      <c r="G95" s="270">
        <f t="shared" si="42"/>
        <v>-0.1428571428571429</v>
      </c>
      <c r="H95" s="267">
        <v>30000</v>
      </c>
      <c r="I95" s="111">
        <f t="shared" si="43"/>
        <v>-0.1428571428571429</v>
      </c>
      <c r="J95" s="30">
        <f t="shared" si="45"/>
        <v>-5000</v>
      </c>
      <c r="K95" s="153">
        <v>30000</v>
      </c>
      <c r="L95" s="142">
        <f t="shared" si="48"/>
        <v>-1</v>
      </c>
      <c r="M95" s="143">
        <f t="shared" si="49"/>
        <v>-30000</v>
      </c>
      <c r="N95" s="100">
        <v>0</v>
      </c>
      <c r="O95" s="146">
        <f t="shared" si="53"/>
        <v>-0.5347985347985348</v>
      </c>
      <c r="P95" s="146">
        <v>0</v>
      </c>
      <c r="R95" s="147">
        <f aca="true" t="shared" si="65" ref="R95:R100">(N95*P95)+N95</f>
        <v>0</v>
      </c>
      <c r="S95" s="162">
        <f t="shared" si="55"/>
        <v>0</v>
      </c>
      <c r="T95" s="147">
        <f t="shared" si="56"/>
        <v>0</v>
      </c>
      <c r="U95" s="147">
        <f t="shared" si="57"/>
        <v>0</v>
      </c>
      <c r="V95" s="162">
        <f t="shared" si="58"/>
        <v>0</v>
      </c>
      <c r="W95" s="147">
        <f t="shared" si="59"/>
        <v>0</v>
      </c>
      <c r="X95" s="162">
        <f t="shared" si="60"/>
        <v>0</v>
      </c>
      <c r="Y95" s="147">
        <f t="shared" si="61"/>
        <v>0</v>
      </c>
      <c r="Z95" s="147">
        <f t="shared" si="62"/>
        <v>0</v>
      </c>
    </row>
    <row r="96" spans="1:26" ht="12.75">
      <c r="A96" s="81" t="s">
        <v>780</v>
      </c>
      <c r="B96" s="97">
        <v>22000</v>
      </c>
      <c r="C96" s="78"/>
      <c r="D96" s="111">
        <f t="shared" si="52"/>
        <v>0</v>
      </c>
      <c r="E96" s="30">
        <f t="shared" si="44"/>
        <v>0</v>
      </c>
      <c r="F96" s="107">
        <v>22000</v>
      </c>
      <c r="G96" s="270">
        <f t="shared" si="42"/>
        <v>-0.5454545454545454</v>
      </c>
      <c r="H96" s="267">
        <v>10000</v>
      </c>
      <c r="I96" s="111">
        <f t="shared" si="43"/>
        <v>-0.5454545454545454</v>
      </c>
      <c r="J96" s="30">
        <f t="shared" si="45"/>
        <v>-12000</v>
      </c>
      <c r="K96" s="153">
        <v>10000</v>
      </c>
      <c r="L96" s="142">
        <f t="shared" si="48"/>
        <v>-1</v>
      </c>
      <c r="M96" s="143">
        <f t="shared" si="49"/>
        <v>-10000</v>
      </c>
      <c r="N96" s="100">
        <v>0</v>
      </c>
      <c r="O96" s="146">
        <f t="shared" si="53"/>
        <v>-0.5151515151515151</v>
      </c>
      <c r="P96" s="146">
        <v>0</v>
      </c>
      <c r="R96" s="147">
        <f t="shared" si="65"/>
        <v>0</v>
      </c>
      <c r="S96" s="162">
        <f t="shared" si="55"/>
        <v>0</v>
      </c>
      <c r="T96" s="147">
        <f t="shared" si="56"/>
        <v>0</v>
      </c>
      <c r="U96" s="147">
        <f t="shared" si="57"/>
        <v>0</v>
      </c>
      <c r="V96" s="162">
        <f t="shared" si="58"/>
        <v>0</v>
      </c>
      <c r="W96" s="147">
        <f t="shared" si="59"/>
        <v>0</v>
      </c>
      <c r="X96" s="162">
        <f t="shared" si="60"/>
        <v>0</v>
      </c>
      <c r="Y96" s="147">
        <f t="shared" si="61"/>
        <v>0</v>
      </c>
      <c r="Z96" s="147">
        <f t="shared" si="62"/>
        <v>0</v>
      </c>
    </row>
    <row r="97" spans="1:26" ht="12.75">
      <c r="A97" s="81" t="s">
        <v>781</v>
      </c>
      <c r="B97" s="97">
        <v>15190</v>
      </c>
      <c r="C97" s="78"/>
      <c r="D97" s="111">
        <f t="shared" si="52"/>
        <v>-0.6566115865701119</v>
      </c>
      <c r="E97" s="30">
        <f t="shared" si="44"/>
        <v>-9973.93</v>
      </c>
      <c r="F97" s="107">
        <v>5216.07</v>
      </c>
      <c r="G97" s="270">
        <f t="shared" si="42"/>
        <v>-1</v>
      </c>
      <c r="H97" s="267">
        <v>0</v>
      </c>
      <c r="I97" s="111">
        <f t="shared" si="43"/>
        <v>-1</v>
      </c>
      <c r="J97" s="30">
        <f t="shared" si="45"/>
        <v>-5216.07</v>
      </c>
      <c r="K97" s="153">
        <v>0</v>
      </c>
      <c r="L97" s="142" t="e">
        <f t="shared" si="48"/>
        <v>#DIV/0!</v>
      </c>
      <c r="M97" s="143">
        <f t="shared" si="49"/>
        <v>0</v>
      </c>
      <c r="N97" s="100">
        <v>0</v>
      </c>
      <c r="O97" s="146" t="e">
        <f t="shared" si="53"/>
        <v>#DIV/0!</v>
      </c>
      <c r="P97" s="146">
        <v>0</v>
      </c>
      <c r="R97" s="147">
        <f t="shared" si="65"/>
        <v>0</v>
      </c>
      <c r="S97" s="162">
        <f t="shared" si="55"/>
        <v>0</v>
      </c>
      <c r="T97" s="147">
        <f t="shared" si="56"/>
        <v>0</v>
      </c>
      <c r="U97" s="147">
        <f t="shared" si="57"/>
        <v>0</v>
      </c>
      <c r="V97" s="162">
        <f t="shared" si="58"/>
        <v>0</v>
      </c>
      <c r="W97" s="147">
        <f t="shared" si="59"/>
        <v>0</v>
      </c>
      <c r="X97" s="162">
        <f t="shared" si="60"/>
        <v>0</v>
      </c>
      <c r="Y97" s="147">
        <f t="shared" si="61"/>
        <v>0</v>
      </c>
      <c r="Z97" s="147">
        <f t="shared" si="62"/>
        <v>0</v>
      </c>
    </row>
    <row r="98" spans="1:26" ht="12.75">
      <c r="A98" s="81" t="s">
        <v>782</v>
      </c>
      <c r="B98" s="97">
        <v>9570</v>
      </c>
      <c r="C98" s="78"/>
      <c r="D98" s="111">
        <f t="shared" si="52"/>
        <v>0.039707419017763756</v>
      </c>
      <c r="E98" s="30">
        <f t="shared" si="44"/>
        <v>380</v>
      </c>
      <c r="F98" s="107">
        <v>9950</v>
      </c>
      <c r="G98" s="270">
        <f t="shared" si="42"/>
        <v>0.20592964824120608</v>
      </c>
      <c r="H98" s="267">
        <v>11999</v>
      </c>
      <c r="I98" s="111">
        <f t="shared" si="43"/>
        <v>0.20603015075376874</v>
      </c>
      <c r="J98" s="30">
        <f t="shared" si="45"/>
        <v>2050</v>
      </c>
      <c r="K98" s="153">
        <v>12000</v>
      </c>
      <c r="L98" s="142">
        <f t="shared" si="48"/>
        <v>-1</v>
      </c>
      <c r="M98" s="143">
        <f t="shared" si="49"/>
        <v>-12000</v>
      </c>
      <c r="N98" s="100">
        <v>0</v>
      </c>
      <c r="O98" s="146">
        <f t="shared" si="53"/>
        <v>-0.25142081007615585</v>
      </c>
      <c r="P98" s="146">
        <v>0</v>
      </c>
      <c r="R98" s="147">
        <f t="shared" si="65"/>
        <v>0</v>
      </c>
      <c r="S98" s="162">
        <f t="shared" si="55"/>
        <v>0</v>
      </c>
      <c r="T98" s="147">
        <f t="shared" si="56"/>
        <v>0</v>
      </c>
      <c r="U98" s="147">
        <f t="shared" si="57"/>
        <v>0</v>
      </c>
      <c r="V98" s="162">
        <f t="shared" si="58"/>
        <v>0</v>
      </c>
      <c r="W98" s="147">
        <f t="shared" si="59"/>
        <v>0</v>
      </c>
      <c r="X98" s="162">
        <f t="shared" si="60"/>
        <v>0</v>
      </c>
      <c r="Y98" s="147">
        <f t="shared" si="61"/>
        <v>0</v>
      </c>
      <c r="Z98" s="147">
        <f t="shared" si="62"/>
        <v>0</v>
      </c>
    </row>
    <row r="99" spans="1:26" ht="12.75">
      <c r="A99" s="81" t="s">
        <v>783</v>
      </c>
      <c r="B99" s="97">
        <v>0</v>
      </c>
      <c r="C99" s="78"/>
      <c r="D99" s="111" t="e">
        <f t="shared" si="52"/>
        <v>#DIV/0!</v>
      </c>
      <c r="E99" s="30">
        <f t="shared" si="44"/>
        <v>4513.784</v>
      </c>
      <c r="F99" s="107">
        <v>4513.784</v>
      </c>
      <c r="G99" s="270">
        <f t="shared" si="42"/>
        <v>0.10771804765137194</v>
      </c>
      <c r="H99" s="267">
        <v>5000</v>
      </c>
      <c r="I99" s="111">
        <f t="shared" si="43"/>
        <v>0.10771804765137194</v>
      </c>
      <c r="J99" s="30">
        <f t="shared" si="45"/>
        <v>486.21600000000035</v>
      </c>
      <c r="K99" s="153">
        <v>5000</v>
      </c>
      <c r="L99" s="142">
        <f t="shared" si="48"/>
        <v>-1</v>
      </c>
      <c r="M99" s="143">
        <f t="shared" si="49"/>
        <v>-5000</v>
      </c>
      <c r="N99" s="100">
        <v>0</v>
      </c>
      <c r="O99" s="146" t="e">
        <f t="shared" si="53"/>
        <v>#DIV/0!</v>
      </c>
      <c r="P99" s="146">
        <v>0</v>
      </c>
      <c r="R99" s="147">
        <f t="shared" si="65"/>
        <v>0</v>
      </c>
      <c r="S99" s="162">
        <f t="shared" si="55"/>
        <v>0</v>
      </c>
      <c r="T99" s="147">
        <f t="shared" si="56"/>
        <v>0</v>
      </c>
      <c r="U99" s="147">
        <f t="shared" si="57"/>
        <v>0</v>
      </c>
      <c r="V99" s="162">
        <f t="shared" si="58"/>
        <v>0</v>
      </c>
      <c r="W99" s="147">
        <f t="shared" si="59"/>
        <v>0</v>
      </c>
      <c r="X99" s="162">
        <f t="shared" si="60"/>
        <v>0</v>
      </c>
      <c r="Y99" s="147">
        <f t="shared" si="61"/>
        <v>0</v>
      </c>
      <c r="Z99" s="147">
        <f t="shared" si="62"/>
        <v>0</v>
      </c>
    </row>
    <row r="100" spans="1:26" ht="12.75">
      <c r="A100" s="81" t="s">
        <v>784</v>
      </c>
      <c r="B100" s="30">
        <v>4000</v>
      </c>
      <c r="C100" s="78"/>
      <c r="D100" s="111">
        <f t="shared" si="52"/>
        <v>-1</v>
      </c>
      <c r="E100" s="30">
        <f t="shared" si="44"/>
        <v>-4000</v>
      </c>
      <c r="F100" s="107">
        <v>0</v>
      </c>
      <c r="G100" s="270" t="e">
        <f t="shared" si="42"/>
        <v>#DIV/0!</v>
      </c>
      <c r="H100" s="267">
        <v>0</v>
      </c>
      <c r="I100" s="111" t="e">
        <f t="shared" si="43"/>
        <v>#DIV/0!</v>
      </c>
      <c r="J100" s="30">
        <f t="shared" si="45"/>
        <v>0</v>
      </c>
      <c r="K100" s="153">
        <v>0</v>
      </c>
      <c r="L100" s="142" t="e">
        <f t="shared" si="48"/>
        <v>#DIV/0!</v>
      </c>
      <c r="M100" s="143">
        <f t="shared" si="49"/>
        <v>0</v>
      </c>
      <c r="N100" s="100">
        <v>0</v>
      </c>
      <c r="O100" s="146" t="e">
        <f t="shared" si="53"/>
        <v>#DIV/0!</v>
      </c>
      <c r="P100" s="146">
        <v>0</v>
      </c>
      <c r="R100" s="147">
        <f t="shared" si="65"/>
        <v>0</v>
      </c>
      <c r="S100" s="162">
        <f t="shared" si="55"/>
        <v>0</v>
      </c>
      <c r="T100" s="147">
        <f t="shared" si="56"/>
        <v>0</v>
      </c>
      <c r="U100" s="147">
        <f t="shared" si="57"/>
        <v>0</v>
      </c>
      <c r="V100" s="162">
        <f t="shared" si="58"/>
        <v>0</v>
      </c>
      <c r="W100" s="147">
        <f t="shared" si="59"/>
        <v>0</v>
      </c>
      <c r="X100" s="162">
        <f t="shared" si="60"/>
        <v>0</v>
      </c>
      <c r="Y100" s="147">
        <f t="shared" si="61"/>
        <v>0</v>
      </c>
      <c r="Z100" s="147">
        <f t="shared" si="62"/>
        <v>0</v>
      </c>
    </row>
    <row r="101" spans="1:26" ht="12.75">
      <c r="A101" s="86" t="s">
        <v>785</v>
      </c>
      <c r="B101" s="144">
        <f>B102+B104+B106+B108</f>
        <v>8535</v>
      </c>
      <c r="C101" s="78"/>
      <c r="D101" s="111">
        <f t="shared" si="52"/>
        <v>-1</v>
      </c>
      <c r="E101" s="30">
        <f t="shared" si="44"/>
        <v>-8535</v>
      </c>
      <c r="F101" s="144">
        <f>F102+F104+F106+F108</f>
        <v>0</v>
      </c>
      <c r="G101" s="270" t="e">
        <f t="shared" si="42"/>
        <v>#DIV/0!</v>
      </c>
      <c r="H101" s="267">
        <v>6000</v>
      </c>
      <c r="I101" s="111" t="e">
        <f t="shared" si="43"/>
        <v>#DIV/0!</v>
      </c>
      <c r="J101" s="30">
        <f t="shared" si="45"/>
        <v>317154</v>
      </c>
      <c r="K101" s="144">
        <f>K102+K104+K106+K108</f>
        <v>317154</v>
      </c>
      <c r="L101" s="142">
        <f t="shared" si="48"/>
        <v>-0.5160079961154518</v>
      </c>
      <c r="M101" s="143">
        <f t="shared" si="49"/>
        <v>-163654</v>
      </c>
      <c r="N101" s="144">
        <f>N102+N104+N106+N108</f>
        <v>153500</v>
      </c>
      <c r="O101" s="146" t="e">
        <f t="shared" si="53"/>
        <v>#DIV/0!</v>
      </c>
      <c r="P101" s="146"/>
      <c r="R101" s="166">
        <f aca="true" t="shared" si="66" ref="R101:Z101">R102+R104+R106+R108</f>
        <v>161175</v>
      </c>
      <c r="S101" s="166">
        <f t="shared" si="66"/>
        <v>169233.75</v>
      </c>
      <c r="T101" s="166">
        <f t="shared" si="66"/>
        <v>177695.4375</v>
      </c>
      <c r="U101" s="166">
        <f t="shared" si="66"/>
        <v>186580.209375</v>
      </c>
      <c r="V101" s="166">
        <f t="shared" si="66"/>
        <v>195909.21984375</v>
      </c>
      <c r="W101" s="166">
        <f t="shared" si="66"/>
        <v>205704.6808359375</v>
      </c>
      <c r="X101" s="166">
        <f t="shared" si="66"/>
        <v>215989.91487773438</v>
      </c>
      <c r="Y101" s="166">
        <f t="shared" si="66"/>
        <v>226789.4106216211</v>
      </c>
      <c r="Z101" s="166">
        <f t="shared" si="66"/>
        <v>238128.88115270215</v>
      </c>
    </row>
    <row r="102" spans="1:26" ht="12.75">
      <c r="A102" s="86" t="s">
        <v>786</v>
      </c>
      <c r="B102" s="144">
        <f>SUM(B103)</f>
        <v>0</v>
      </c>
      <c r="C102" s="78"/>
      <c r="D102" s="111" t="e">
        <f t="shared" si="52"/>
        <v>#DIV/0!</v>
      </c>
      <c r="E102" s="30">
        <f t="shared" si="44"/>
        <v>0</v>
      </c>
      <c r="F102" s="144">
        <f>SUM(F103)</f>
        <v>0</v>
      </c>
      <c r="G102" s="270" t="e">
        <f t="shared" si="42"/>
        <v>#DIV/0!</v>
      </c>
      <c r="H102" s="267">
        <v>0</v>
      </c>
      <c r="I102" s="111" t="e">
        <f t="shared" si="43"/>
        <v>#DIV/0!</v>
      </c>
      <c r="J102" s="30">
        <f t="shared" si="45"/>
        <v>67154</v>
      </c>
      <c r="K102" s="144">
        <f>SUM(K103)</f>
        <v>67154</v>
      </c>
      <c r="L102" s="142">
        <f t="shared" si="48"/>
        <v>-1</v>
      </c>
      <c r="M102" s="143">
        <f t="shared" si="49"/>
        <v>-67154</v>
      </c>
      <c r="N102" s="166">
        <f>SUM(N103)</f>
        <v>0</v>
      </c>
      <c r="O102" s="146" t="e">
        <f t="shared" si="53"/>
        <v>#DIV/0!</v>
      </c>
      <c r="P102" s="146"/>
      <c r="R102" s="166">
        <f aca="true" t="shared" si="67" ref="R102:Z102">SUM(R103)</f>
        <v>0</v>
      </c>
      <c r="S102" s="166">
        <f t="shared" si="67"/>
        <v>0</v>
      </c>
      <c r="T102" s="166">
        <f t="shared" si="67"/>
        <v>0</v>
      </c>
      <c r="U102" s="166">
        <f t="shared" si="67"/>
        <v>0</v>
      </c>
      <c r="V102" s="166">
        <f t="shared" si="67"/>
        <v>0</v>
      </c>
      <c r="W102" s="166">
        <f t="shared" si="67"/>
        <v>0</v>
      </c>
      <c r="X102" s="166">
        <f t="shared" si="67"/>
        <v>0</v>
      </c>
      <c r="Y102" s="166">
        <f t="shared" si="67"/>
        <v>0</v>
      </c>
      <c r="Z102" s="166">
        <f t="shared" si="67"/>
        <v>0</v>
      </c>
    </row>
    <row r="103" spans="1:26" ht="12.75">
      <c r="A103" s="81" t="s">
        <v>787</v>
      </c>
      <c r="B103" s="30"/>
      <c r="C103" s="78"/>
      <c r="D103" s="111" t="e">
        <f t="shared" si="52"/>
        <v>#DIV/0!</v>
      </c>
      <c r="E103" s="30">
        <f t="shared" si="44"/>
        <v>0</v>
      </c>
      <c r="F103" s="119">
        <v>0</v>
      </c>
      <c r="G103" s="270" t="e">
        <f t="shared" si="42"/>
        <v>#DIV/0!</v>
      </c>
      <c r="H103" s="267">
        <v>0</v>
      </c>
      <c r="I103" s="111" t="e">
        <f t="shared" si="43"/>
        <v>#DIV/0!</v>
      </c>
      <c r="J103" s="30">
        <f t="shared" si="45"/>
        <v>67154</v>
      </c>
      <c r="K103" s="157">
        <v>67154</v>
      </c>
      <c r="L103" s="142">
        <f t="shared" si="48"/>
        <v>-1</v>
      </c>
      <c r="M103" s="143">
        <f t="shared" si="49"/>
        <v>-67154</v>
      </c>
      <c r="N103" s="147">
        <v>0</v>
      </c>
      <c r="O103" s="146" t="e">
        <f t="shared" si="53"/>
        <v>#DIV/0!</v>
      </c>
      <c r="P103" s="146">
        <v>0.05</v>
      </c>
      <c r="R103" s="188"/>
      <c r="S103" s="147">
        <f t="shared" si="55"/>
        <v>0</v>
      </c>
      <c r="T103" s="147">
        <f t="shared" si="56"/>
        <v>0</v>
      </c>
      <c r="U103" s="147">
        <f t="shared" si="57"/>
        <v>0</v>
      </c>
      <c r="V103" s="147">
        <f t="shared" si="58"/>
        <v>0</v>
      </c>
      <c r="W103" s="147">
        <f t="shared" si="59"/>
        <v>0</v>
      </c>
      <c r="X103" s="162">
        <f t="shared" si="60"/>
        <v>0</v>
      </c>
      <c r="Y103" s="147">
        <f t="shared" si="61"/>
        <v>0</v>
      </c>
      <c r="Z103" s="147">
        <f t="shared" si="62"/>
        <v>0</v>
      </c>
    </row>
    <row r="104" spans="1:26" ht="12.75">
      <c r="A104" s="86" t="s">
        <v>788</v>
      </c>
      <c r="B104" s="30"/>
      <c r="C104" s="78"/>
      <c r="D104" s="111" t="e">
        <f t="shared" si="52"/>
        <v>#DIV/0!</v>
      </c>
      <c r="E104" s="30">
        <f t="shared" si="44"/>
        <v>0</v>
      </c>
      <c r="F104" s="144">
        <f>SUM(F105)</f>
        <v>0</v>
      </c>
      <c r="G104" s="270" t="e">
        <f t="shared" si="42"/>
        <v>#DIV/0!</v>
      </c>
      <c r="H104" s="267">
        <v>0</v>
      </c>
      <c r="I104" s="111" t="e">
        <f t="shared" si="43"/>
        <v>#DIV/0!</v>
      </c>
      <c r="J104" s="30">
        <f t="shared" si="45"/>
        <v>150000</v>
      </c>
      <c r="K104" s="144">
        <f>SUM(K105)</f>
        <v>150000</v>
      </c>
      <c r="L104" s="142">
        <f t="shared" si="48"/>
        <v>0.023333333333333428</v>
      </c>
      <c r="M104" s="143">
        <f t="shared" si="49"/>
        <v>3500</v>
      </c>
      <c r="N104" s="166">
        <f>SUM(N105)</f>
        <v>153500</v>
      </c>
      <c r="O104" s="146" t="e">
        <f t="shared" si="53"/>
        <v>#DIV/0!</v>
      </c>
      <c r="P104" s="146"/>
      <c r="R104" s="166">
        <f aca="true" t="shared" si="68" ref="R104:Z104">SUM(R105)</f>
        <v>161175</v>
      </c>
      <c r="S104" s="166">
        <f t="shared" si="68"/>
        <v>169233.75</v>
      </c>
      <c r="T104" s="166">
        <f t="shared" si="68"/>
        <v>177695.4375</v>
      </c>
      <c r="U104" s="166">
        <f t="shared" si="68"/>
        <v>186580.209375</v>
      </c>
      <c r="V104" s="166">
        <f t="shared" si="68"/>
        <v>195909.21984375</v>
      </c>
      <c r="W104" s="166">
        <f t="shared" si="68"/>
        <v>205704.6808359375</v>
      </c>
      <c r="X104" s="166">
        <f t="shared" si="68"/>
        <v>215989.91487773438</v>
      </c>
      <c r="Y104" s="166">
        <f t="shared" si="68"/>
        <v>226789.4106216211</v>
      </c>
      <c r="Z104" s="166">
        <f t="shared" si="68"/>
        <v>238128.88115270215</v>
      </c>
    </row>
    <row r="105" spans="1:26" ht="12.75">
      <c r="A105" s="81" t="s">
        <v>789</v>
      </c>
      <c r="B105" s="30"/>
      <c r="C105" s="78"/>
      <c r="D105" s="111" t="e">
        <f t="shared" si="52"/>
        <v>#DIV/0!</v>
      </c>
      <c r="E105" s="30">
        <f t="shared" si="44"/>
        <v>0</v>
      </c>
      <c r="F105" s="119">
        <v>0</v>
      </c>
      <c r="G105" s="270" t="e">
        <f t="shared" si="42"/>
        <v>#DIV/0!</v>
      </c>
      <c r="H105" s="267">
        <v>0</v>
      </c>
      <c r="I105" s="111" t="e">
        <f t="shared" si="43"/>
        <v>#DIV/0!</v>
      </c>
      <c r="J105" s="30">
        <f t="shared" si="45"/>
        <v>150000</v>
      </c>
      <c r="K105" s="157">
        <v>150000</v>
      </c>
      <c r="L105" s="142">
        <f t="shared" si="48"/>
        <v>0.023333333333333428</v>
      </c>
      <c r="M105" s="143">
        <f t="shared" si="49"/>
        <v>3500</v>
      </c>
      <c r="N105" s="179">
        <v>153500</v>
      </c>
      <c r="O105" s="146" t="e">
        <f t="shared" si="53"/>
        <v>#DIV/0!</v>
      </c>
      <c r="P105" s="146">
        <v>0.05</v>
      </c>
      <c r="R105" s="162">
        <f aca="true" t="shared" si="69" ref="R105:R167">(N105*P105)+N105</f>
        <v>161175</v>
      </c>
      <c r="S105" s="162">
        <f t="shared" si="55"/>
        <v>169233.75</v>
      </c>
      <c r="T105" s="162">
        <f t="shared" si="56"/>
        <v>177695.4375</v>
      </c>
      <c r="U105" s="162">
        <f t="shared" si="57"/>
        <v>186580.209375</v>
      </c>
      <c r="V105" s="162">
        <f t="shared" si="58"/>
        <v>195909.21984375</v>
      </c>
      <c r="W105" s="162">
        <f t="shared" si="59"/>
        <v>205704.6808359375</v>
      </c>
      <c r="X105" s="162">
        <f t="shared" si="60"/>
        <v>215989.91487773438</v>
      </c>
      <c r="Y105" s="162">
        <f t="shared" si="61"/>
        <v>226789.4106216211</v>
      </c>
      <c r="Z105" s="147">
        <f t="shared" si="62"/>
        <v>238128.88115270215</v>
      </c>
    </row>
    <row r="106" spans="1:26" ht="12.75">
      <c r="A106" s="86" t="s">
        <v>790</v>
      </c>
      <c r="B106" s="32">
        <f>SUM(B107)</f>
        <v>8535</v>
      </c>
      <c r="C106" s="78"/>
      <c r="D106" s="111">
        <f t="shared" si="52"/>
        <v>-1</v>
      </c>
      <c r="E106" s="30">
        <f t="shared" si="44"/>
        <v>-8535</v>
      </c>
      <c r="F106" s="118">
        <v>0</v>
      </c>
      <c r="G106" s="270" t="e">
        <f t="shared" si="42"/>
        <v>#DIV/0!</v>
      </c>
      <c r="H106" s="267">
        <v>0</v>
      </c>
      <c r="I106" s="111" t="e">
        <f t="shared" si="43"/>
        <v>#DIV/0!</v>
      </c>
      <c r="J106" s="30">
        <f t="shared" si="45"/>
        <v>0</v>
      </c>
      <c r="K106" s="144">
        <f>SUM(K107)</f>
        <v>0</v>
      </c>
      <c r="L106" s="142" t="e">
        <f t="shared" si="48"/>
        <v>#DIV/0!</v>
      </c>
      <c r="M106" s="143">
        <f t="shared" si="49"/>
        <v>0</v>
      </c>
      <c r="N106" s="166">
        <f>SUM(N107)</f>
        <v>0</v>
      </c>
      <c r="O106" s="146" t="e">
        <f t="shared" si="53"/>
        <v>#DIV/0!</v>
      </c>
      <c r="P106" s="146"/>
      <c r="R106" s="185">
        <f aca="true" t="shared" si="70" ref="R106:Z106">SUM(R107)</f>
        <v>0</v>
      </c>
      <c r="S106" s="166">
        <f t="shared" si="70"/>
        <v>0</v>
      </c>
      <c r="T106" s="166">
        <f t="shared" si="70"/>
        <v>0</v>
      </c>
      <c r="U106" s="166">
        <f t="shared" si="70"/>
        <v>0</v>
      </c>
      <c r="V106" s="166">
        <f t="shared" si="70"/>
        <v>0</v>
      </c>
      <c r="W106" s="166">
        <f t="shared" si="70"/>
        <v>0</v>
      </c>
      <c r="X106" s="166">
        <f t="shared" si="70"/>
        <v>0</v>
      </c>
      <c r="Y106" s="166">
        <f t="shared" si="70"/>
        <v>0</v>
      </c>
      <c r="Z106" s="166">
        <f t="shared" si="70"/>
        <v>0</v>
      </c>
    </row>
    <row r="107" spans="1:26" ht="12.75">
      <c r="A107" s="81" t="s">
        <v>791</v>
      </c>
      <c r="B107" s="30">
        <v>8535</v>
      </c>
      <c r="C107" s="78"/>
      <c r="D107" s="111">
        <f t="shared" si="52"/>
        <v>-1</v>
      </c>
      <c r="E107" s="30">
        <f t="shared" si="44"/>
        <v>-8535</v>
      </c>
      <c r="F107" s="119">
        <v>0</v>
      </c>
      <c r="G107" s="270" t="e">
        <f t="shared" si="42"/>
        <v>#DIV/0!</v>
      </c>
      <c r="H107" s="267">
        <v>0</v>
      </c>
      <c r="I107" s="111" t="e">
        <f t="shared" si="43"/>
        <v>#DIV/0!</v>
      </c>
      <c r="J107" s="30">
        <f t="shared" si="45"/>
        <v>0</v>
      </c>
      <c r="K107" s="157">
        <v>0</v>
      </c>
      <c r="L107" s="142" t="e">
        <f t="shared" si="48"/>
        <v>#DIV/0!</v>
      </c>
      <c r="M107" s="143">
        <f t="shared" si="49"/>
        <v>0</v>
      </c>
      <c r="N107" s="147">
        <v>0</v>
      </c>
      <c r="O107" s="146" t="e">
        <f t="shared" si="53"/>
        <v>#DIV/0!</v>
      </c>
      <c r="P107" s="146"/>
      <c r="R107" s="162">
        <f t="shared" si="69"/>
        <v>0</v>
      </c>
      <c r="S107" s="162">
        <f t="shared" si="55"/>
        <v>0</v>
      </c>
      <c r="T107" s="147">
        <f t="shared" si="56"/>
        <v>0</v>
      </c>
      <c r="U107" s="147">
        <f t="shared" si="57"/>
        <v>0</v>
      </c>
      <c r="V107" s="147">
        <f t="shared" si="58"/>
        <v>0</v>
      </c>
      <c r="W107" s="147">
        <f t="shared" si="59"/>
        <v>0</v>
      </c>
      <c r="X107" s="162">
        <f t="shared" si="60"/>
        <v>0</v>
      </c>
      <c r="Y107" s="147">
        <f t="shared" si="61"/>
        <v>0</v>
      </c>
      <c r="Z107" s="147">
        <f t="shared" si="62"/>
        <v>0</v>
      </c>
    </row>
    <row r="108" spans="1:26" ht="12.75">
      <c r="A108" s="86" t="s">
        <v>792</v>
      </c>
      <c r="B108" s="30"/>
      <c r="C108" s="78"/>
      <c r="D108" s="111" t="e">
        <f t="shared" si="52"/>
        <v>#DIV/0!</v>
      </c>
      <c r="E108" s="30">
        <f t="shared" si="44"/>
        <v>0</v>
      </c>
      <c r="F108" s="118">
        <v>0</v>
      </c>
      <c r="G108" s="270" t="e">
        <f t="shared" si="42"/>
        <v>#DIV/0!</v>
      </c>
      <c r="H108" s="267">
        <v>6000</v>
      </c>
      <c r="I108" s="111" t="e">
        <f t="shared" si="43"/>
        <v>#DIV/0!</v>
      </c>
      <c r="J108" s="30">
        <f t="shared" si="45"/>
        <v>100000</v>
      </c>
      <c r="K108" s="144">
        <f>SUM(K109)</f>
        <v>100000</v>
      </c>
      <c r="L108" s="142">
        <f t="shared" si="48"/>
        <v>-1</v>
      </c>
      <c r="M108" s="143">
        <f t="shared" si="49"/>
        <v>-100000</v>
      </c>
      <c r="N108" s="166">
        <f>SUM(N109)</f>
        <v>0</v>
      </c>
      <c r="O108" s="146" t="e">
        <f t="shared" si="53"/>
        <v>#DIV/0!</v>
      </c>
      <c r="P108" s="146"/>
      <c r="R108" s="185">
        <f aca="true" t="shared" si="71" ref="R108:Z108">SUM(R109)</f>
        <v>0</v>
      </c>
      <c r="S108" s="166">
        <f t="shared" si="71"/>
        <v>0</v>
      </c>
      <c r="T108" s="166">
        <f t="shared" si="71"/>
        <v>0</v>
      </c>
      <c r="U108" s="166">
        <f t="shared" si="71"/>
        <v>0</v>
      </c>
      <c r="V108" s="166">
        <f t="shared" si="71"/>
        <v>0</v>
      </c>
      <c r="W108" s="166">
        <f t="shared" si="71"/>
        <v>0</v>
      </c>
      <c r="X108" s="166">
        <f t="shared" si="71"/>
        <v>0</v>
      </c>
      <c r="Y108" s="166">
        <f t="shared" si="71"/>
        <v>0</v>
      </c>
      <c r="Z108" s="166">
        <f t="shared" si="71"/>
        <v>0</v>
      </c>
    </row>
    <row r="109" spans="1:26" ht="12.75">
      <c r="A109" s="81" t="s">
        <v>793</v>
      </c>
      <c r="B109" s="30"/>
      <c r="C109" s="78"/>
      <c r="D109" s="111" t="e">
        <f t="shared" si="52"/>
        <v>#DIV/0!</v>
      </c>
      <c r="E109" s="30">
        <f t="shared" si="44"/>
        <v>0</v>
      </c>
      <c r="F109" s="119">
        <v>0</v>
      </c>
      <c r="G109" s="270" t="e">
        <f t="shared" si="42"/>
        <v>#DIV/0!</v>
      </c>
      <c r="H109" s="267">
        <v>6000</v>
      </c>
      <c r="I109" s="111" t="e">
        <f t="shared" si="43"/>
        <v>#DIV/0!</v>
      </c>
      <c r="J109" s="30">
        <f t="shared" si="45"/>
        <v>100000</v>
      </c>
      <c r="K109" s="157">
        <v>100000</v>
      </c>
      <c r="L109" s="142">
        <f t="shared" si="48"/>
        <v>-1</v>
      </c>
      <c r="M109" s="143">
        <f t="shared" si="49"/>
        <v>-100000</v>
      </c>
      <c r="N109" s="147">
        <v>0</v>
      </c>
      <c r="O109" s="146" t="e">
        <f t="shared" si="53"/>
        <v>#DIV/0!</v>
      </c>
      <c r="P109" s="146"/>
      <c r="R109" s="162">
        <f t="shared" si="69"/>
        <v>0</v>
      </c>
      <c r="S109" s="162">
        <f t="shared" si="55"/>
        <v>0</v>
      </c>
      <c r="T109" s="147">
        <f t="shared" si="56"/>
        <v>0</v>
      </c>
      <c r="U109" s="147">
        <f t="shared" si="57"/>
        <v>0</v>
      </c>
      <c r="V109" s="147">
        <f t="shared" si="58"/>
        <v>0</v>
      </c>
      <c r="W109" s="147">
        <f t="shared" si="59"/>
        <v>0</v>
      </c>
      <c r="X109" s="147">
        <f t="shared" si="60"/>
        <v>0</v>
      </c>
      <c r="Y109" s="147">
        <f t="shared" si="61"/>
        <v>0</v>
      </c>
      <c r="Z109" s="147">
        <f t="shared" si="62"/>
        <v>0</v>
      </c>
    </row>
    <row r="110" spans="1:26" ht="12.75">
      <c r="A110" s="83" t="s">
        <v>794</v>
      </c>
      <c r="B110" s="30"/>
      <c r="C110" s="78"/>
      <c r="D110" s="111" t="e">
        <f t="shared" si="52"/>
        <v>#DIV/0!</v>
      </c>
      <c r="E110" s="30">
        <f t="shared" si="44"/>
        <v>12494002.8505</v>
      </c>
      <c r="F110" s="84">
        <f>SUM(F111+F197)</f>
        <v>12494002.8505</v>
      </c>
      <c r="G110" s="270">
        <f t="shared" si="42"/>
        <v>-0.501388700279455</v>
      </c>
      <c r="H110" s="267">
        <v>6229651</v>
      </c>
      <c r="I110" s="111">
        <f t="shared" si="43"/>
        <v>0.007729640424736672</v>
      </c>
      <c r="J110" s="30">
        <f t="shared" si="45"/>
        <v>96574.14949999936</v>
      </c>
      <c r="K110" s="84">
        <f>SUM(K111+K197)</f>
        <v>12590577</v>
      </c>
      <c r="L110" s="142">
        <f t="shared" si="48"/>
        <v>0.21072846780572485</v>
      </c>
      <c r="M110" s="143">
        <f t="shared" si="49"/>
        <v>2653193</v>
      </c>
      <c r="N110" s="167">
        <f>SUM(N111+N197)</f>
        <v>15243770</v>
      </c>
      <c r="O110" s="146" t="e">
        <f t="shared" si="53"/>
        <v>#DIV/0!</v>
      </c>
      <c r="P110" s="146"/>
      <c r="R110" s="167">
        <f aca="true" t="shared" si="72" ref="R110:Z110">SUM(R111+R197)</f>
        <v>16463724.839999998</v>
      </c>
      <c r="S110" s="167">
        <f t="shared" si="72"/>
        <v>17786250.1852</v>
      </c>
      <c r="T110" s="167">
        <f t="shared" si="72"/>
        <v>19292950.437516</v>
      </c>
      <c r="U110" s="167">
        <f t="shared" si="72"/>
        <v>20932819.906092282</v>
      </c>
      <c r="V110" s="167">
        <f t="shared" si="72"/>
        <v>22718072.114552464</v>
      </c>
      <c r="W110" s="167">
        <f t="shared" si="72"/>
        <v>24662875.216938093</v>
      </c>
      <c r="X110" s="167">
        <f t="shared" si="72"/>
        <v>26782097.007086758</v>
      </c>
      <c r="Y110" s="167">
        <f t="shared" si="72"/>
        <v>29092366.748356834</v>
      </c>
      <c r="Z110" s="167">
        <f t="shared" si="72"/>
        <v>31611007.09090259</v>
      </c>
    </row>
    <row r="111" spans="1:26" ht="12.75">
      <c r="A111" s="151" t="s">
        <v>795</v>
      </c>
      <c r="B111" s="30"/>
      <c r="C111" s="78"/>
      <c r="D111" s="111" t="e">
        <f t="shared" si="52"/>
        <v>#DIV/0!</v>
      </c>
      <c r="E111" s="30">
        <f t="shared" si="44"/>
        <v>2544219.6895000003</v>
      </c>
      <c r="F111" s="105">
        <v>2544219.6895000003</v>
      </c>
      <c r="G111" s="270">
        <f t="shared" si="42"/>
        <v>-0.37785915008343085</v>
      </c>
      <c r="H111" s="267">
        <v>1582863</v>
      </c>
      <c r="I111" s="111">
        <f t="shared" si="43"/>
        <v>-0.2059416062466567</v>
      </c>
      <c r="J111" s="30">
        <f t="shared" si="45"/>
        <v>-523960.6895000003</v>
      </c>
      <c r="K111" s="84">
        <f>SUM(K112+K121+K125+K130+K192+K195)</f>
        <v>2020259</v>
      </c>
      <c r="L111" s="142">
        <f t="shared" si="48"/>
        <v>0.3460739439844098</v>
      </c>
      <c r="M111" s="143">
        <f t="shared" si="49"/>
        <v>699159</v>
      </c>
      <c r="N111" s="84">
        <f>SUM(N112+N121+N125+N130+N192+N195)</f>
        <v>2719418</v>
      </c>
      <c r="O111" s="146" t="e">
        <f t="shared" si="53"/>
        <v>#DIV/0!</v>
      </c>
      <c r="P111" s="146"/>
      <c r="R111" s="167">
        <f aca="true" t="shared" si="73" ref="R111:Z111">SUM(R112+R121+R125+R130+R192+R195)</f>
        <v>3000046.44</v>
      </c>
      <c r="S111" s="167">
        <f t="shared" si="73"/>
        <v>3312795.9052</v>
      </c>
      <c r="T111" s="167">
        <f t="shared" si="73"/>
        <v>3661619.8151160004</v>
      </c>
      <c r="U111" s="167">
        <f t="shared" si="73"/>
        <v>4050982.83390028</v>
      </c>
      <c r="V111" s="167">
        <f t="shared" si="73"/>
        <v>4485929.287048052</v>
      </c>
      <c r="W111" s="167">
        <f t="shared" si="73"/>
        <v>4972160.963233334</v>
      </c>
      <c r="X111" s="167">
        <f t="shared" si="73"/>
        <v>5516125.613085614</v>
      </c>
      <c r="Y111" s="167">
        <f t="shared" si="73"/>
        <v>6125117.6428356</v>
      </c>
      <c r="Z111" s="167">
        <f t="shared" si="73"/>
        <v>6807392.713608574</v>
      </c>
    </row>
    <row r="112" spans="1:26" ht="12.75">
      <c r="A112" s="86" t="s">
        <v>796</v>
      </c>
      <c r="B112" s="98">
        <v>7389</v>
      </c>
      <c r="C112" s="78"/>
      <c r="D112" s="111">
        <f t="shared" si="52"/>
        <v>13.87057693869265</v>
      </c>
      <c r="E112" s="30">
        <f t="shared" si="44"/>
        <v>102489.693</v>
      </c>
      <c r="F112" s="105">
        <v>109878.693</v>
      </c>
      <c r="G112" s="270">
        <f t="shared" si="42"/>
        <v>0.8719370824696651</v>
      </c>
      <c r="H112" s="267">
        <v>205686</v>
      </c>
      <c r="I112" s="111">
        <f t="shared" si="43"/>
        <v>1.1250798824117791</v>
      </c>
      <c r="J112" s="30">
        <f t="shared" si="45"/>
        <v>123622.307</v>
      </c>
      <c r="K112" s="167">
        <f>SUM(K113:K119)+K120</f>
        <v>233501</v>
      </c>
      <c r="L112" s="142">
        <f t="shared" si="48"/>
        <v>1.3618742532151895</v>
      </c>
      <c r="M112" s="143">
        <f t="shared" si="49"/>
        <v>317999</v>
      </c>
      <c r="N112" s="167">
        <f>SUM(N113:N119)+N120</f>
        <v>551500</v>
      </c>
      <c r="O112" s="146">
        <f t="shared" si="53"/>
        <v>5.452510358106539</v>
      </c>
      <c r="P112" s="146"/>
      <c r="R112" s="167">
        <f aca="true" t="shared" si="74" ref="R112:Z112">SUM(R113:R119)+R120</f>
        <v>623195</v>
      </c>
      <c r="S112" s="167">
        <f t="shared" si="74"/>
        <v>704210.3500000001</v>
      </c>
      <c r="T112" s="167">
        <f t="shared" si="74"/>
        <v>795757.6955000001</v>
      </c>
      <c r="U112" s="167">
        <f t="shared" si="74"/>
        <v>899206.195915</v>
      </c>
      <c r="V112" s="167">
        <f t="shared" si="74"/>
        <v>1016103.00138395</v>
      </c>
      <c r="W112" s="167">
        <f t="shared" si="74"/>
        <v>1148196.3915638637</v>
      </c>
      <c r="X112" s="167">
        <f t="shared" si="74"/>
        <v>1297461.9224671659</v>
      </c>
      <c r="Y112" s="167">
        <f t="shared" si="74"/>
        <v>1466131.9723878975</v>
      </c>
      <c r="Z112" s="167">
        <f t="shared" si="74"/>
        <v>1656729.1287983241</v>
      </c>
    </row>
    <row r="113" spans="1:26" ht="12.75">
      <c r="A113" s="81" t="s">
        <v>797</v>
      </c>
      <c r="B113" s="30">
        <v>0</v>
      </c>
      <c r="C113" s="78"/>
      <c r="D113" s="111" t="e">
        <f t="shared" si="52"/>
        <v>#DIV/0!</v>
      </c>
      <c r="E113" s="30">
        <f t="shared" si="44"/>
        <v>0</v>
      </c>
      <c r="F113" s="104"/>
      <c r="G113" s="270" t="e">
        <f t="shared" si="42"/>
        <v>#DIV/0!</v>
      </c>
      <c r="H113" s="267">
        <v>3901</v>
      </c>
      <c r="I113" s="111" t="e">
        <f t="shared" si="43"/>
        <v>#DIV/0!</v>
      </c>
      <c r="J113" s="30">
        <f t="shared" si="45"/>
        <v>10000</v>
      </c>
      <c r="K113" s="153">
        <v>10000</v>
      </c>
      <c r="L113" s="142">
        <f t="shared" si="48"/>
        <v>0.19999999999999996</v>
      </c>
      <c r="M113" s="143">
        <f t="shared" si="49"/>
        <v>2000</v>
      </c>
      <c r="N113" s="179">
        <v>12000</v>
      </c>
      <c r="O113" s="146" t="e">
        <f t="shared" si="53"/>
        <v>#DIV/0!</v>
      </c>
      <c r="P113" s="146">
        <v>0.13</v>
      </c>
      <c r="R113" s="162">
        <f t="shared" si="69"/>
        <v>13560</v>
      </c>
      <c r="S113" s="162">
        <f t="shared" si="55"/>
        <v>15322.8</v>
      </c>
      <c r="T113" s="162">
        <f t="shared" si="56"/>
        <v>17314.764</v>
      </c>
      <c r="U113" s="162">
        <f t="shared" si="57"/>
        <v>19565.68332</v>
      </c>
      <c r="V113" s="162">
        <f t="shared" si="58"/>
        <v>22109.2221516</v>
      </c>
      <c r="W113" s="162">
        <f t="shared" si="59"/>
        <v>24983.421031308</v>
      </c>
      <c r="X113" s="162">
        <f t="shared" si="60"/>
        <v>28231.26576537804</v>
      </c>
      <c r="Y113" s="162">
        <f t="shared" si="61"/>
        <v>31901.330314877185</v>
      </c>
      <c r="Z113" s="147">
        <f t="shared" si="62"/>
        <v>36048.50325581122</v>
      </c>
    </row>
    <row r="114" spans="1:26" ht="12.75">
      <c r="A114" s="149" t="s">
        <v>1109</v>
      </c>
      <c r="B114" s="30">
        <v>0</v>
      </c>
      <c r="C114" s="78"/>
      <c r="D114" s="111" t="e">
        <f t="shared" si="52"/>
        <v>#DIV/0!</v>
      </c>
      <c r="E114" s="30">
        <f t="shared" si="44"/>
        <v>0</v>
      </c>
      <c r="F114" s="104"/>
      <c r="G114" s="270" t="e">
        <f t="shared" si="42"/>
        <v>#DIV/0!</v>
      </c>
      <c r="H114" s="267">
        <v>0</v>
      </c>
      <c r="I114" s="111" t="e">
        <f t="shared" si="43"/>
        <v>#DIV/0!</v>
      </c>
      <c r="J114" s="30">
        <f t="shared" si="45"/>
        <v>0</v>
      </c>
      <c r="K114" s="153">
        <v>0</v>
      </c>
      <c r="L114" s="142" t="e">
        <f t="shared" si="48"/>
        <v>#DIV/0!</v>
      </c>
      <c r="M114" s="143">
        <f t="shared" si="49"/>
        <v>50000</v>
      </c>
      <c r="N114" s="179">
        <v>50000</v>
      </c>
      <c r="O114" s="146" t="e">
        <f t="shared" si="53"/>
        <v>#DIV/0!</v>
      </c>
      <c r="P114" s="146">
        <v>0.13</v>
      </c>
      <c r="R114" s="162">
        <f t="shared" si="69"/>
        <v>56500</v>
      </c>
      <c r="S114" s="162">
        <f t="shared" si="55"/>
        <v>63845</v>
      </c>
      <c r="T114" s="162">
        <f t="shared" si="56"/>
        <v>72144.85</v>
      </c>
      <c r="U114" s="162">
        <f t="shared" si="57"/>
        <v>81523.6805</v>
      </c>
      <c r="V114" s="162">
        <f t="shared" si="58"/>
        <v>92121.758965</v>
      </c>
      <c r="W114" s="162">
        <f t="shared" si="59"/>
        <v>104097.58763045</v>
      </c>
      <c r="X114" s="162">
        <f t="shared" si="60"/>
        <v>117630.2740224085</v>
      </c>
      <c r="Y114" s="162">
        <f t="shared" si="61"/>
        <v>132922.2096453216</v>
      </c>
      <c r="Z114" s="147">
        <f t="shared" si="62"/>
        <v>150202.0968992134</v>
      </c>
    </row>
    <row r="115" spans="1:26" ht="12.75">
      <c r="A115" s="81" t="s">
        <v>799</v>
      </c>
      <c r="B115" s="30">
        <v>0</v>
      </c>
      <c r="C115" s="78"/>
      <c r="D115" s="111" t="e">
        <f t="shared" si="52"/>
        <v>#DIV/0!</v>
      </c>
      <c r="E115" s="30">
        <f t="shared" si="44"/>
        <v>0</v>
      </c>
      <c r="F115" s="104"/>
      <c r="G115" s="270" t="e">
        <f t="shared" si="42"/>
        <v>#DIV/0!</v>
      </c>
      <c r="H115" s="267">
        <v>47706</v>
      </c>
      <c r="I115" s="111" t="e">
        <f t="shared" si="43"/>
        <v>#DIV/0!</v>
      </c>
      <c r="J115" s="30">
        <f t="shared" si="45"/>
        <v>48000</v>
      </c>
      <c r="K115" s="153">
        <v>48000</v>
      </c>
      <c r="L115" s="142">
        <f t="shared" si="48"/>
        <v>0.04166666666666674</v>
      </c>
      <c r="M115" s="143">
        <f t="shared" si="49"/>
        <v>2000</v>
      </c>
      <c r="N115" s="179">
        <v>50000</v>
      </c>
      <c r="O115" s="146" t="e">
        <f t="shared" si="53"/>
        <v>#DIV/0!</v>
      </c>
      <c r="P115" s="146">
        <v>0.13</v>
      </c>
      <c r="R115" s="162">
        <f t="shared" si="69"/>
        <v>56500</v>
      </c>
      <c r="S115" s="162">
        <f t="shared" si="55"/>
        <v>63845</v>
      </c>
      <c r="T115" s="162">
        <f t="shared" si="56"/>
        <v>72144.85</v>
      </c>
      <c r="U115" s="162">
        <f t="shared" si="57"/>
        <v>81523.6805</v>
      </c>
      <c r="V115" s="162">
        <f t="shared" si="58"/>
        <v>92121.758965</v>
      </c>
      <c r="W115" s="162">
        <f t="shared" si="59"/>
        <v>104097.58763045</v>
      </c>
      <c r="X115" s="162">
        <f t="shared" si="60"/>
        <v>117630.2740224085</v>
      </c>
      <c r="Y115" s="162">
        <f t="shared" si="61"/>
        <v>132922.2096453216</v>
      </c>
      <c r="Z115" s="147">
        <f t="shared" si="62"/>
        <v>150202.0968992134</v>
      </c>
    </row>
    <row r="116" spans="1:26" ht="12.75">
      <c r="A116" s="81" t="s">
        <v>800</v>
      </c>
      <c r="B116" s="30">
        <v>0</v>
      </c>
      <c r="C116" s="78"/>
      <c r="D116" s="111" t="e">
        <f t="shared" si="52"/>
        <v>#DIV/0!</v>
      </c>
      <c r="E116" s="30">
        <f t="shared" si="44"/>
        <v>0</v>
      </c>
      <c r="F116" s="104"/>
      <c r="G116" s="270" t="e">
        <f t="shared" si="42"/>
        <v>#DIV/0!</v>
      </c>
      <c r="H116" s="267">
        <v>10000</v>
      </c>
      <c r="I116" s="111" t="e">
        <f t="shared" si="43"/>
        <v>#DIV/0!</v>
      </c>
      <c r="J116" s="30">
        <f t="shared" si="45"/>
        <v>12000</v>
      </c>
      <c r="K116" s="153">
        <v>12000</v>
      </c>
      <c r="L116" s="142">
        <f t="shared" si="48"/>
        <v>19.833333333333332</v>
      </c>
      <c r="M116" s="143">
        <f t="shared" si="49"/>
        <v>238000</v>
      </c>
      <c r="N116" s="179">
        <v>250000</v>
      </c>
      <c r="O116" s="146" t="e">
        <f t="shared" si="53"/>
        <v>#DIV/0!</v>
      </c>
      <c r="P116" s="146">
        <v>0.13</v>
      </c>
      <c r="R116" s="162">
        <f t="shared" si="69"/>
        <v>282500</v>
      </c>
      <c r="S116" s="162">
        <f t="shared" si="55"/>
        <v>319225</v>
      </c>
      <c r="T116" s="162">
        <f t="shared" si="56"/>
        <v>360724.25</v>
      </c>
      <c r="U116" s="162">
        <f t="shared" si="57"/>
        <v>407618.4025</v>
      </c>
      <c r="V116" s="162">
        <f t="shared" si="58"/>
        <v>460608.79482500005</v>
      </c>
      <c r="W116" s="162">
        <f t="shared" si="59"/>
        <v>520487.9381522501</v>
      </c>
      <c r="X116" s="162">
        <f t="shared" si="60"/>
        <v>588151.3701120426</v>
      </c>
      <c r="Y116" s="162">
        <f t="shared" si="61"/>
        <v>664611.0482266082</v>
      </c>
      <c r="Z116" s="147">
        <f t="shared" si="62"/>
        <v>751010.4844960673</v>
      </c>
    </row>
    <row r="117" spans="1:26" ht="12.75">
      <c r="A117" s="81" t="s">
        <v>801</v>
      </c>
      <c r="B117" s="30">
        <v>0</v>
      </c>
      <c r="C117" s="78"/>
      <c r="D117" s="111" t="e">
        <f t="shared" si="52"/>
        <v>#DIV/0!</v>
      </c>
      <c r="E117" s="30">
        <f t="shared" si="44"/>
        <v>0</v>
      </c>
      <c r="F117" s="104"/>
      <c r="G117" s="270" t="e">
        <f t="shared" si="42"/>
        <v>#DIV/0!</v>
      </c>
      <c r="H117" s="267">
        <v>82988</v>
      </c>
      <c r="I117" s="111" t="e">
        <f t="shared" si="43"/>
        <v>#DIV/0!</v>
      </c>
      <c r="J117" s="30">
        <f t="shared" si="45"/>
        <v>100000</v>
      </c>
      <c r="K117" s="153">
        <v>100000</v>
      </c>
      <c r="L117" s="142">
        <f t="shared" si="48"/>
        <v>0</v>
      </c>
      <c r="M117" s="143">
        <f t="shared" si="49"/>
        <v>0</v>
      </c>
      <c r="N117" s="179">
        <v>100000</v>
      </c>
      <c r="O117" s="146" t="e">
        <f t="shared" si="53"/>
        <v>#DIV/0!</v>
      </c>
      <c r="P117" s="146">
        <v>0.13</v>
      </c>
      <c r="R117" s="162">
        <f t="shared" si="69"/>
        <v>113000</v>
      </c>
      <c r="S117" s="162">
        <f t="shared" si="55"/>
        <v>127690</v>
      </c>
      <c r="T117" s="162">
        <f t="shared" si="56"/>
        <v>144289.7</v>
      </c>
      <c r="U117" s="162">
        <f t="shared" si="57"/>
        <v>163047.361</v>
      </c>
      <c r="V117" s="162">
        <f t="shared" si="58"/>
        <v>184243.51793</v>
      </c>
      <c r="W117" s="162">
        <f t="shared" si="59"/>
        <v>208195.1752609</v>
      </c>
      <c r="X117" s="162">
        <f t="shared" si="60"/>
        <v>235260.548044817</v>
      </c>
      <c r="Y117" s="162">
        <f t="shared" si="61"/>
        <v>265844.4192906432</v>
      </c>
      <c r="Z117" s="147">
        <f t="shared" si="62"/>
        <v>300404.1937984268</v>
      </c>
    </row>
    <row r="118" spans="1:26" ht="12.75">
      <c r="A118" s="81" t="s">
        <v>802</v>
      </c>
      <c r="B118" s="30">
        <v>0</v>
      </c>
      <c r="C118" s="78"/>
      <c r="D118" s="111" t="e">
        <f t="shared" si="52"/>
        <v>#DIV/0!</v>
      </c>
      <c r="E118" s="30">
        <f t="shared" si="44"/>
        <v>0</v>
      </c>
      <c r="F118" s="104"/>
      <c r="G118" s="270" t="e">
        <f t="shared" si="42"/>
        <v>#DIV/0!</v>
      </c>
      <c r="H118" s="267">
        <v>5570</v>
      </c>
      <c r="I118" s="111" t="e">
        <f t="shared" si="43"/>
        <v>#DIV/0!</v>
      </c>
      <c r="J118" s="30">
        <f t="shared" si="45"/>
        <v>7500</v>
      </c>
      <c r="K118" s="153">
        <v>7500</v>
      </c>
      <c r="L118" s="142">
        <f t="shared" si="48"/>
        <v>0</v>
      </c>
      <c r="M118" s="143">
        <f t="shared" si="49"/>
        <v>0</v>
      </c>
      <c r="N118" s="179">
        <v>7500</v>
      </c>
      <c r="O118" s="146" t="e">
        <f t="shared" si="53"/>
        <v>#DIV/0!</v>
      </c>
      <c r="P118" s="146">
        <v>0.13</v>
      </c>
      <c r="R118" s="162">
        <f t="shared" si="69"/>
        <v>8475</v>
      </c>
      <c r="S118" s="162">
        <f t="shared" si="55"/>
        <v>9576.75</v>
      </c>
      <c r="T118" s="162">
        <f t="shared" si="56"/>
        <v>10821.7275</v>
      </c>
      <c r="U118" s="162">
        <f t="shared" si="57"/>
        <v>12228.552075000001</v>
      </c>
      <c r="V118" s="162">
        <f t="shared" si="58"/>
        <v>13818.263844750001</v>
      </c>
      <c r="W118" s="162">
        <f t="shared" si="59"/>
        <v>15614.638144567502</v>
      </c>
      <c r="X118" s="162">
        <f t="shared" si="60"/>
        <v>17644.541103361276</v>
      </c>
      <c r="Y118" s="162">
        <f t="shared" si="61"/>
        <v>19938.33144679824</v>
      </c>
      <c r="Z118" s="147">
        <f t="shared" si="62"/>
        <v>22530.314534882014</v>
      </c>
    </row>
    <row r="119" spans="1:26" ht="12.75">
      <c r="A119" s="148" t="s">
        <v>1116</v>
      </c>
      <c r="B119" s="30">
        <v>0</v>
      </c>
      <c r="C119" s="78"/>
      <c r="D119" s="111" t="e">
        <f t="shared" si="52"/>
        <v>#DIV/0!</v>
      </c>
      <c r="E119" s="30">
        <f t="shared" si="44"/>
        <v>0</v>
      </c>
      <c r="F119" s="104"/>
      <c r="G119" s="270" t="e">
        <f t="shared" si="42"/>
        <v>#DIV/0!</v>
      </c>
      <c r="H119" s="267">
        <v>55521</v>
      </c>
      <c r="I119" s="111" t="e">
        <f t="shared" si="43"/>
        <v>#DIV/0!</v>
      </c>
      <c r="J119" s="30">
        <f t="shared" si="45"/>
        <v>56001</v>
      </c>
      <c r="K119" s="153">
        <v>56001</v>
      </c>
      <c r="L119" s="142">
        <f t="shared" si="48"/>
        <v>-0.5535794003678506</v>
      </c>
      <c r="M119" s="143">
        <f t="shared" si="49"/>
        <v>-31001</v>
      </c>
      <c r="N119" s="179">
        <v>25000</v>
      </c>
      <c r="O119" s="146" t="e">
        <f t="shared" si="53"/>
        <v>#DIV/0!</v>
      </c>
      <c r="P119" s="146">
        <v>0.13</v>
      </c>
      <c r="R119" s="162">
        <f t="shared" si="69"/>
        <v>28250</v>
      </c>
      <c r="S119" s="162">
        <f t="shared" si="55"/>
        <v>31922.5</v>
      </c>
      <c r="T119" s="162">
        <f t="shared" si="56"/>
        <v>36072.425</v>
      </c>
      <c r="U119" s="162">
        <f t="shared" si="57"/>
        <v>40761.84025</v>
      </c>
      <c r="V119" s="162">
        <f t="shared" si="58"/>
        <v>46060.8794825</v>
      </c>
      <c r="W119" s="162">
        <f t="shared" si="59"/>
        <v>52048.793815225</v>
      </c>
      <c r="X119" s="162">
        <f t="shared" si="60"/>
        <v>58815.13701120425</v>
      </c>
      <c r="Y119" s="162">
        <f t="shared" si="61"/>
        <v>66461.1048226608</v>
      </c>
      <c r="Z119" s="147">
        <f t="shared" si="62"/>
        <v>75101.0484496067</v>
      </c>
    </row>
    <row r="120" spans="1:26" ht="12.75">
      <c r="A120" s="148" t="s">
        <v>1110</v>
      </c>
      <c r="B120" s="30"/>
      <c r="C120" s="78"/>
      <c r="D120" s="111"/>
      <c r="E120" s="30"/>
      <c r="F120" s="104"/>
      <c r="G120" s="270" t="e">
        <f t="shared" si="42"/>
        <v>#DIV/0!</v>
      </c>
      <c r="H120" s="79"/>
      <c r="I120" s="111"/>
      <c r="J120" s="30"/>
      <c r="L120" s="142"/>
      <c r="M120" s="143"/>
      <c r="N120" s="179">
        <v>57000</v>
      </c>
      <c r="O120" s="146"/>
      <c r="P120" s="146">
        <v>0.13</v>
      </c>
      <c r="R120" s="162">
        <f t="shared" si="69"/>
        <v>64410</v>
      </c>
      <c r="S120" s="162">
        <f t="shared" si="55"/>
        <v>72783.3</v>
      </c>
      <c r="T120" s="162">
        <f t="shared" si="56"/>
        <v>82245.129</v>
      </c>
      <c r="U120" s="162">
        <f t="shared" si="57"/>
        <v>92936.99577000001</v>
      </c>
      <c r="V120" s="162">
        <f t="shared" si="58"/>
        <v>105018.80522010001</v>
      </c>
      <c r="W120" s="162">
        <f t="shared" si="59"/>
        <v>118671.24989871301</v>
      </c>
      <c r="X120" s="162">
        <f t="shared" si="60"/>
        <v>134098.5123855457</v>
      </c>
      <c r="Y120" s="162">
        <f t="shared" si="61"/>
        <v>151531.31899566663</v>
      </c>
      <c r="Z120" s="147">
        <f t="shared" si="62"/>
        <v>171230.3904651033</v>
      </c>
    </row>
    <row r="121" spans="1:26" ht="12.75">
      <c r="A121" s="86" t="s">
        <v>803</v>
      </c>
      <c r="B121" s="98">
        <v>84563</v>
      </c>
      <c r="C121" s="78"/>
      <c r="D121" s="111">
        <f t="shared" si="52"/>
        <v>-0.8443172545912515</v>
      </c>
      <c r="E121" s="30">
        <f t="shared" si="44"/>
        <v>-71398</v>
      </c>
      <c r="F121" s="84">
        <f>SUM(F122:F124)</f>
        <v>13165</v>
      </c>
      <c r="G121" s="270">
        <f t="shared" si="42"/>
        <v>-1</v>
      </c>
      <c r="H121" s="79"/>
      <c r="I121" s="111">
        <f aca="true" t="shared" si="75" ref="I121:I156">K122/F121-1</f>
        <v>-1</v>
      </c>
      <c r="J121" s="30">
        <f aca="true" t="shared" si="76" ref="J121:J156">K122-F121</f>
        <v>-13165</v>
      </c>
      <c r="K121" s="84">
        <f>SUM(K122:K124)</f>
        <v>6826</v>
      </c>
      <c r="L121" s="142" t="e">
        <f aca="true" t="shared" si="77" ref="L121:L156">N121/K122-1</f>
        <v>#DIV/0!</v>
      </c>
      <c r="M121" s="143">
        <f aca="true" t="shared" si="78" ref="M121:M156">N121-K122</f>
        <v>0</v>
      </c>
      <c r="N121" s="167">
        <f>SUM(N122:N124)</f>
        <v>0</v>
      </c>
      <c r="O121" s="146" t="e">
        <f t="shared" si="53"/>
        <v>#DIV/0!</v>
      </c>
      <c r="P121" s="146"/>
      <c r="R121" s="186">
        <f aca="true" t="shared" si="79" ref="R121:Z121">SUM(R122:R124)</f>
        <v>0</v>
      </c>
      <c r="S121" s="167">
        <f t="shared" si="79"/>
        <v>0</v>
      </c>
      <c r="T121" s="167">
        <f t="shared" si="79"/>
        <v>0</v>
      </c>
      <c r="U121" s="186">
        <f t="shared" si="79"/>
        <v>0</v>
      </c>
      <c r="V121" s="186">
        <f t="shared" si="79"/>
        <v>0</v>
      </c>
      <c r="W121" s="167">
        <f t="shared" si="79"/>
        <v>0</v>
      </c>
      <c r="X121" s="167">
        <f t="shared" si="79"/>
        <v>0</v>
      </c>
      <c r="Y121" s="167">
        <f t="shared" si="79"/>
        <v>0</v>
      </c>
      <c r="Z121" s="167">
        <f t="shared" si="79"/>
        <v>0</v>
      </c>
    </row>
    <row r="122" spans="1:26" ht="12.75">
      <c r="A122" s="81" t="s">
        <v>804</v>
      </c>
      <c r="B122" s="30">
        <v>0</v>
      </c>
      <c r="C122" s="78"/>
      <c r="D122" s="111" t="e">
        <f t="shared" si="52"/>
        <v>#DIV/0!</v>
      </c>
      <c r="E122" s="30">
        <f t="shared" si="44"/>
        <v>13165</v>
      </c>
      <c r="F122" s="104">
        <v>13165</v>
      </c>
      <c r="G122" s="270">
        <f t="shared" si="42"/>
        <v>-1</v>
      </c>
      <c r="H122" s="79"/>
      <c r="I122" s="111">
        <f t="shared" si="75"/>
        <v>-1</v>
      </c>
      <c r="J122" s="30">
        <f t="shared" si="76"/>
        <v>-13165</v>
      </c>
      <c r="K122" s="153">
        <v>0</v>
      </c>
      <c r="L122" s="142" t="e">
        <f t="shared" si="77"/>
        <v>#DIV/0!</v>
      </c>
      <c r="M122" s="143">
        <f t="shared" si="78"/>
        <v>0</v>
      </c>
      <c r="N122" s="147"/>
      <c r="O122" s="146" t="e">
        <f t="shared" si="53"/>
        <v>#DIV/0!</v>
      </c>
      <c r="P122" s="146">
        <v>0.05</v>
      </c>
      <c r="R122" s="162">
        <f t="shared" si="69"/>
        <v>0</v>
      </c>
      <c r="S122" s="147">
        <f t="shared" si="55"/>
        <v>0</v>
      </c>
      <c r="T122" s="147">
        <f t="shared" si="56"/>
        <v>0</v>
      </c>
      <c r="U122" s="162">
        <f t="shared" si="57"/>
        <v>0</v>
      </c>
      <c r="V122" s="162">
        <f t="shared" si="58"/>
        <v>0</v>
      </c>
      <c r="W122" s="147">
        <f t="shared" si="59"/>
        <v>0</v>
      </c>
      <c r="X122" s="147">
        <f t="shared" si="60"/>
        <v>0</v>
      </c>
      <c r="Y122" s="147">
        <f t="shared" si="61"/>
        <v>0</v>
      </c>
      <c r="Z122" s="147">
        <f t="shared" si="62"/>
        <v>0</v>
      </c>
    </row>
    <row r="123" spans="1:26" ht="12.75">
      <c r="A123" s="81" t="s">
        <v>805</v>
      </c>
      <c r="B123" s="30">
        <v>0</v>
      </c>
      <c r="C123" s="78"/>
      <c r="D123" s="111" t="e">
        <f t="shared" si="52"/>
        <v>#DIV/0!</v>
      </c>
      <c r="E123" s="30">
        <f t="shared" si="44"/>
        <v>0</v>
      </c>
      <c r="F123" s="104"/>
      <c r="G123" s="270" t="e">
        <f t="shared" si="42"/>
        <v>#DIV/0!</v>
      </c>
      <c r="H123" s="79"/>
      <c r="I123" s="111" t="e">
        <f t="shared" si="75"/>
        <v>#DIV/0!</v>
      </c>
      <c r="J123" s="30">
        <f t="shared" si="76"/>
        <v>6826</v>
      </c>
      <c r="K123" s="153">
        <v>0</v>
      </c>
      <c r="L123" s="142">
        <f t="shared" si="77"/>
        <v>-1</v>
      </c>
      <c r="M123" s="143">
        <f t="shared" si="78"/>
        <v>-6826</v>
      </c>
      <c r="N123" s="147"/>
      <c r="O123" s="146" t="e">
        <f t="shared" si="53"/>
        <v>#DIV/0!</v>
      </c>
      <c r="P123" s="146">
        <v>0.05</v>
      </c>
      <c r="R123" s="162">
        <f t="shared" si="69"/>
        <v>0</v>
      </c>
      <c r="S123" s="147">
        <f t="shared" si="55"/>
        <v>0</v>
      </c>
      <c r="T123" s="147">
        <f t="shared" si="56"/>
        <v>0</v>
      </c>
      <c r="U123" s="162">
        <f t="shared" si="57"/>
        <v>0</v>
      </c>
      <c r="V123" s="162">
        <f t="shared" si="58"/>
        <v>0</v>
      </c>
      <c r="W123" s="147">
        <f t="shared" si="59"/>
        <v>0</v>
      </c>
      <c r="X123" s="147">
        <f t="shared" si="60"/>
        <v>0</v>
      </c>
      <c r="Y123" s="147">
        <f t="shared" si="61"/>
        <v>0</v>
      </c>
      <c r="Z123" s="147">
        <f t="shared" si="62"/>
        <v>0</v>
      </c>
    </row>
    <row r="124" spans="1:26" ht="12.75">
      <c r="A124" s="81" t="s">
        <v>806</v>
      </c>
      <c r="B124" s="30">
        <v>0</v>
      </c>
      <c r="C124" s="78"/>
      <c r="D124" s="111" t="e">
        <f t="shared" si="52"/>
        <v>#DIV/0!</v>
      </c>
      <c r="E124" s="30">
        <f t="shared" si="44"/>
        <v>0</v>
      </c>
      <c r="F124" s="104"/>
      <c r="G124" s="270" t="e">
        <f t="shared" si="42"/>
        <v>#DIV/0!</v>
      </c>
      <c r="H124" s="79"/>
      <c r="I124" s="111" t="e">
        <f t="shared" si="75"/>
        <v>#DIV/0!</v>
      </c>
      <c r="J124" s="30">
        <f t="shared" si="76"/>
        <v>70658</v>
      </c>
      <c r="K124" s="153">
        <v>6826</v>
      </c>
      <c r="L124" s="142">
        <f t="shared" si="77"/>
        <v>-1</v>
      </c>
      <c r="M124" s="143">
        <f t="shared" si="78"/>
        <v>-70658</v>
      </c>
      <c r="N124" s="147"/>
      <c r="O124" s="146" t="e">
        <f t="shared" si="53"/>
        <v>#DIV/0!</v>
      </c>
      <c r="P124" s="146">
        <v>0.05</v>
      </c>
      <c r="R124" s="162">
        <f t="shared" si="69"/>
        <v>0</v>
      </c>
      <c r="S124" s="147">
        <f t="shared" si="55"/>
        <v>0</v>
      </c>
      <c r="T124" s="147">
        <f t="shared" si="56"/>
        <v>0</v>
      </c>
      <c r="U124" s="162">
        <f t="shared" si="57"/>
        <v>0</v>
      </c>
      <c r="V124" s="162">
        <f t="shared" si="58"/>
        <v>0</v>
      </c>
      <c r="W124" s="147">
        <f t="shared" si="59"/>
        <v>0</v>
      </c>
      <c r="X124" s="147">
        <f t="shared" si="60"/>
        <v>0</v>
      </c>
      <c r="Y124" s="147">
        <f t="shared" si="61"/>
        <v>0</v>
      </c>
      <c r="Z124" s="147">
        <f t="shared" si="62"/>
        <v>0</v>
      </c>
    </row>
    <row r="125" spans="1:26" ht="12.75">
      <c r="A125" s="86" t="s">
        <v>807</v>
      </c>
      <c r="B125" s="30">
        <v>0</v>
      </c>
      <c r="C125" s="78"/>
      <c r="D125" s="111" t="e">
        <f t="shared" si="52"/>
        <v>#DIV/0!</v>
      </c>
      <c r="E125" s="30">
        <f t="shared" si="44"/>
        <v>852651</v>
      </c>
      <c r="F125" s="84">
        <f>SUM(F126:F129)</f>
        <v>852651</v>
      </c>
      <c r="G125" s="270">
        <f t="shared" si="42"/>
        <v>-0.9229227433029458</v>
      </c>
      <c r="H125" s="267">
        <v>65720</v>
      </c>
      <c r="I125" s="111">
        <f t="shared" si="75"/>
        <v>-1</v>
      </c>
      <c r="J125" s="30">
        <f t="shared" si="76"/>
        <v>-852651</v>
      </c>
      <c r="K125" s="84">
        <f>SUM(K126:K129)</f>
        <v>70658</v>
      </c>
      <c r="L125" s="142" t="e">
        <f t="shared" si="77"/>
        <v>#DIV/0!</v>
      </c>
      <c r="M125" s="143">
        <f t="shared" si="78"/>
        <v>140000</v>
      </c>
      <c r="N125" s="167">
        <f>SUM(N126:N129)</f>
        <v>140000</v>
      </c>
      <c r="O125" s="146" t="e">
        <f t="shared" si="53"/>
        <v>#DIV/0!</v>
      </c>
      <c r="P125" s="146"/>
      <c r="R125" s="167">
        <f aca="true" t="shared" si="80" ref="R125:Z125">SUM(R126:R129)</f>
        <v>147000</v>
      </c>
      <c r="S125" s="167">
        <f t="shared" si="80"/>
        <v>154350</v>
      </c>
      <c r="T125" s="167">
        <f t="shared" si="80"/>
        <v>162067.5</v>
      </c>
      <c r="U125" s="167">
        <f t="shared" si="80"/>
        <v>170170.875</v>
      </c>
      <c r="V125" s="167">
        <f t="shared" si="80"/>
        <v>178679.41874999998</v>
      </c>
      <c r="W125" s="167">
        <f t="shared" si="80"/>
        <v>187613.38968749996</v>
      </c>
      <c r="X125" s="167">
        <f t="shared" si="80"/>
        <v>196994.059171875</v>
      </c>
      <c r="Y125" s="167">
        <f t="shared" si="80"/>
        <v>206843.76213046873</v>
      </c>
      <c r="Z125" s="167">
        <f t="shared" si="80"/>
        <v>217185.9502369922</v>
      </c>
    </row>
    <row r="126" spans="1:26" ht="12.75">
      <c r="A126" s="148" t="s">
        <v>1117</v>
      </c>
      <c r="B126" s="30">
        <v>0</v>
      </c>
      <c r="C126" s="78"/>
      <c r="D126" s="111" t="e">
        <f t="shared" si="52"/>
        <v>#DIV/0!</v>
      </c>
      <c r="E126" s="30">
        <f t="shared" si="44"/>
        <v>0</v>
      </c>
      <c r="F126" s="104"/>
      <c r="G126" s="270" t="e">
        <f t="shared" si="42"/>
        <v>#DIV/0!</v>
      </c>
      <c r="H126" s="267">
        <v>0</v>
      </c>
      <c r="I126" s="111" t="e">
        <f t="shared" si="75"/>
        <v>#DIV/0!</v>
      </c>
      <c r="J126" s="30">
        <f t="shared" si="76"/>
        <v>0</v>
      </c>
      <c r="K126" s="153">
        <v>0</v>
      </c>
      <c r="L126" s="142" t="e">
        <f t="shared" si="77"/>
        <v>#DIV/0!</v>
      </c>
      <c r="M126" s="143">
        <f t="shared" si="78"/>
        <v>10000</v>
      </c>
      <c r="N126" s="179">
        <v>10000</v>
      </c>
      <c r="O126" s="146" t="e">
        <f t="shared" si="53"/>
        <v>#DIV/0!</v>
      </c>
      <c r="P126" s="146">
        <v>0.05</v>
      </c>
      <c r="R126" s="162">
        <f t="shared" si="69"/>
        <v>10500</v>
      </c>
      <c r="S126" s="162">
        <f t="shared" si="55"/>
        <v>11025</v>
      </c>
      <c r="T126" s="162">
        <f t="shared" si="56"/>
        <v>11576.25</v>
      </c>
      <c r="U126" s="162">
        <f t="shared" si="57"/>
        <v>12155.0625</v>
      </c>
      <c r="V126" s="162">
        <f t="shared" si="58"/>
        <v>12762.815625</v>
      </c>
      <c r="W126" s="162">
        <f t="shared" si="59"/>
        <v>13400.95640625</v>
      </c>
      <c r="X126" s="162">
        <f t="shared" si="60"/>
        <v>14071.0042265625</v>
      </c>
      <c r="Y126" s="162">
        <f t="shared" si="61"/>
        <v>14774.554437890625</v>
      </c>
      <c r="Z126" s="147">
        <f t="shared" si="62"/>
        <v>15513.282159785156</v>
      </c>
    </row>
    <row r="127" spans="1:26" ht="12.75">
      <c r="A127" s="81" t="s">
        <v>808</v>
      </c>
      <c r="B127" s="30">
        <v>0</v>
      </c>
      <c r="C127" s="78"/>
      <c r="D127" s="111" t="e">
        <f t="shared" si="52"/>
        <v>#DIV/0!</v>
      </c>
      <c r="E127" s="30">
        <f t="shared" si="44"/>
        <v>0</v>
      </c>
      <c r="F127" s="104"/>
      <c r="G127" s="270" t="e">
        <f t="shared" si="42"/>
        <v>#DIV/0!</v>
      </c>
      <c r="H127" s="267">
        <v>0</v>
      </c>
      <c r="I127" s="111" t="e">
        <f t="shared" si="75"/>
        <v>#DIV/0!</v>
      </c>
      <c r="J127" s="30">
        <f t="shared" si="76"/>
        <v>13640</v>
      </c>
      <c r="K127" s="153">
        <v>0</v>
      </c>
      <c r="L127" s="142">
        <f t="shared" si="77"/>
        <v>-1</v>
      </c>
      <c r="M127" s="143">
        <f t="shared" si="78"/>
        <v>-13640</v>
      </c>
      <c r="N127" s="179"/>
      <c r="O127" s="146" t="e">
        <f t="shared" si="53"/>
        <v>#DIV/0!</v>
      </c>
      <c r="P127" s="146">
        <v>0.05</v>
      </c>
      <c r="R127" s="162">
        <f t="shared" si="69"/>
        <v>0</v>
      </c>
      <c r="S127" s="162">
        <f t="shared" si="55"/>
        <v>0</v>
      </c>
      <c r="T127" s="162">
        <f t="shared" si="56"/>
        <v>0</v>
      </c>
      <c r="U127" s="162">
        <f t="shared" si="57"/>
        <v>0</v>
      </c>
      <c r="V127" s="162">
        <f t="shared" si="58"/>
        <v>0</v>
      </c>
      <c r="W127" s="162">
        <f t="shared" si="59"/>
        <v>0</v>
      </c>
      <c r="X127" s="162">
        <f t="shared" si="60"/>
        <v>0</v>
      </c>
      <c r="Y127" s="162">
        <f t="shared" si="61"/>
        <v>0</v>
      </c>
      <c r="Z127" s="147">
        <f t="shared" si="62"/>
        <v>0</v>
      </c>
    </row>
    <row r="128" spans="1:26" ht="12.75">
      <c r="A128" s="81" t="s">
        <v>809</v>
      </c>
      <c r="B128" s="30">
        <v>0</v>
      </c>
      <c r="C128" s="78"/>
      <c r="D128" s="111" t="e">
        <f t="shared" si="52"/>
        <v>#DIV/0!</v>
      </c>
      <c r="E128" s="30">
        <f t="shared" si="44"/>
        <v>0</v>
      </c>
      <c r="F128" s="104"/>
      <c r="G128" s="270" t="e">
        <f t="shared" si="42"/>
        <v>#DIV/0!</v>
      </c>
      <c r="H128" s="267">
        <v>11122</v>
      </c>
      <c r="I128" s="111" t="e">
        <f t="shared" si="75"/>
        <v>#DIV/0!</v>
      </c>
      <c r="J128" s="30">
        <f t="shared" si="76"/>
        <v>57018</v>
      </c>
      <c r="K128" s="153">
        <v>13640</v>
      </c>
      <c r="L128" s="142">
        <f t="shared" si="77"/>
        <v>0.7538321231891683</v>
      </c>
      <c r="M128" s="143">
        <f t="shared" si="78"/>
        <v>42982</v>
      </c>
      <c r="N128" s="179">
        <v>100000</v>
      </c>
      <c r="O128" s="146" t="e">
        <f t="shared" si="53"/>
        <v>#DIV/0!</v>
      </c>
      <c r="P128" s="146">
        <v>0.05</v>
      </c>
      <c r="R128" s="162">
        <f t="shared" si="69"/>
        <v>105000</v>
      </c>
      <c r="S128" s="162">
        <f t="shared" si="55"/>
        <v>110250</v>
      </c>
      <c r="T128" s="162">
        <f t="shared" si="56"/>
        <v>115762.5</v>
      </c>
      <c r="U128" s="162">
        <f t="shared" si="57"/>
        <v>121550.625</v>
      </c>
      <c r="V128" s="162">
        <f t="shared" si="58"/>
        <v>127628.15625</v>
      </c>
      <c r="W128" s="162">
        <f t="shared" si="59"/>
        <v>134009.5640625</v>
      </c>
      <c r="X128" s="162">
        <f t="shared" si="60"/>
        <v>140710.042265625</v>
      </c>
      <c r="Y128" s="162">
        <f t="shared" si="61"/>
        <v>147745.54437890626</v>
      </c>
      <c r="Z128" s="147">
        <f t="shared" si="62"/>
        <v>155132.82159785158</v>
      </c>
    </row>
    <row r="129" spans="1:26" ht="12.75">
      <c r="A129" s="81" t="s">
        <v>810</v>
      </c>
      <c r="B129" s="30">
        <v>0</v>
      </c>
      <c r="C129" s="78"/>
      <c r="D129" s="111" t="e">
        <f t="shared" si="52"/>
        <v>#DIV/0!</v>
      </c>
      <c r="E129" s="30">
        <f t="shared" si="44"/>
        <v>852651</v>
      </c>
      <c r="F129" s="104">
        <v>852651</v>
      </c>
      <c r="G129" s="270">
        <f t="shared" si="42"/>
        <v>-0.9359667671767229</v>
      </c>
      <c r="H129" s="267">
        <v>54598</v>
      </c>
      <c r="I129" s="111">
        <f t="shared" si="75"/>
        <v>0.9314995232515999</v>
      </c>
      <c r="J129" s="30">
        <f t="shared" si="76"/>
        <v>794244</v>
      </c>
      <c r="K129" s="153">
        <v>57018</v>
      </c>
      <c r="L129" s="142">
        <f t="shared" si="77"/>
        <v>-0.9817839024345815</v>
      </c>
      <c r="M129" s="143">
        <f t="shared" si="78"/>
        <v>-1616895</v>
      </c>
      <c r="N129" s="179">
        <v>30000</v>
      </c>
      <c r="O129" s="146" t="e">
        <f t="shared" si="53"/>
        <v>#DIV/0!</v>
      </c>
      <c r="P129" s="146">
        <v>0.05</v>
      </c>
      <c r="R129" s="162">
        <f t="shared" si="69"/>
        <v>31500</v>
      </c>
      <c r="S129" s="162">
        <f t="shared" si="55"/>
        <v>33075</v>
      </c>
      <c r="T129" s="162">
        <f t="shared" si="56"/>
        <v>34728.75</v>
      </c>
      <c r="U129" s="162">
        <f t="shared" si="57"/>
        <v>36465.1875</v>
      </c>
      <c r="V129" s="162">
        <f t="shared" si="58"/>
        <v>38288.446875</v>
      </c>
      <c r="W129" s="162">
        <f t="shared" si="59"/>
        <v>40202.86921875</v>
      </c>
      <c r="X129" s="162">
        <f t="shared" si="60"/>
        <v>42213.0126796875</v>
      </c>
      <c r="Y129" s="162">
        <f t="shared" si="61"/>
        <v>44323.663313671874</v>
      </c>
      <c r="Z129" s="147">
        <f t="shared" si="62"/>
        <v>46539.84647935547</v>
      </c>
    </row>
    <row r="130" spans="1:26" ht="12.75">
      <c r="A130" s="86" t="s">
        <v>811</v>
      </c>
      <c r="B130" s="30">
        <v>0</v>
      </c>
      <c r="C130" s="78"/>
      <c r="D130" s="111" t="e">
        <f t="shared" si="52"/>
        <v>#DIV/0!</v>
      </c>
      <c r="E130" s="30">
        <f t="shared" si="44"/>
        <v>1594208.6795</v>
      </c>
      <c r="F130" s="168">
        <f>SUM(F131+F147+F152+F160+F163+F168+F178+F182+F185)</f>
        <v>1594208.6795</v>
      </c>
      <c r="G130" s="270">
        <f t="shared" si="42"/>
        <v>-0.19077344353399628</v>
      </c>
      <c r="H130" s="267">
        <v>1290076</v>
      </c>
      <c r="I130" s="111">
        <f t="shared" si="75"/>
        <v>-0.42468510440699814</v>
      </c>
      <c r="J130" s="30">
        <f t="shared" si="76"/>
        <v>-677036.6795000001</v>
      </c>
      <c r="K130" s="168">
        <f>SUM(K131+K147+K152+K160+K163+K168+K178+K182+K185)</f>
        <v>1646895</v>
      </c>
      <c r="L130" s="142">
        <f t="shared" si="77"/>
        <v>1.211055287339779</v>
      </c>
      <c r="M130" s="143">
        <f t="shared" si="78"/>
        <v>1110746</v>
      </c>
      <c r="N130" s="168">
        <f>SUM(N131+N147+N152+N160+N163+N168+N178+N182+N185)</f>
        <v>2027918</v>
      </c>
      <c r="O130" s="146" t="e">
        <f t="shared" si="53"/>
        <v>#DIV/0!</v>
      </c>
      <c r="P130" s="146"/>
      <c r="R130" s="168">
        <f aca="true" t="shared" si="81" ref="R130:Z130">SUM(R131+R147+R152+R160+R163+R168+R178+R182+R185)</f>
        <v>2229851.44</v>
      </c>
      <c r="S130" s="168">
        <f t="shared" si="81"/>
        <v>2454235.5552</v>
      </c>
      <c r="T130" s="168">
        <f t="shared" si="81"/>
        <v>2703794.619616</v>
      </c>
      <c r="U130" s="168">
        <f t="shared" si="81"/>
        <v>2981605.76298528</v>
      </c>
      <c r="V130" s="168">
        <f t="shared" si="81"/>
        <v>3291146.8669141023</v>
      </c>
      <c r="W130" s="168">
        <f t="shared" si="81"/>
        <v>3636351.18198197</v>
      </c>
      <c r="X130" s="168">
        <f t="shared" si="81"/>
        <v>4021669.6314465725</v>
      </c>
      <c r="Y130" s="168">
        <f t="shared" si="81"/>
        <v>4452141.908317234</v>
      </c>
      <c r="Z130" s="168">
        <f t="shared" si="81"/>
        <v>4933477.6345732575</v>
      </c>
    </row>
    <row r="131" spans="1:26" ht="12.75">
      <c r="A131" s="86" t="s">
        <v>812</v>
      </c>
      <c r="B131" s="98">
        <v>1425811</v>
      </c>
      <c r="C131" s="78"/>
      <c r="D131" s="111">
        <f t="shared" si="52"/>
        <v>-0.12650787551786313</v>
      </c>
      <c r="E131" s="30">
        <f t="shared" si="44"/>
        <v>-180376.3204999999</v>
      </c>
      <c r="F131" s="167">
        <f>SUM(F132:F146)</f>
        <v>1245434.6795</v>
      </c>
      <c r="G131" s="270">
        <f t="shared" si="42"/>
        <v>-0.37291211425592874</v>
      </c>
      <c r="H131" s="267">
        <v>780997</v>
      </c>
      <c r="I131" s="111">
        <f t="shared" si="75"/>
        <v>-1</v>
      </c>
      <c r="J131" s="30">
        <f t="shared" si="76"/>
        <v>-1245434.6795</v>
      </c>
      <c r="K131" s="167">
        <f>SUM(K132:K146)</f>
        <v>917172</v>
      </c>
      <c r="L131" s="142" t="e">
        <f t="shared" si="77"/>
        <v>#DIV/0!</v>
      </c>
      <c r="M131" s="143">
        <f t="shared" si="78"/>
        <v>767918</v>
      </c>
      <c r="N131" s="167">
        <f>SUM(N132:N146)</f>
        <v>767918</v>
      </c>
      <c r="O131" s="146" t="e">
        <f t="shared" si="53"/>
        <v>#DIV/0!</v>
      </c>
      <c r="P131" s="146"/>
      <c r="R131" s="167">
        <f aca="true" t="shared" si="82" ref="R131:Z131">SUM(R132:R146)</f>
        <v>829351.44</v>
      </c>
      <c r="S131" s="167">
        <f t="shared" si="82"/>
        <v>895699.5551999998</v>
      </c>
      <c r="T131" s="167">
        <f t="shared" si="82"/>
        <v>967355.5196159999</v>
      </c>
      <c r="U131" s="167">
        <f t="shared" si="82"/>
        <v>1044743.9611852799</v>
      </c>
      <c r="V131" s="167">
        <f t="shared" si="82"/>
        <v>1128323.4780801022</v>
      </c>
      <c r="W131" s="167">
        <f t="shared" si="82"/>
        <v>1218589.3563265104</v>
      </c>
      <c r="X131" s="167">
        <f t="shared" si="82"/>
        <v>1316076.5048326314</v>
      </c>
      <c r="Y131" s="167">
        <f t="shared" si="82"/>
        <v>1421362.6252192417</v>
      </c>
      <c r="Z131" s="167">
        <f t="shared" si="82"/>
        <v>1535071.635236781</v>
      </c>
    </row>
    <row r="132" spans="1:26" ht="12.75">
      <c r="A132" s="81" t="s">
        <v>813</v>
      </c>
      <c r="B132" s="30">
        <v>0</v>
      </c>
      <c r="C132" s="78"/>
      <c r="D132" s="111" t="e">
        <f t="shared" si="52"/>
        <v>#DIV/0!</v>
      </c>
      <c r="E132" s="30">
        <f t="shared" si="44"/>
        <v>0</v>
      </c>
      <c r="F132" s="104"/>
      <c r="G132" s="270" t="e">
        <f aca="true" t="shared" si="83" ref="G132:G195">H132/F132-1</f>
        <v>#DIV/0!</v>
      </c>
      <c r="H132" s="267">
        <v>0</v>
      </c>
      <c r="I132" s="111" t="e">
        <f t="shared" si="75"/>
        <v>#DIV/0!</v>
      </c>
      <c r="J132" s="30">
        <f t="shared" si="76"/>
        <v>103381</v>
      </c>
      <c r="K132" s="153">
        <v>0</v>
      </c>
      <c r="L132" s="142">
        <f t="shared" si="77"/>
        <v>-1</v>
      </c>
      <c r="M132" s="143">
        <f t="shared" si="78"/>
        <v>-103381</v>
      </c>
      <c r="N132" s="179"/>
      <c r="O132" s="146">
        <v>0.08</v>
      </c>
      <c r="P132" s="146">
        <v>0.08</v>
      </c>
      <c r="R132" s="162">
        <f t="shared" si="69"/>
        <v>0</v>
      </c>
      <c r="S132" s="162">
        <f t="shared" si="55"/>
        <v>0</v>
      </c>
      <c r="T132" s="162">
        <f t="shared" si="56"/>
        <v>0</v>
      </c>
      <c r="U132" s="162">
        <f t="shared" si="57"/>
        <v>0</v>
      </c>
      <c r="V132" s="162">
        <f t="shared" si="58"/>
        <v>0</v>
      </c>
      <c r="W132" s="162">
        <f t="shared" si="59"/>
        <v>0</v>
      </c>
      <c r="X132" s="162">
        <f t="shared" si="60"/>
        <v>0</v>
      </c>
      <c r="Y132" s="162">
        <f t="shared" si="61"/>
        <v>0</v>
      </c>
      <c r="Z132" s="147">
        <f t="shared" si="62"/>
        <v>0</v>
      </c>
    </row>
    <row r="133" spans="1:26" ht="12.75">
      <c r="A133" s="81" t="s">
        <v>814</v>
      </c>
      <c r="B133" s="30">
        <v>0</v>
      </c>
      <c r="C133" s="78"/>
      <c r="D133" s="111" t="e">
        <f t="shared" si="52"/>
        <v>#DIV/0!</v>
      </c>
      <c r="E133" s="30">
        <f t="shared" si="44"/>
        <v>0</v>
      </c>
      <c r="F133" s="104"/>
      <c r="G133" s="270" t="e">
        <f t="shared" si="83"/>
        <v>#DIV/0!</v>
      </c>
      <c r="H133" s="267">
        <v>17750</v>
      </c>
      <c r="I133" s="111" t="e">
        <f t="shared" si="75"/>
        <v>#DIV/0!</v>
      </c>
      <c r="J133" s="30">
        <f t="shared" si="76"/>
        <v>0</v>
      </c>
      <c r="K133" s="153">
        <v>103381</v>
      </c>
      <c r="L133" s="142" t="e">
        <f t="shared" si="77"/>
        <v>#DIV/0!</v>
      </c>
      <c r="M133" s="143">
        <f t="shared" si="78"/>
        <v>354000</v>
      </c>
      <c r="N133" s="179">
        <v>354000</v>
      </c>
      <c r="O133" s="146" t="e">
        <f t="shared" si="53"/>
        <v>#DIV/0!</v>
      </c>
      <c r="P133" s="146">
        <v>0.08</v>
      </c>
      <c r="R133" s="162">
        <f t="shared" si="69"/>
        <v>382320</v>
      </c>
      <c r="S133" s="162">
        <f t="shared" si="55"/>
        <v>412905.6</v>
      </c>
      <c r="T133" s="162">
        <f t="shared" si="56"/>
        <v>445938.04799999995</v>
      </c>
      <c r="U133" s="162">
        <f t="shared" si="57"/>
        <v>481613.09183999995</v>
      </c>
      <c r="V133" s="162">
        <f t="shared" si="58"/>
        <v>520142.13918719994</v>
      </c>
      <c r="W133" s="162">
        <f t="shared" si="59"/>
        <v>561753.5103221759</v>
      </c>
      <c r="X133" s="162">
        <f t="shared" si="60"/>
        <v>606693.79114795</v>
      </c>
      <c r="Y133" s="162">
        <f t="shared" si="61"/>
        <v>655229.294439786</v>
      </c>
      <c r="Z133" s="147">
        <f t="shared" si="62"/>
        <v>707647.6379949689</v>
      </c>
    </row>
    <row r="134" spans="1:26" ht="12.75">
      <c r="A134" s="81" t="s">
        <v>815</v>
      </c>
      <c r="B134" s="30">
        <v>0</v>
      </c>
      <c r="C134" s="78"/>
      <c r="D134" s="111" t="e">
        <f t="shared" si="52"/>
        <v>#DIV/0!</v>
      </c>
      <c r="E134" s="30">
        <f t="shared" si="44"/>
        <v>0</v>
      </c>
      <c r="F134" s="104"/>
      <c r="G134" s="270" t="e">
        <f t="shared" si="83"/>
        <v>#DIV/0!</v>
      </c>
      <c r="H134" s="267">
        <v>0</v>
      </c>
      <c r="I134" s="111" t="e">
        <f t="shared" si="75"/>
        <v>#DIV/0!</v>
      </c>
      <c r="J134" s="30">
        <f t="shared" si="76"/>
        <v>0</v>
      </c>
      <c r="K134" s="153">
        <v>0</v>
      </c>
      <c r="L134" s="142" t="e">
        <f t="shared" si="77"/>
        <v>#DIV/0!</v>
      </c>
      <c r="M134" s="143">
        <f t="shared" si="78"/>
        <v>136787</v>
      </c>
      <c r="N134" s="179">
        <v>136787</v>
      </c>
      <c r="O134" s="146" t="e">
        <f t="shared" si="53"/>
        <v>#DIV/0!</v>
      </c>
      <c r="P134" s="146">
        <v>0.08</v>
      </c>
      <c r="R134" s="162">
        <f t="shared" si="69"/>
        <v>147729.96</v>
      </c>
      <c r="S134" s="162">
        <f t="shared" si="55"/>
        <v>159548.35679999998</v>
      </c>
      <c r="T134" s="162">
        <f t="shared" si="56"/>
        <v>172312.22534399998</v>
      </c>
      <c r="U134" s="162">
        <f t="shared" si="57"/>
        <v>186097.20337151998</v>
      </c>
      <c r="V134" s="162">
        <f t="shared" si="58"/>
        <v>200984.97964124157</v>
      </c>
      <c r="W134" s="162">
        <f t="shared" si="59"/>
        <v>217063.7780125409</v>
      </c>
      <c r="X134" s="162">
        <f t="shared" si="60"/>
        <v>234428.88025354416</v>
      </c>
      <c r="Y134" s="162">
        <f t="shared" si="61"/>
        <v>253183.1906738277</v>
      </c>
      <c r="Z134" s="147">
        <f t="shared" si="62"/>
        <v>273437.8459277339</v>
      </c>
    </row>
    <row r="135" spans="1:26" ht="12.75">
      <c r="A135" s="81" t="s">
        <v>816</v>
      </c>
      <c r="B135" s="30">
        <v>0</v>
      </c>
      <c r="C135" s="78"/>
      <c r="D135" s="111" t="e">
        <f t="shared" si="52"/>
        <v>#DIV/0!</v>
      </c>
      <c r="E135" s="30">
        <f t="shared" si="44"/>
        <v>0</v>
      </c>
      <c r="F135" s="104"/>
      <c r="G135" s="270" t="e">
        <f t="shared" si="83"/>
        <v>#DIV/0!</v>
      </c>
      <c r="H135" s="267">
        <v>0</v>
      </c>
      <c r="I135" s="111" t="e">
        <f t="shared" si="75"/>
        <v>#DIV/0!</v>
      </c>
      <c r="J135" s="30">
        <f t="shared" si="76"/>
        <v>0</v>
      </c>
      <c r="K135" s="153">
        <v>0</v>
      </c>
      <c r="L135" s="142" t="e">
        <f t="shared" si="77"/>
        <v>#DIV/0!</v>
      </c>
      <c r="M135" s="143">
        <f t="shared" si="78"/>
        <v>0</v>
      </c>
      <c r="N135" s="179"/>
      <c r="O135" s="146" t="e">
        <f t="shared" si="53"/>
        <v>#DIV/0!</v>
      </c>
      <c r="P135" s="146">
        <v>0.08</v>
      </c>
      <c r="R135" s="162">
        <f t="shared" si="69"/>
        <v>0</v>
      </c>
      <c r="S135" s="162">
        <f t="shared" si="55"/>
        <v>0</v>
      </c>
      <c r="T135" s="162">
        <f t="shared" si="56"/>
        <v>0</v>
      </c>
      <c r="U135" s="162">
        <f t="shared" si="57"/>
        <v>0</v>
      </c>
      <c r="V135" s="162">
        <f t="shared" si="58"/>
        <v>0</v>
      </c>
      <c r="W135" s="162">
        <f t="shared" si="59"/>
        <v>0</v>
      </c>
      <c r="X135" s="162">
        <f t="shared" si="60"/>
        <v>0</v>
      </c>
      <c r="Y135" s="162">
        <f t="shared" si="61"/>
        <v>0</v>
      </c>
      <c r="Z135" s="147">
        <f t="shared" si="62"/>
        <v>0</v>
      </c>
    </row>
    <row r="136" spans="1:26" ht="12.75">
      <c r="A136" s="81" t="s">
        <v>817</v>
      </c>
      <c r="B136" s="30">
        <v>0</v>
      </c>
      <c r="C136" s="78"/>
      <c r="D136" s="111" t="e">
        <f t="shared" si="52"/>
        <v>#DIV/0!</v>
      </c>
      <c r="E136" s="30">
        <f aca="true" t="shared" si="84" ref="E136:E202">F136-B136</f>
        <v>0</v>
      </c>
      <c r="F136" s="104"/>
      <c r="G136" s="270" t="e">
        <f t="shared" si="83"/>
        <v>#DIV/0!</v>
      </c>
      <c r="H136" s="267">
        <v>0</v>
      </c>
      <c r="I136" s="111" t="e">
        <f t="shared" si="75"/>
        <v>#DIV/0!</v>
      </c>
      <c r="J136" s="30">
        <f t="shared" si="76"/>
        <v>0</v>
      </c>
      <c r="K136" s="153">
        <v>0</v>
      </c>
      <c r="L136" s="142" t="e">
        <f t="shared" si="77"/>
        <v>#DIV/0!</v>
      </c>
      <c r="M136" s="143">
        <f t="shared" si="78"/>
        <v>0</v>
      </c>
      <c r="N136" s="179"/>
      <c r="O136" s="146" t="e">
        <f t="shared" si="53"/>
        <v>#DIV/0!</v>
      </c>
      <c r="P136" s="146">
        <v>0.08</v>
      </c>
      <c r="R136" s="162">
        <f t="shared" si="69"/>
        <v>0</v>
      </c>
      <c r="S136" s="162">
        <f t="shared" si="55"/>
        <v>0</v>
      </c>
      <c r="T136" s="162">
        <f t="shared" si="56"/>
        <v>0</v>
      </c>
      <c r="U136" s="162">
        <f t="shared" si="57"/>
        <v>0</v>
      </c>
      <c r="V136" s="162">
        <f t="shared" si="58"/>
        <v>0</v>
      </c>
      <c r="W136" s="162">
        <f t="shared" si="59"/>
        <v>0</v>
      </c>
      <c r="X136" s="162">
        <f t="shared" si="60"/>
        <v>0</v>
      </c>
      <c r="Y136" s="162">
        <f t="shared" si="61"/>
        <v>0</v>
      </c>
      <c r="Z136" s="147">
        <f t="shared" si="62"/>
        <v>0</v>
      </c>
    </row>
    <row r="137" spans="1:26" ht="13.5" thickBot="1">
      <c r="A137" s="87" t="s">
        <v>818</v>
      </c>
      <c r="B137" s="30">
        <v>0</v>
      </c>
      <c r="C137" s="78"/>
      <c r="D137" s="111" t="e">
        <f t="shared" si="52"/>
        <v>#DIV/0!</v>
      </c>
      <c r="E137" s="30">
        <f t="shared" si="84"/>
        <v>0</v>
      </c>
      <c r="F137" s="104"/>
      <c r="G137" s="270" t="e">
        <f t="shared" si="83"/>
        <v>#DIV/0!</v>
      </c>
      <c r="H137" s="267">
        <v>0</v>
      </c>
      <c r="I137" s="111" t="e">
        <f t="shared" si="75"/>
        <v>#DIV/0!</v>
      </c>
      <c r="J137" s="30">
        <f t="shared" si="76"/>
        <v>0</v>
      </c>
      <c r="K137" s="155">
        <v>0</v>
      </c>
      <c r="L137" s="142" t="e">
        <f t="shared" si="77"/>
        <v>#DIV/0!</v>
      </c>
      <c r="M137" s="143">
        <f t="shared" si="78"/>
        <v>0</v>
      </c>
      <c r="N137" s="179"/>
      <c r="O137" s="146" t="e">
        <f t="shared" si="53"/>
        <v>#DIV/0!</v>
      </c>
      <c r="P137" s="146">
        <v>0.08</v>
      </c>
      <c r="R137" s="162">
        <f t="shared" si="69"/>
        <v>0</v>
      </c>
      <c r="S137" s="162">
        <f t="shared" si="55"/>
        <v>0</v>
      </c>
      <c r="T137" s="162">
        <f t="shared" si="56"/>
        <v>0</v>
      </c>
      <c r="U137" s="162">
        <f t="shared" si="57"/>
        <v>0</v>
      </c>
      <c r="V137" s="162">
        <f t="shared" si="58"/>
        <v>0</v>
      </c>
      <c r="W137" s="162">
        <f t="shared" si="59"/>
        <v>0</v>
      </c>
      <c r="X137" s="162">
        <f t="shared" si="60"/>
        <v>0</v>
      </c>
      <c r="Y137" s="162">
        <f t="shared" si="61"/>
        <v>0</v>
      </c>
      <c r="Z137" s="147">
        <f t="shared" si="62"/>
        <v>0</v>
      </c>
    </row>
    <row r="138" spans="1:26" ht="12.75">
      <c r="A138" s="81" t="s">
        <v>819</v>
      </c>
      <c r="B138" s="30">
        <v>0</v>
      </c>
      <c r="C138" s="78"/>
      <c r="D138" s="111" t="e">
        <f t="shared" si="52"/>
        <v>#DIV/0!</v>
      </c>
      <c r="E138" s="30">
        <f t="shared" si="84"/>
        <v>0</v>
      </c>
      <c r="F138" s="104"/>
      <c r="G138" s="270" t="e">
        <f t="shared" si="83"/>
        <v>#DIV/0!</v>
      </c>
      <c r="H138" s="267">
        <v>0</v>
      </c>
      <c r="I138" s="111" t="e">
        <f t="shared" si="75"/>
        <v>#DIV/0!</v>
      </c>
      <c r="J138" s="30">
        <f t="shared" si="76"/>
        <v>13000</v>
      </c>
      <c r="K138" s="153">
        <v>0</v>
      </c>
      <c r="L138" s="142">
        <f t="shared" si="77"/>
        <v>-1</v>
      </c>
      <c r="M138" s="143">
        <f t="shared" si="78"/>
        <v>-13000</v>
      </c>
      <c r="N138" s="179"/>
      <c r="O138" s="146" t="e">
        <f t="shared" si="53"/>
        <v>#DIV/0!</v>
      </c>
      <c r="P138" s="146">
        <v>0.08</v>
      </c>
      <c r="R138" s="162">
        <f t="shared" si="69"/>
        <v>0</v>
      </c>
      <c r="S138" s="162">
        <f t="shared" si="55"/>
        <v>0</v>
      </c>
      <c r="T138" s="162">
        <f t="shared" si="56"/>
        <v>0</v>
      </c>
      <c r="U138" s="162">
        <f t="shared" si="57"/>
        <v>0</v>
      </c>
      <c r="V138" s="162">
        <f t="shared" si="58"/>
        <v>0</v>
      </c>
      <c r="W138" s="162">
        <f t="shared" si="59"/>
        <v>0</v>
      </c>
      <c r="X138" s="162">
        <f t="shared" si="60"/>
        <v>0</v>
      </c>
      <c r="Y138" s="162">
        <f t="shared" si="61"/>
        <v>0</v>
      </c>
      <c r="Z138" s="147">
        <f t="shared" si="62"/>
        <v>0</v>
      </c>
    </row>
    <row r="139" spans="1:26" ht="12.75">
      <c r="A139" s="81" t="s">
        <v>820</v>
      </c>
      <c r="B139" s="30">
        <v>0</v>
      </c>
      <c r="C139" s="78"/>
      <c r="D139" s="111" t="e">
        <f t="shared" si="52"/>
        <v>#DIV/0!</v>
      </c>
      <c r="E139" s="30">
        <f t="shared" si="84"/>
        <v>0</v>
      </c>
      <c r="F139" s="104"/>
      <c r="G139" s="270" t="e">
        <f t="shared" si="83"/>
        <v>#DIV/0!</v>
      </c>
      <c r="H139" s="267">
        <v>12996</v>
      </c>
      <c r="I139" s="111" t="e">
        <f t="shared" si="75"/>
        <v>#DIV/0!</v>
      </c>
      <c r="J139" s="30">
        <f t="shared" si="76"/>
        <v>0</v>
      </c>
      <c r="K139" s="153">
        <v>13000</v>
      </c>
      <c r="L139" s="142" t="e">
        <f t="shared" si="77"/>
        <v>#DIV/0!</v>
      </c>
      <c r="M139" s="143">
        <f t="shared" si="78"/>
        <v>0</v>
      </c>
      <c r="N139" s="179">
        <v>0</v>
      </c>
      <c r="O139" s="146" t="e">
        <f t="shared" si="53"/>
        <v>#DIV/0!</v>
      </c>
      <c r="P139" s="146">
        <v>0.08</v>
      </c>
      <c r="R139" s="162">
        <f t="shared" si="69"/>
        <v>0</v>
      </c>
      <c r="S139" s="162">
        <f t="shared" si="55"/>
        <v>0</v>
      </c>
      <c r="T139" s="162">
        <f t="shared" si="56"/>
        <v>0</v>
      </c>
      <c r="U139" s="162">
        <f t="shared" si="57"/>
        <v>0</v>
      </c>
      <c r="V139" s="162">
        <f t="shared" si="58"/>
        <v>0</v>
      </c>
      <c r="W139" s="162">
        <f t="shared" si="59"/>
        <v>0</v>
      </c>
      <c r="X139" s="162">
        <f t="shared" si="60"/>
        <v>0</v>
      </c>
      <c r="Y139" s="162">
        <f t="shared" si="61"/>
        <v>0</v>
      </c>
      <c r="Z139" s="147">
        <f t="shared" si="62"/>
        <v>0</v>
      </c>
    </row>
    <row r="140" spans="1:26" ht="12.75">
      <c r="A140" s="81" t="s">
        <v>821</v>
      </c>
      <c r="B140" s="30">
        <v>0</v>
      </c>
      <c r="C140" s="78"/>
      <c r="D140" s="111" t="e">
        <f t="shared" si="52"/>
        <v>#DIV/0!</v>
      </c>
      <c r="E140" s="30">
        <f t="shared" si="84"/>
        <v>0</v>
      </c>
      <c r="F140" s="104"/>
      <c r="G140" s="270" t="e">
        <f t="shared" si="83"/>
        <v>#DIV/0!</v>
      </c>
      <c r="H140" s="267">
        <v>0</v>
      </c>
      <c r="I140" s="111" t="e">
        <f t="shared" si="75"/>
        <v>#DIV/0!</v>
      </c>
      <c r="J140" s="30">
        <f t="shared" si="76"/>
        <v>0</v>
      </c>
      <c r="K140" s="153">
        <v>0</v>
      </c>
      <c r="L140" s="142" t="e">
        <f t="shared" si="77"/>
        <v>#DIV/0!</v>
      </c>
      <c r="M140" s="143">
        <f t="shared" si="78"/>
        <v>0</v>
      </c>
      <c r="N140" s="179"/>
      <c r="O140" s="146" t="e">
        <f t="shared" si="53"/>
        <v>#DIV/0!</v>
      </c>
      <c r="P140" s="146">
        <v>0.08</v>
      </c>
      <c r="R140" s="162">
        <f t="shared" si="69"/>
        <v>0</v>
      </c>
      <c r="S140" s="162">
        <f t="shared" si="55"/>
        <v>0</v>
      </c>
      <c r="T140" s="162">
        <f t="shared" si="56"/>
        <v>0</v>
      </c>
      <c r="U140" s="162">
        <f t="shared" si="57"/>
        <v>0</v>
      </c>
      <c r="V140" s="162">
        <f t="shared" si="58"/>
        <v>0</v>
      </c>
      <c r="W140" s="162">
        <f t="shared" si="59"/>
        <v>0</v>
      </c>
      <c r="X140" s="162">
        <f t="shared" si="60"/>
        <v>0</v>
      </c>
      <c r="Y140" s="162">
        <f t="shared" si="61"/>
        <v>0</v>
      </c>
      <c r="Z140" s="147">
        <f t="shared" si="62"/>
        <v>0</v>
      </c>
    </row>
    <row r="141" spans="1:26" ht="12.75">
      <c r="A141" s="81" t="s">
        <v>829</v>
      </c>
      <c r="B141" s="30">
        <v>0</v>
      </c>
      <c r="C141" s="78"/>
      <c r="D141" s="111" t="e">
        <f t="shared" si="52"/>
        <v>#DIV/0!</v>
      </c>
      <c r="E141" s="30">
        <f t="shared" si="84"/>
        <v>0</v>
      </c>
      <c r="F141" s="104"/>
      <c r="G141" s="270" t="e">
        <f t="shared" si="83"/>
        <v>#DIV/0!</v>
      </c>
      <c r="H141" s="267">
        <v>0</v>
      </c>
      <c r="I141" s="111" t="e">
        <f t="shared" si="75"/>
        <v>#DIV/0!</v>
      </c>
      <c r="J141" s="30">
        <f t="shared" si="76"/>
        <v>374031</v>
      </c>
      <c r="K141" s="153">
        <v>0</v>
      </c>
      <c r="L141" s="142">
        <f t="shared" si="77"/>
        <v>-1</v>
      </c>
      <c r="M141" s="143">
        <f t="shared" si="78"/>
        <v>-374031</v>
      </c>
      <c r="N141" s="179"/>
      <c r="O141" s="146" t="e">
        <f t="shared" si="53"/>
        <v>#DIV/0!</v>
      </c>
      <c r="P141" s="146">
        <v>0.08</v>
      </c>
      <c r="R141" s="162">
        <f t="shared" si="69"/>
        <v>0</v>
      </c>
      <c r="S141" s="162">
        <f t="shared" si="55"/>
        <v>0</v>
      </c>
      <c r="T141" s="162">
        <f t="shared" si="56"/>
        <v>0</v>
      </c>
      <c r="U141" s="162">
        <f t="shared" si="57"/>
        <v>0</v>
      </c>
      <c r="V141" s="162">
        <f t="shared" si="58"/>
        <v>0</v>
      </c>
      <c r="W141" s="162">
        <f t="shared" si="59"/>
        <v>0</v>
      </c>
      <c r="X141" s="162">
        <f t="shared" si="60"/>
        <v>0</v>
      </c>
      <c r="Y141" s="162">
        <f t="shared" si="61"/>
        <v>0</v>
      </c>
      <c r="Z141" s="147">
        <f t="shared" si="62"/>
        <v>0</v>
      </c>
    </row>
    <row r="142" spans="1:26" ht="12.75">
      <c r="A142" s="81" t="s">
        <v>830</v>
      </c>
      <c r="B142" s="30">
        <v>0</v>
      </c>
      <c r="C142" s="78"/>
      <c r="D142" s="111" t="e">
        <f t="shared" si="52"/>
        <v>#DIV/0!</v>
      </c>
      <c r="E142" s="30">
        <f t="shared" si="84"/>
        <v>1245434.6795</v>
      </c>
      <c r="F142" s="105">
        <v>1245434.6795</v>
      </c>
      <c r="G142" s="270">
        <f t="shared" si="83"/>
        <v>-0.7292254619604881</v>
      </c>
      <c r="H142" s="267">
        <v>337232</v>
      </c>
      <c r="I142" s="111">
        <f t="shared" si="75"/>
        <v>-0.9689104530030072</v>
      </c>
      <c r="J142" s="30">
        <f t="shared" si="76"/>
        <v>-1206714.6795</v>
      </c>
      <c r="K142" s="153">
        <v>374031</v>
      </c>
      <c r="L142" s="142">
        <f t="shared" si="77"/>
        <v>6.157308884297521</v>
      </c>
      <c r="M142" s="143">
        <f t="shared" si="78"/>
        <v>238411</v>
      </c>
      <c r="N142" s="179">
        <v>277131</v>
      </c>
      <c r="O142" s="146" t="e">
        <f t="shared" si="53"/>
        <v>#DIV/0!</v>
      </c>
      <c r="P142" s="146">
        <v>0.08</v>
      </c>
      <c r="R142" s="162">
        <f t="shared" si="69"/>
        <v>299301.48</v>
      </c>
      <c r="S142" s="162">
        <f t="shared" si="55"/>
        <v>323245.59839999996</v>
      </c>
      <c r="T142" s="162">
        <f t="shared" si="56"/>
        <v>349105.24627199996</v>
      </c>
      <c r="U142" s="162">
        <f t="shared" si="57"/>
        <v>377033.66597375995</v>
      </c>
      <c r="V142" s="162">
        <f t="shared" si="58"/>
        <v>407196.35925166076</v>
      </c>
      <c r="W142" s="162">
        <f t="shared" si="59"/>
        <v>439772.0679917936</v>
      </c>
      <c r="X142" s="162">
        <f t="shared" si="60"/>
        <v>474953.83343113714</v>
      </c>
      <c r="Y142" s="162">
        <f t="shared" si="61"/>
        <v>512950.1401056281</v>
      </c>
      <c r="Z142" s="147">
        <f t="shared" si="62"/>
        <v>553986.1513140784</v>
      </c>
    </row>
    <row r="143" spans="1:26" ht="12.75">
      <c r="A143" s="81" t="s">
        <v>831</v>
      </c>
      <c r="B143" s="30">
        <v>0</v>
      </c>
      <c r="C143" s="78"/>
      <c r="D143" s="111" t="e">
        <f t="shared" si="52"/>
        <v>#DIV/0!</v>
      </c>
      <c r="E143" s="30">
        <f t="shared" si="84"/>
        <v>0</v>
      </c>
      <c r="F143" s="104"/>
      <c r="G143" s="270" t="e">
        <f t="shared" si="83"/>
        <v>#DIV/0!</v>
      </c>
      <c r="H143" s="267">
        <v>38466</v>
      </c>
      <c r="I143" s="111" t="e">
        <f t="shared" si="75"/>
        <v>#DIV/0!</v>
      </c>
      <c r="J143" s="30">
        <f t="shared" si="76"/>
        <v>51040</v>
      </c>
      <c r="K143" s="153">
        <v>38720</v>
      </c>
      <c r="L143" s="142">
        <f t="shared" si="77"/>
        <v>-1</v>
      </c>
      <c r="M143" s="143">
        <f t="shared" si="78"/>
        <v>-51040</v>
      </c>
      <c r="N143" s="179">
        <v>0</v>
      </c>
      <c r="O143" s="146" t="e">
        <f t="shared" si="53"/>
        <v>#DIV/0!</v>
      </c>
      <c r="P143" s="146">
        <v>0.08</v>
      </c>
      <c r="R143" s="162">
        <f t="shared" si="69"/>
        <v>0</v>
      </c>
      <c r="S143" s="162">
        <f t="shared" si="55"/>
        <v>0</v>
      </c>
      <c r="T143" s="162">
        <f t="shared" si="56"/>
        <v>0</v>
      </c>
      <c r="U143" s="162">
        <f t="shared" si="57"/>
        <v>0</v>
      </c>
      <c r="V143" s="162">
        <f t="shared" si="58"/>
        <v>0</v>
      </c>
      <c r="W143" s="162">
        <f t="shared" si="59"/>
        <v>0</v>
      </c>
      <c r="X143" s="162">
        <f t="shared" si="60"/>
        <v>0</v>
      </c>
      <c r="Y143" s="162">
        <f t="shared" si="61"/>
        <v>0</v>
      </c>
      <c r="Z143" s="147">
        <f t="shared" si="62"/>
        <v>0</v>
      </c>
    </row>
    <row r="144" spans="1:26" ht="12.75">
      <c r="A144" s="81" t="s">
        <v>832</v>
      </c>
      <c r="B144" s="30">
        <v>0</v>
      </c>
      <c r="C144" s="78"/>
      <c r="D144" s="111" t="e">
        <f t="shared" si="52"/>
        <v>#DIV/0!</v>
      </c>
      <c r="E144" s="30">
        <f t="shared" si="84"/>
        <v>0</v>
      </c>
      <c r="F144" s="104"/>
      <c r="G144" s="270" t="e">
        <f t="shared" si="83"/>
        <v>#DIV/0!</v>
      </c>
      <c r="H144" s="267">
        <v>51031</v>
      </c>
      <c r="I144" s="111" t="e">
        <f t="shared" si="75"/>
        <v>#DIV/0!</v>
      </c>
      <c r="J144" s="30">
        <f t="shared" si="76"/>
        <v>87000</v>
      </c>
      <c r="K144" s="153">
        <v>51040</v>
      </c>
      <c r="L144" s="142">
        <f t="shared" si="77"/>
        <v>-1</v>
      </c>
      <c r="M144" s="143">
        <f t="shared" si="78"/>
        <v>-87000</v>
      </c>
      <c r="N144" s="179">
        <v>0</v>
      </c>
      <c r="O144" s="146" t="e">
        <f t="shared" si="53"/>
        <v>#DIV/0!</v>
      </c>
      <c r="P144" s="146">
        <v>0.08</v>
      </c>
      <c r="R144" s="162">
        <f t="shared" si="69"/>
        <v>0</v>
      </c>
      <c r="S144" s="162">
        <f t="shared" si="55"/>
        <v>0</v>
      </c>
      <c r="T144" s="162">
        <f t="shared" si="56"/>
        <v>0</v>
      </c>
      <c r="U144" s="162">
        <f t="shared" si="57"/>
        <v>0</v>
      </c>
      <c r="V144" s="162">
        <f t="shared" si="58"/>
        <v>0</v>
      </c>
      <c r="W144" s="162">
        <f t="shared" si="59"/>
        <v>0</v>
      </c>
      <c r="X144" s="162">
        <f t="shared" si="60"/>
        <v>0</v>
      </c>
      <c r="Y144" s="162">
        <f t="shared" si="61"/>
        <v>0</v>
      </c>
      <c r="Z144" s="147">
        <f t="shared" si="62"/>
        <v>0</v>
      </c>
    </row>
    <row r="145" spans="1:26" ht="12.75">
      <c r="A145" s="88" t="s">
        <v>833</v>
      </c>
      <c r="B145" s="30">
        <v>0</v>
      </c>
      <c r="C145" s="78"/>
      <c r="D145" s="111" t="e">
        <f t="shared" si="52"/>
        <v>#DIV/0!</v>
      </c>
      <c r="E145" s="30">
        <f t="shared" si="84"/>
        <v>0</v>
      </c>
      <c r="F145" s="104"/>
      <c r="G145" s="270" t="e">
        <f t="shared" si="83"/>
        <v>#DIV/0!</v>
      </c>
      <c r="H145" s="267">
        <v>86873</v>
      </c>
      <c r="I145" s="111" t="e">
        <f t="shared" si="75"/>
        <v>#DIV/0!</v>
      </c>
      <c r="J145" s="30">
        <f t="shared" si="76"/>
        <v>250000</v>
      </c>
      <c r="K145" s="153">
        <v>87000</v>
      </c>
      <c r="L145" s="142">
        <f t="shared" si="77"/>
        <v>-1</v>
      </c>
      <c r="M145" s="143">
        <f t="shared" si="78"/>
        <v>-250000</v>
      </c>
      <c r="N145" s="179">
        <v>0</v>
      </c>
      <c r="O145" s="146" t="e">
        <f t="shared" si="53"/>
        <v>#DIV/0!</v>
      </c>
      <c r="P145" s="146">
        <v>0.08</v>
      </c>
      <c r="R145" s="162">
        <f t="shared" si="69"/>
        <v>0</v>
      </c>
      <c r="S145" s="162">
        <f t="shared" si="55"/>
        <v>0</v>
      </c>
      <c r="T145" s="162">
        <f t="shared" si="56"/>
        <v>0</v>
      </c>
      <c r="U145" s="162">
        <f t="shared" si="57"/>
        <v>0</v>
      </c>
      <c r="V145" s="162">
        <f t="shared" si="58"/>
        <v>0</v>
      </c>
      <c r="W145" s="162">
        <f t="shared" si="59"/>
        <v>0</v>
      </c>
      <c r="X145" s="162">
        <f t="shared" si="60"/>
        <v>0</v>
      </c>
      <c r="Y145" s="162">
        <f t="shared" si="61"/>
        <v>0</v>
      </c>
      <c r="Z145" s="147">
        <f t="shared" si="62"/>
        <v>0</v>
      </c>
    </row>
    <row r="146" spans="1:26" ht="12.75">
      <c r="A146" s="88" t="s">
        <v>834</v>
      </c>
      <c r="B146" s="30">
        <v>0</v>
      </c>
      <c r="C146" s="78"/>
      <c r="D146" s="111" t="e">
        <f t="shared" si="52"/>
        <v>#DIV/0!</v>
      </c>
      <c r="E146" s="30">
        <f t="shared" si="84"/>
        <v>0</v>
      </c>
      <c r="F146" s="104"/>
      <c r="G146" s="270" t="e">
        <f t="shared" si="83"/>
        <v>#DIV/0!</v>
      </c>
      <c r="H146" s="267">
        <v>236649</v>
      </c>
      <c r="I146" s="111" t="e">
        <f t="shared" si="75"/>
        <v>#DIV/0!</v>
      </c>
      <c r="J146" s="30">
        <f t="shared" si="76"/>
        <v>148340</v>
      </c>
      <c r="K146" s="153">
        <v>250000</v>
      </c>
      <c r="L146" s="142">
        <f t="shared" si="77"/>
        <v>-1</v>
      </c>
      <c r="M146" s="143">
        <f t="shared" si="78"/>
        <v>-148340</v>
      </c>
      <c r="N146" s="179">
        <v>0</v>
      </c>
      <c r="O146" s="146" t="e">
        <f t="shared" si="53"/>
        <v>#DIV/0!</v>
      </c>
      <c r="P146" s="146">
        <v>0.08</v>
      </c>
      <c r="R146" s="162">
        <f t="shared" si="69"/>
        <v>0</v>
      </c>
      <c r="S146" s="162">
        <f t="shared" si="55"/>
        <v>0</v>
      </c>
      <c r="T146" s="162">
        <f t="shared" si="56"/>
        <v>0</v>
      </c>
      <c r="U146" s="162">
        <f t="shared" si="57"/>
        <v>0</v>
      </c>
      <c r="V146" s="162">
        <f t="shared" si="58"/>
        <v>0</v>
      </c>
      <c r="W146" s="162">
        <f t="shared" si="59"/>
        <v>0</v>
      </c>
      <c r="X146" s="162">
        <f t="shared" si="60"/>
        <v>0</v>
      </c>
      <c r="Y146" s="162">
        <f t="shared" si="61"/>
        <v>0</v>
      </c>
      <c r="Z146" s="147">
        <f t="shared" si="62"/>
        <v>0</v>
      </c>
    </row>
    <row r="147" spans="1:26" ht="12.75">
      <c r="A147" s="86" t="s">
        <v>206</v>
      </c>
      <c r="B147" s="30"/>
      <c r="C147" s="78"/>
      <c r="D147" s="111" t="e">
        <f t="shared" si="52"/>
        <v>#DIV/0!</v>
      </c>
      <c r="E147" s="30">
        <f t="shared" si="84"/>
        <v>0</v>
      </c>
      <c r="F147" s="104"/>
      <c r="G147" s="270" t="e">
        <f t="shared" si="83"/>
        <v>#DIV/0!</v>
      </c>
      <c r="H147" s="267">
        <v>144321</v>
      </c>
      <c r="I147" s="111" t="e">
        <f t="shared" si="75"/>
        <v>#DIV/0!</v>
      </c>
      <c r="J147" s="30">
        <f t="shared" si="76"/>
        <v>116840</v>
      </c>
      <c r="K147" s="167">
        <f>SUM(K148:K151)</f>
        <v>148340</v>
      </c>
      <c r="L147" s="142">
        <f t="shared" si="77"/>
        <v>2.5090722355357755</v>
      </c>
      <c r="M147" s="143">
        <f t="shared" si="78"/>
        <v>293160</v>
      </c>
      <c r="N147" s="167">
        <f>SUM(N148:N151)</f>
        <v>410000</v>
      </c>
      <c r="O147" s="146" t="e">
        <f t="shared" si="53"/>
        <v>#DIV/0!</v>
      </c>
      <c r="P147" s="146"/>
      <c r="R147" s="167">
        <f aca="true" t="shared" si="85" ref="R147:Z147">SUM(R148:R151)</f>
        <v>459200</v>
      </c>
      <c r="S147" s="167">
        <f t="shared" si="85"/>
        <v>514304</v>
      </c>
      <c r="T147" s="167">
        <f t="shared" si="85"/>
        <v>576020.48</v>
      </c>
      <c r="U147" s="167">
        <f t="shared" si="85"/>
        <v>645142.9376</v>
      </c>
      <c r="V147" s="167">
        <f t="shared" si="85"/>
        <v>722560.090112</v>
      </c>
      <c r="W147" s="167">
        <f t="shared" si="85"/>
        <v>809267.3009254399</v>
      </c>
      <c r="X147" s="167">
        <f t="shared" si="85"/>
        <v>906379.3770364927</v>
      </c>
      <c r="Y147" s="167">
        <f t="shared" si="85"/>
        <v>1015144.9022808718</v>
      </c>
      <c r="Z147" s="167">
        <f t="shared" si="85"/>
        <v>1136962.2905545766</v>
      </c>
    </row>
    <row r="148" spans="1:26" ht="12.75">
      <c r="A148" s="81" t="s">
        <v>835</v>
      </c>
      <c r="B148" s="30"/>
      <c r="C148" s="78"/>
      <c r="D148" s="111" t="e">
        <f t="shared" si="52"/>
        <v>#DIV/0!</v>
      </c>
      <c r="E148" s="30">
        <f t="shared" si="84"/>
        <v>0</v>
      </c>
      <c r="F148" s="104"/>
      <c r="G148" s="270" t="e">
        <f t="shared" si="83"/>
        <v>#DIV/0!</v>
      </c>
      <c r="H148" s="267">
        <v>115480</v>
      </c>
      <c r="I148" s="111" t="e">
        <f t="shared" si="75"/>
        <v>#DIV/0!</v>
      </c>
      <c r="J148" s="30">
        <f t="shared" si="76"/>
        <v>0</v>
      </c>
      <c r="K148" s="153">
        <v>116840</v>
      </c>
      <c r="L148" s="142" t="e">
        <f t="shared" si="77"/>
        <v>#DIV/0!</v>
      </c>
      <c r="M148" s="143">
        <f t="shared" si="78"/>
        <v>250000</v>
      </c>
      <c r="N148" s="179">
        <v>250000</v>
      </c>
      <c r="O148" s="146" t="e">
        <f t="shared" si="53"/>
        <v>#DIV/0!</v>
      </c>
      <c r="P148" s="146">
        <v>0.12</v>
      </c>
      <c r="R148" s="162">
        <f t="shared" si="69"/>
        <v>280000</v>
      </c>
      <c r="S148" s="162">
        <f t="shared" si="55"/>
        <v>313600</v>
      </c>
      <c r="T148" s="162">
        <f t="shared" si="56"/>
        <v>351232</v>
      </c>
      <c r="U148" s="162">
        <f t="shared" si="57"/>
        <v>393379.83999999997</v>
      </c>
      <c r="V148" s="162">
        <f t="shared" si="58"/>
        <v>440585.42079999996</v>
      </c>
      <c r="W148" s="162">
        <f t="shared" si="59"/>
        <v>493455.67129599996</v>
      </c>
      <c r="X148" s="162">
        <f t="shared" si="60"/>
        <v>552670.3518515199</v>
      </c>
      <c r="Y148" s="162">
        <f t="shared" si="61"/>
        <v>618990.7940737023</v>
      </c>
      <c r="Z148" s="147">
        <f t="shared" si="62"/>
        <v>693269.6893625465</v>
      </c>
    </row>
    <row r="149" spans="1:26" ht="12.75">
      <c r="A149" s="81" t="s">
        <v>836</v>
      </c>
      <c r="B149" s="30"/>
      <c r="C149" s="78"/>
      <c r="D149" s="111" t="e">
        <f t="shared" si="52"/>
        <v>#DIV/0!</v>
      </c>
      <c r="E149" s="30">
        <f t="shared" si="84"/>
        <v>0</v>
      </c>
      <c r="F149" s="104"/>
      <c r="G149" s="270" t="e">
        <f t="shared" si="83"/>
        <v>#DIV/0!</v>
      </c>
      <c r="H149" s="267">
        <v>0</v>
      </c>
      <c r="I149" s="111" t="e">
        <f t="shared" si="75"/>
        <v>#DIV/0!</v>
      </c>
      <c r="J149" s="30">
        <f t="shared" si="76"/>
        <v>0</v>
      </c>
      <c r="K149" s="153">
        <v>0</v>
      </c>
      <c r="L149" s="142" t="e">
        <f t="shared" si="77"/>
        <v>#DIV/0!</v>
      </c>
      <c r="M149" s="143">
        <f t="shared" si="78"/>
        <v>0</v>
      </c>
      <c r="N149" s="179">
        <v>0</v>
      </c>
      <c r="O149" s="146" t="e">
        <f t="shared" si="53"/>
        <v>#DIV/0!</v>
      </c>
      <c r="P149" s="146">
        <v>0.12</v>
      </c>
      <c r="R149" s="162">
        <f t="shared" si="69"/>
        <v>0</v>
      </c>
      <c r="S149" s="162">
        <f t="shared" si="55"/>
        <v>0</v>
      </c>
      <c r="T149" s="162">
        <f t="shared" si="56"/>
        <v>0</v>
      </c>
      <c r="U149" s="162">
        <f t="shared" si="57"/>
        <v>0</v>
      </c>
      <c r="V149" s="162">
        <f t="shared" si="58"/>
        <v>0</v>
      </c>
      <c r="W149" s="162">
        <f t="shared" si="59"/>
        <v>0</v>
      </c>
      <c r="X149" s="162">
        <f t="shared" si="60"/>
        <v>0</v>
      </c>
      <c r="Y149" s="162">
        <f t="shared" si="61"/>
        <v>0</v>
      </c>
      <c r="Z149" s="147">
        <f t="shared" si="62"/>
        <v>0</v>
      </c>
    </row>
    <row r="150" spans="1:26" ht="12.75">
      <c r="A150" s="149" t="s">
        <v>1111</v>
      </c>
      <c r="B150" s="30"/>
      <c r="C150" s="78"/>
      <c r="D150" s="111" t="e">
        <f aca="true" t="shared" si="86" ref="D150:D216">F150/B150-1</f>
        <v>#DIV/0!</v>
      </c>
      <c r="E150" s="30">
        <f t="shared" si="84"/>
        <v>0</v>
      </c>
      <c r="F150" s="104"/>
      <c r="G150" s="270" t="e">
        <f t="shared" si="83"/>
        <v>#DIV/0!</v>
      </c>
      <c r="H150" s="267">
        <v>0</v>
      </c>
      <c r="I150" s="111" t="e">
        <f t="shared" si="75"/>
        <v>#DIV/0!</v>
      </c>
      <c r="J150" s="30">
        <f t="shared" si="76"/>
        <v>31500</v>
      </c>
      <c r="K150" s="153">
        <v>0</v>
      </c>
      <c r="L150" s="142">
        <f t="shared" si="77"/>
        <v>0.9047619047619047</v>
      </c>
      <c r="M150" s="143">
        <f t="shared" si="78"/>
        <v>28500</v>
      </c>
      <c r="N150" s="179">
        <v>60000</v>
      </c>
      <c r="O150" s="146" t="e">
        <f aca="true" t="shared" si="87" ref="O150:O216">(D150+I150+L150)/3</f>
        <v>#DIV/0!</v>
      </c>
      <c r="P150" s="146">
        <v>0.12</v>
      </c>
      <c r="R150" s="162">
        <f t="shared" si="69"/>
        <v>67200</v>
      </c>
      <c r="S150" s="162">
        <f aca="true" t="shared" si="88" ref="S150:S213">(R150*P150)+R150</f>
        <v>75264</v>
      </c>
      <c r="T150" s="162">
        <f aca="true" t="shared" si="89" ref="T150:T196">(S150*P150)+S150</f>
        <v>84295.68</v>
      </c>
      <c r="U150" s="162">
        <f aca="true" t="shared" si="90" ref="U150:U196">(T150*P150)+T150</f>
        <v>94411.16159999999</v>
      </c>
      <c r="V150" s="162">
        <f aca="true" t="shared" si="91" ref="V150:V196">(U150*P150)+U150</f>
        <v>105740.50099199999</v>
      </c>
      <c r="W150" s="162">
        <f aca="true" t="shared" si="92" ref="W150:W196">(V150*P150)+V150</f>
        <v>118429.36111103998</v>
      </c>
      <c r="X150" s="162">
        <f aca="true" t="shared" si="93" ref="X150:X213">(W150*P150)+W150</f>
        <v>132640.88444436478</v>
      </c>
      <c r="Y150" s="162">
        <f aca="true" t="shared" si="94" ref="Y150:Y213">(X150*P150)+X150</f>
        <v>148557.79057768855</v>
      </c>
      <c r="Z150" s="147">
        <f aca="true" t="shared" si="95" ref="Z150:Z213">(Y150*P150)+Y150</f>
        <v>166384.72544701118</v>
      </c>
    </row>
    <row r="151" spans="1:26" ht="12.75">
      <c r="A151" s="81" t="s">
        <v>837</v>
      </c>
      <c r="B151" s="30"/>
      <c r="C151" s="78"/>
      <c r="D151" s="111" t="e">
        <f t="shared" si="86"/>
        <v>#DIV/0!</v>
      </c>
      <c r="E151" s="30">
        <f t="shared" si="84"/>
        <v>0</v>
      </c>
      <c r="F151" s="104"/>
      <c r="G151" s="270" t="e">
        <f t="shared" si="83"/>
        <v>#DIV/0!</v>
      </c>
      <c r="H151" s="267">
        <v>28841</v>
      </c>
      <c r="I151" s="111" t="e">
        <f t="shared" si="75"/>
        <v>#DIV/0!</v>
      </c>
      <c r="J151" s="30">
        <f t="shared" si="76"/>
        <v>113924</v>
      </c>
      <c r="K151" s="153">
        <v>31500</v>
      </c>
      <c r="L151" s="142">
        <f t="shared" si="77"/>
        <v>-0.12222183209859205</v>
      </c>
      <c r="M151" s="143">
        <f t="shared" si="78"/>
        <v>-13924</v>
      </c>
      <c r="N151" s="179">
        <v>100000</v>
      </c>
      <c r="O151" s="146" t="e">
        <f t="shared" si="87"/>
        <v>#DIV/0!</v>
      </c>
      <c r="P151" s="146">
        <v>0.12</v>
      </c>
      <c r="R151" s="162">
        <f t="shared" si="69"/>
        <v>112000</v>
      </c>
      <c r="S151" s="162">
        <f t="shared" si="88"/>
        <v>125440</v>
      </c>
      <c r="T151" s="162">
        <f t="shared" si="89"/>
        <v>140492.8</v>
      </c>
      <c r="U151" s="162">
        <f t="shared" si="90"/>
        <v>157351.936</v>
      </c>
      <c r="V151" s="162">
        <f t="shared" si="91"/>
        <v>176234.16832</v>
      </c>
      <c r="W151" s="162">
        <f t="shared" si="92"/>
        <v>197382.2685184</v>
      </c>
      <c r="X151" s="162">
        <f t="shared" si="93"/>
        <v>221068.140740608</v>
      </c>
      <c r="Y151" s="162">
        <f t="shared" si="94"/>
        <v>247596.31762948097</v>
      </c>
      <c r="Z151" s="147">
        <f t="shared" si="95"/>
        <v>277307.8757450187</v>
      </c>
    </row>
    <row r="152" spans="1:26" ht="12.75">
      <c r="A152" s="86" t="s">
        <v>838</v>
      </c>
      <c r="B152" s="30"/>
      <c r="C152" s="78"/>
      <c r="D152" s="111" t="e">
        <f t="shared" si="86"/>
        <v>#DIV/0!</v>
      </c>
      <c r="E152" s="30">
        <f t="shared" si="84"/>
        <v>0</v>
      </c>
      <c r="F152" s="104"/>
      <c r="G152" s="270" t="e">
        <f t="shared" si="83"/>
        <v>#DIV/0!</v>
      </c>
      <c r="H152" s="79"/>
      <c r="I152" s="111" t="e">
        <f t="shared" si="75"/>
        <v>#DIV/0!</v>
      </c>
      <c r="J152" s="30">
        <f t="shared" si="76"/>
        <v>0</v>
      </c>
      <c r="K152" s="167">
        <f>SUM(K153:K159)</f>
        <v>113924</v>
      </c>
      <c r="L152" s="142" t="e">
        <f t="shared" si="77"/>
        <v>#DIV/0!</v>
      </c>
      <c r="M152" s="143">
        <f t="shared" si="78"/>
        <v>130000</v>
      </c>
      <c r="N152" s="167">
        <f>SUM(N153:N159)</f>
        <v>130000</v>
      </c>
      <c r="O152" s="146" t="e">
        <f t="shared" si="87"/>
        <v>#DIV/0!</v>
      </c>
      <c r="P152" s="146"/>
      <c r="R152" s="167">
        <f aca="true" t="shared" si="96" ref="R152:Z152">SUM(R153:R159)</f>
        <v>136500</v>
      </c>
      <c r="S152" s="167">
        <f t="shared" si="96"/>
        <v>143325</v>
      </c>
      <c r="T152" s="167">
        <f t="shared" si="96"/>
        <v>150491.25</v>
      </c>
      <c r="U152" s="167">
        <f t="shared" si="96"/>
        <v>158015.8125</v>
      </c>
      <c r="V152" s="167">
        <f t="shared" si="96"/>
        <v>165916.603125</v>
      </c>
      <c r="W152" s="167">
        <f t="shared" si="96"/>
        <v>174212.43328125</v>
      </c>
      <c r="X152" s="167">
        <f t="shared" si="96"/>
        <v>182923.0549453125</v>
      </c>
      <c r="Y152" s="167">
        <f t="shared" si="96"/>
        <v>192069.20769257814</v>
      </c>
      <c r="Z152" s="167">
        <f t="shared" si="96"/>
        <v>201672.66807720705</v>
      </c>
    </row>
    <row r="153" spans="1:26" ht="12.75">
      <c r="A153" s="81" t="s">
        <v>839</v>
      </c>
      <c r="B153" s="30"/>
      <c r="C153" s="78"/>
      <c r="D153" s="111" t="e">
        <f t="shared" si="86"/>
        <v>#DIV/0!</v>
      </c>
      <c r="E153" s="30">
        <f t="shared" si="84"/>
        <v>0</v>
      </c>
      <c r="F153" s="104"/>
      <c r="G153" s="270" t="e">
        <f t="shared" si="83"/>
        <v>#DIV/0!</v>
      </c>
      <c r="H153" s="79"/>
      <c r="I153" s="111" t="e">
        <f t="shared" si="75"/>
        <v>#DIV/0!</v>
      </c>
      <c r="J153" s="30">
        <f t="shared" si="76"/>
        <v>0</v>
      </c>
      <c r="K153" s="153">
        <v>0</v>
      </c>
      <c r="L153" s="142" t="e">
        <f t="shared" si="77"/>
        <v>#DIV/0!</v>
      </c>
      <c r="M153" s="143">
        <f t="shared" si="78"/>
        <v>0</v>
      </c>
      <c r="N153" s="179"/>
      <c r="O153" s="146" t="e">
        <f t="shared" si="87"/>
        <v>#DIV/0!</v>
      </c>
      <c r="P153" s="146">
        <v>0.05</v>
      </c>
      <c r="R153" s="162">
        <f t="shared" si="69"/>
        <v>0</v>
      </c>
      <c r="S153" s="162">
        <f t="shared" si="88"/>
        <v>0</v>
      </c>
      <c r="T153" s="162">
        <f t="shared" si="89"/>
        <v>0</v>
      </c>
      <c r="U153" s="162">
        <f t="shared" si="90"/>
        <v>0</v>
      </c>
      <c r="V153" s="162">
        <f t="shared" si="91"/>
        <v>0</v>
      </c>
      <c r="W153" s="162">
        <f t="shared" si="92"/>
        <v>0</v>
      </c>
      <c r="X153" s="162">
        <f t="shared" si="93"/>
        <v>0</v>
      </c>
      <c r="Y153" s="162">
        <f t="shared" si="94"/>
        <v>0</v>
      </c>
      <c r="Z153" s="147">
        <f t="shared" si="95"/>
        <v>0</v>
      </c>
    </row>
    <row r="154" spans="1:26" ht="12.75">
      <c r="A154" s="81" t="s">
        <v>840</v>
      </c>
      <c r="B154" s="30"/>
      <c r="C154" s="78"/>
      <c r="D154" s="111" t="e">
        <f t="shared" si="86"/>
        <v>#DIV/0!</v>
      </c>
      <c r="E154" s="30">
        <f t="shared" si="84"/>
        <v>0</v>
      </c>
      <c r="F154" s="104"/>
      <c r="G154" s="270" t="e">
        <f t="shared" si="83"/>
        <v>#DIV/0!</v>
      </c>
      <c r="H154" s="79"/>
      <c r="I154" s="111" t="e">
        <f t="shared" si="75"/>
        <v>#DIV/0!</v>
      </c>
      <c r="J154" s="30">
        <f t="shared" si="76"/>
        <v>4666</v>
      </c>
      <c r="K154" s="153">
        <v>0</v>
      </c>
      <c r="L154" s="142">
        <f t="shared" si="77"/>
        <v>-1</v>
      </c>
      <c r="M154" s="143">
        <f t="shared" si="78"/>
        <v>-4666</v>
      </c>
      <c r="N154" s="179"/>
      <c r="O154" s="146" t="e">
        <f t="shared" si="87"/>
        <v>#DIV/0!</v>
      </c>
      <c r="P154" s="146">
        <v>0.05</v>
      </c>
      <c r="R154" s="162">
        <f t="shared" si="69"/>
        <v>0</v>
      </c>
      <c r="S154" s="162">
        <f t="shared" si="88"/>
        <v>0</v>
      </c>
      <c r="T154" s="162">
        <f t="shared" si="89"/>
        <v>0</v>
      </c>
      <c r="U154" s="162">
        <f t="shared" si="90"/>
        <v>0</v>
      </c>
      <c r="V154" s="162">
        <f t="shared" si="91"/>
        <v>0</v>
      </c>
      <c r="W154" s="162">
        <f t="shared" si="92"/>
        <v>0</v>
      </c>
      <c r="X154" s="162">
        <f t="shared" si="93"/>
        <v>0</v>
      </c>
      <c r="Y154" s="162">
        <f t="shared" si="94"/>
        <v>0</v>
      </c>
      <c r="Z154" s="147">
        <f t="shared" si="95"/>
        <v>0</v>
      </c>
    </row>
    <row r="155" spans="1:26" ht="12.75">
      <c r="A155" s="81" t="s">
        <v>841</v>
      </c>
      <c r="B155" s="30"/>
      <c r="C155" s="78"/>
      <c r="D155" s="111" t="e">
        <f t="shared" si="86"/>
        <v>#DIV/0!</v>
      </c>
      <c r="E155" s="30">
        <f t="shared" si="84"/>
        <v>0</v>
      </c>
      <c r="F155" s="104"/>
      <c r="G155" s="270" t="e">
        <f t="shared" si="83"/>
        <v>#DIV/0!</v>
      </c>
      <c r="H155" s="79"/>
      <c r="I155" s="111" t="e">
        <f t="shared" si="75"/>
        <v>#DIV/0!</v>
      </c>
      <c r="J155" s="30">
        <f t="shared" si="76"/>
        <v>0</v>
      </c>
      <c r="K155" s="153">
        <v>4666</v>
      </c>
      <c r="L155" s="142" t="e">
        <f t="shared" si="77"/>
        <v>#DIV/0!</v>
      </c>
      <c r="M155" s="143">
        <f t="shared" si="78"/>
        <v>0</v>
      </c>
      <c r="N155" s="179"/>
      <c r="O155" s="146" t="e">
        <f t="shared" si="87"/>
        <v>#DIV/0!</v>
      </c>
      <c r="P155" s="146">
        <v>0.05</v>
      </c>
      <c r="R155" s="162">
        <f t="shared" si="69"/>
        <v>0</v>
      </c>
      <c r="S155" s="162">
        <f t="shared" si="88"/>
        <v>0</v>
      </c>
      <c r="T155" s="162">
        <f t="shared" si="89"/>
        <v>0</v>
      </c>
      <c r="U155" s="162">
        <f t="shared" si="90"/>
        <v>0</v>
      </c>
      <c r="V155" s="162">
        <f t="shared" si="91"/>
        <v>0</v>
      </c>
      <c r="W155" s="162">
        <f t="shared" si="92"/>
        <v>0</v>
      </c>
      <c r="X155" s="162">
        <f t="shared" si="93"/>
        <v>0</v>
      </c>
      <c r="Y155" s="162">
        <f t="shared" si="94"/>
        <v>0</v>
      </c>
      <c r="Z155" s="147">
        <f t="shared" si="95"/>
        <v>0</v>
      </c>
    </row>
    <row r="156" spans="1:26" ht="12.75">
      <c r="A156" s="81" t="s">
        <v>842</v>
      </c>
      <c r="B156" s="30"/>
      <c r="C156" s="78"/>
      <c r="D156" s="111" t="e">
        <f t="shared" si="86"/>
        <v>#DIV/0!</v>
      </c>
      <c r="E156" s="30">
        <f t="shared" si="84"/>
        <v>0</v>
      </c>
      <c r="F156" s="104"/>
      <c r="G156" s="270" t="e">
        <f t="shared" si="83"/>
        <v>#DIV/0!</v>
      </c>
      <c r="H156" s="79"/>
      <c r="I156" s="111" t="e">
        <f t="shared" si="75"/>
        <v>#DIV/0!</v>
      </c>
      <c r="J156" s="30">
        <f t="shared" si="76"/>
        <v>109258</v>
      </c>
      <c r="K156" s="153">
        <v>0</v>
      </c>
      <c r="L156" s="142">
        <f t="shared" si="77"/>
        <v>-1</v>
      </c>
      <c r="M156" s="143">
        <f t="shared" si="78"/>
        <v>-109258</v>
      </c>
      <c r="N156" s="179"/>
      <c r="O156" s="146" t="e">
        <f t="shared" si="87"/>
        <v>#DIV/0!</v>
      </c>
      <c r="P156" s="146">
        <v>0.05</v>
      </c>
      <c r="R156" s="162">
        <f t="shared" si="69"/>
        <v>0</v>
      </c>
      <c r="S156" s="162">
        <f t="shared" si="88"/>
        <v>0</v>
      </c>
      <c r="T156" s="162">
        <f t="shared" si="89"/>
        <v>0</v>
      </c>
      <c r="U156" s="162">
        <f t="shared" si="90"/>
        <v>0</v>
      </c>
      <c r="V156" s="162">
        <f t="shared" si="91"/>
        <v>0</v>
      </c>
      <c r="W156" s="162">
        <f t="shared" si="92"/>
        <v>0</v>
      </c>
      <c r="X156" s="162">
        <f t="shared" si="93"/>
        <v>0</v>
      </c>
      <c r="Y156" s="162">
        <f t="shared" si="94"/>
        <v>0</v>
      </c>
      <c r="Z156" s="147">
        <f t="shared" si="95"/>
        <v>0</v>
      </c>
    </row>
    <row r="157" spans="1:26" ht="12.75">
      <c r="A157" s="81" t="s">
        <v>843</v>
      </c>
      <c r="B157" s="30"/>
      <c r="C157" s="78"/>
      <c r="D157" s="111" t="e">
        <f t="shared" si="86"/>
        <v>#DIV/0!</v>
      </c>
      <c r="E157" s="30">
        <f t="shared" si="84"/>
        <v>0</v>
      </c>
      <c r="F157" s="104"/>
      <c r="G157" s="270" t="e">
        <f t="shared" si="83"/>
        <v>#DIV/0!</v>
      </c>
      <c r="H157" s="79"/>
      <c r="I157" s="111" t="e">
        <f>K160/F157-1</f>
        <v>#DIV/0!</v>
      </c>
      <c r="J157" s="30">
        <f>K160-F157</f>
        <v>0</v>
      </c>
      <c r="K157" s="153">
        <v>109258</v>
      </c>
      <c r="L157" s="142" t="e">
        <f>N157/K160-1</f>
        <v>#DIV/0!</v>
      </c>
      <c r="M157" s="143">
        <f>N157-K160</f>
        <v>0</v>
      </c>
      <c r="N157" s="179"/>
      <c r="O157" s="146" t="e">
        <f t="shared" si="87"/>
        <v>#DIV/0!</v>
      </c>
      <c r="P157" s="146">
        <v>0.05</v>
      </c>
      <c r="R157" s="162">
        <f t="shared" si="69"/>
        <v>0</v>
      </c>
      <c r="S157" s="162">
        <f t="shared" si="88"/>
        <v>0</v>
      </c>
      <c r="T157" s="162">
        <f t="shared" si="89"/>
        <v>0</v>
      </c>
      <c r="U157" s="162">
        <f t="shared" si="90"/>
        <v>0</v>
      </c>
      <c r="V157" s="162">
        <f t="shared" si="91"/>
        <v>0</v>
      </c>
      <c r="W157" s="162">
        <f t="shared" si="92"/>
        <v>0</v>
      </c>
      <c r="X157" s="162">
        <f t="shared" si="93"/>
        <v>0</v>
      </c>
      <c r="Y157" s="162">
        <f t="shared" si="94"/>
        <v>0</v>
      </c>
      <c r="Z157" s="147">
        <f t="shared" si="95"/>
        <v>0</v>
      </c>
    </row>
    <row r="158" spans="1:26" ht="12.75">
      <c r="A158" s="148" t="s">
        <v>1114</v>
      </c>
      <c r="B158" s="30"/>
      <c r="C158" s="78"/>
      <c r="D158" s="111"/>
      <c r="E158" s="30"/>
      <c r="F158" s="104"/>
      <c r="G158" s="270" t="e">
        <f t="shared" si="83"/>
        <v>#DIV/0!</v>
      </c>
      <c r="H158" s="79"/>
      <c r="I158" s="111"/>
      <c r="J158" s="30"/>
      <c r="L158" s="142"/>
      <c r="M158" s="143"/>
      <c r="N158" s="179">
        <v>80000</v>
      </c>
      <c r="O158" s="146"/>
      <c r="P158" s="146">
        <v>0.05</v>
      </c>
      <c r="R158" s="162">
        <f t="shared" si="69"/>
        <v>84000</v>
      </c>
      <c r="S158" s="162">
        <f t="shared" si="88"/>
        <v>88200</v>
      </c>
      <c r="T158" s="162">
        <f t="shared" si="89"/>
        <v>92610</v>
      </c>
      <c r="U158" s="162">
        <f t="shared" si="90"/>
        <v>97240.5</v>
      </c>
      <c r="V158" s="162">
        <f t="shared" si="91"/>
        <v>102102.525</v>
      </c>
      <c r="W158" s="162">
        <f t="shared" si="92"/>
        <v>107207.65125</v>
      </c>
      <c r="X158" s="162">
        <f t="shared" si="93"/>
        <v>112568.0338125</v>
      </c>
      <c r="Y158" s="162">
        <f t="shared" si="94"/>
        <v>118196.435503125</v>
      </c>
      <c r="Z158" s="147">
        <f t="shared" si="95"/>
        <v>124106.25727828125</v>
      </c>
    </row>
    <row r="159" spans="1:26" ht="12.75">
      <c r="A159" s="149" t="s">
        <v>1113</v>
      </c>
      <c r="B159" s="30"/>
      <c r="C159" s="78"/>
      <c r="D159" s="111"/>
      <c r="E159" s="30"/>
      <c r="F159" s="104"/>
      <c r="G159" s="270" t="e">
        <f t="shared" si="83"/>
        <v>#DIV/0!</v>
      </c>
      <c r="H159" s="79"/>
      <c r="I159" s="111"/>
      <c r="J159" s="30"/>
      <c r="L159" s="142"/>
      <c r="M159" s="143"/>
      <c r="N159" s="179">
        <v>50000</v>
      </c>
      <c r="O159" s="146"/>
      <c r="P159" s="146">
        <v>0.05</v>
      </c>
      <c r="R159" s="162">
        <f t="shared" si="69"/>
        <v>52500</v>
      </c>
      <c r="S159" s="162">
        <f t="shared" si="88"/>
        <v>55125</v>
      </c>
      <c r="T159" s="162">
        <f t="shared" si="89"/>
        <v>57881.25</v>
      </c>
      <c r="U159" s="162">
        <f t="shared" si="90"/>
        <v>60775.3125</v>
      </c>
      <c r="V159" s="162">
        <f t="shared" si="91"/>
        <v>63814.078125</v>
      </c>
      <c r="W159" s="162">
        <f t="shared" si="92"/>
        <v>67004.78203125</v>
      </c>
      <c r="X159" s="162">
        <f t="shared" si="93"/>
        <v>70355.0211328125</v>
      </c>
      <c r="Y159" s="162">
        <f t="shared" si="94"/>
        <v>73872.77218945313</v>
      </c>
      <c r="Z159" s="147">
        <f t="shared" si="95"/>
        <v>77566.41079892579</v>
      </c>
    </row>
    <row r="160" spans="1:26" ht="12.75">
      <c r="A160" s="86" t="s">
        <v>844</v>
      </c>
      <c r="B160" s="98">
        <v>90377</v>
      </c>
      <c r="C160" s="78"/>
      <c r="D160" s="111">
        <f t="shared" si="86"/>
        <v>0.06791550947696878</v>
      </c>
      <c r="E160" s="30">
        <f t="shared" si="84"/>
        <v>6138</v>
      </c>
      <c r="F160" s="84">
        <f>SUM(F161:F162)</f>
        <v>96515</v>
      </c>
      <c r="G160" s="270">
        <f t="shared" si="83"/>
        <v>-1</v>
      </c>
      <c r="H160" s="79"/>
      <c r="I160" s="111">
        <f aca="true" t="shared" si="97" ref="I160:I174">K163/F160-1</f>
        <v>-0.8653059109982905</v>
      </c>
      <c r="J160" s="30">
        <f aca="true" t="shared" si="98" ref="J160:J174">K163-F160</f>
        <v>-83515</v>
      </c>
      <c r="K160" s="84">
        <f>SUM(K161:K162)</f>
        <v>0</v>
      </c>
      <c r="L160" s="142">
        <f aca="true" t="shared" si="99" ref="L160:L174">N160/K163-1</f>
        <v>-1</v>
      </c>
      <c r="M160" s="143">
        <f aca="true" t="shared" si="100" ref="M160:M174">N160-K163</f>
        <v>-13000</v>
      </c>
      <c r="N160" s="167">
        <f>SUM(N161:N162)</f>
        <v>0</v>
      </c>
      <c r="O160" s="146">
        <f t="shared" si="87"/>
        <v>-0.5991301338404406</v>
      </c>
      <c r="P160" s="146"/>
      <c r="R160" s="167">
        <f aca="true" t="shared" si="101" ref="R160:Z160">SUM(R161:R162)</f>
        <v>0</v>
      </c>
      <c r="S160" s="167">
        <f t="shared" si="101"/>
        <v>0</v>
      </c>
      <c r="T160" s="167">
        <f t="shared" si="101"/>
        <v>0</v>
      </c>
      <c r="U160" s="167">
        <f t="shared" si="101"/>
        <v>0</v>
      </c>
      <c r="V160" s="167">
        <f t="shared" si="101"/>
        <v>0</v>
      </c>
      <c r="W160" s="167">
        <f t="shared" si="101"/>
        <v>0</v>
      </c>
      <c r="X160" s="167">
        <f t="shared" si="101"/>
        <v>0</v>
      </c>
      <c r="Y160" s="167">
        <f t="shared" si="101"/>
        <v>0</v>
      </c>
      <c r="Z160" s="167">
        <f t="shared" si="101"/>
        <v>0</v>
      </c>
    </row>
    <row r="161" spans="1:26" ht="12.75">
      <c r="A161" s="81" t="s">
        <v>845</v>
      </c>
      <c r="B161" s="30">
        <v>0</v>
      </c>
      <c r="C161" s="78"/>
      <c r="D161" s="111" t="e">
        <f t="shared" si="86"/>
        <v>#DIV/0!</v>
      </c>
      <c r="E161" s="30">
        <f t="shared" si="84"/>
        <v>96515</v>
      </c>
      <c r="F161" s="104">
        <v>96515</v>
      </c>
      <c r="G161" s="270">
        <f t="shared" si="83"/>
        <v>-1</v>
      </c>
      <c r="H161" s="79"/>
      <c r="I161" s="111">
        <f t="shared" si="97"/>
        <v>-1</v>
      </c>
      <c r="J161" s="30">
        <f t="shared" si="98"/>
        <v>-96515</v>
      </c>
      <c r="K161" s="153">
        <v>0</v>
      </c>
      <c r="L161" s="142" t="e">
        <f t="shared" si="99"/>
        <v>#DIV/0!</v>
      </c>
      <c r="M161" s="143">
        <f t="shared" si="100"/>
        <v>0</v>
      </c>
      <c r="N161" s="147"/>
      <c r="O161" s="146" t="e">
        <f t="shared" si="87"/>
        <v>#DIV/0!</v>
      </c>
      <c r="P161" s="146">
        <v>0</v>
      </c>
      <c r="R161" s="147">
        <f t="shared" si="69"/>
        <v>0</v>
      </c>
      <c r="S161" s="147">
        <f t="shared" si="88"/>
        <v>0</v>
      </c>
      <c r="T161" s="147">
        <f t="shared" si="89"/>
        <v>0</v>
      </c>
      <c r="U161" s="147">
        <f t="shared" si="90"/>
        <v>0</v>
      </c>
      <c r="V161" s="147">
        <f t="shared" si="91"/>
        <v>0</v>
      </c>
      <c r="W161" s="147">
        <f t="shared" si="92"/>
        <v>0</v>
      </c>
      <c r="X161" s="147">
        <f t="shared" si="93"/>
        <v>0</v>
      </c>
      <c r="Y161" s="147">
        <f t="shared" si="94"/>
        <v>0</v>
      </c>
      <c r="Z161" s="147">
        <f t="shared" si="95"/>
        <v>0</v>
      </c>
    </row>
    <row r="162" spans="1:26" ht="12.75">
      <c r="A162" s="81" t="s">
        <v>846</v>
      </c>
      <c r="B162" s="30">
        <v>0</v>
      </c>
      <c r="C162" s="78"/>
      <c r="D162" s="111" t="e">
        <f t="shared" si="86"/>
        <v>#DIV/0!</v>
      </c>
      <c r="E162" s="30">
        <f t="shared" si="84"/>
        <v>0</v>
      </c>
      <c r="F162" s="104"/>
      <c r="G162" s="270" t="e">
        <f t="shared" si="83"/>
        <v>#DIV/0!</v>
      </c>
      <c r="H162" s="79"/>
      <c r="I162" s="111" t="e">
        <f t="shared" si="97"/>
        <v>#DIV/0!</v>
      </c>
      <c r="J162" s="30">
        <f t="shared" si="98"/>
        <v>0</v>
      </c>
      <c r="K162" s="153">
        <v>0</v>
      </c>
      <c r="L162" s="142" t="e">
        <f t="shared" si="99"/>
        <v>#DIV/0!</v>
      </c>
      <c r="M162" s="143">
        <f t="shared" si="100"/>
        <v>0</v>
      </c>
      <c r="N162" s="147"/>
      <c r="O162" s="146" t="e">
        <f t="shared" si="87"/>
        <v>#DIV/0!</v>
      </c>
      <c r="P162" s="146">
        <v>0</v>
      </c>
      <c r="R162" s="147">
        <f t="shared" si="69"/>
        <v>0</v>
      </c>
      <c r="S162" s="147">
        <f t="shared" si="88"/>
        <v>0</v>
      </c>
      <c r="T162" s="147">
        <f t="shared" si="89"/>
        <v>0</v>
      </c>
      <c r="U162" s="147">
        <f t="shared" si="90"/>
        <v>0</v>
      </c>
      <c r="V162" s="147">
        <f t="shared" si="91"/>
        <v>0</v>
      </c>
      <c r="W162" s="147">
        <f t="shared" si="92"/>
        <v>0</v>
      </c>
      <c r="X162" s="147">
        <f t="shared" si="93"/>
        <v>0</v>
      </c>
      <c r="Y162" s="147">
        <f t="shared" si="94"/>
        <v>0</v>
      </c>
      <c r="Z162" s="147">
        <f t="shared" si="95"/>
        <v>0</v>
      </c>
    </row>
    <row r="163" spans="1:26" ht="12.75">
      <c r="A163" s="86" t="s">
        <v>1123</v>
      </c>
      <c r="B163" s="30">
        <v>0</v>
      </c>
      <c r="C163" s="78"/>
      <c r="D163" s="111" t="e">
        <f t="shared" si="86"/>
        <v>#DIV/0!</v>
      </c>
      <c r="E163" s="30">
        <f t="shared" si="84"/>
        <v>0</v>
      </c>
      <c r="F163" s="104"/>
      <c r="G163" s="270" t="e">
        <f t="shared" si="83"/>
        <v>#DIV/0!</v>
      </c>
      <c r="H163" s="79"/>
      <c r="I163" s="111" t="e">
        <f t="shared" si="97"/>
        <v>#DIV/0!</v>
      </c>
      <c r="J163" s="30">
        <f t="shared" si="98"/>
        <v>10000</v>
      </c>
      <c r="K163" s="84">
        <f>SUM(K164:K167)</f>
        <v>13000</v>
      </c>
      <c r="L163" s="142">
        <f t="shared" si="99"/>
        <v>8.5</v>
      </c>
      <c r="M163" s="143">
        <f t="shared" si="100"/>
        <v>85000</v>
      </c>
      <c r="N163" s="167">
        <f>SUM(N164:N167)</f>
        <v>95000</v>
      </c>
      <c r="O163" s="146" t="e">
        <f t="shared" si="87"/>
        <v>#DIV/0!</v>
      </c>
      <c r="P163" s="146"/>
      <c r="R163" s="167">
        <f aca="true" t="shared" si="102" ref="R163:Z163">SUM(R164:R167)</f>
        <v>110200</v>
      </c>
      <c r="S163" s="167">
        <f t="shared" si="102"/>
        <v>127832</v>
      </c>
      <c r="T163" s="167">
        <f t="shared" si="102"/>
        <v>148285.12</v>
      </c>
      <c r="U163" s="167">
        <f t="shared" si="102"/>
        <v>172010.7392</v>
      </c>
      <c r="V163" s="167">
        <f t="shared" si="102"/>
        <v>199532.45747199998</v>
      </c>
      <c r="W163" s="167">
        <f t="shared" si="102"/>
        <v>231457.65066751998</v>
      </c>
      <c r="X163" s="167">
        <f t="shared" si="102"/>
        <v>268490.8747743232</v>
      </c>
      <c r="Y163" s="167">
        <f t="shared" si="102"/>
        <v>311449.41473821487</v>
      </c>
      <c r="Z163" s="167">
        <f t="shared" si="102"/>
        <v>361281.32109632925</v>
      </c>
    </row>
    <row r="164" spans="1:26" ht="12.75">
      <c r="A164" s="81" t="s">
        <v>848</v>
      </c>
      <c r="B164" s="30">
        <v>0</v>
      </c>
      <c r="C164" s="78"/>
      <c r="D164" s="111" t="e">
        <f t="shared" si="86"/>
        <v>#DIV/0!</v>
      </c>
      <c r="E164" s="30">
        <f t="shared" si="84"/>
        <v>0</v>
      </c>
      <c r="F164" s="104"/>
      <c r="G164" s="270" t="e">
        <f t="shared" si="83"/>
        <v>#DIV/0!</v>
      </c>
      <c r="H164" s="79"/>
      <c r="I164" s="111" t="e">
        <f t="shared" si="97"/>
        <v>#DIV/0!</v>
      </c>
      <c r="J164" s="30">
        <f t="shared" si="98"/>
        <v>3000</v>
      </c>
      <c r="K164" s="153">
        <v>0</v>
      </c>
      <c r="L164" s="142">
        <f t="shared" si="99"/>
        <v>-1</v>
      </c>
      <c r="M164" s="143">
        <f t="shared" si="100"/>
        <v>-3000</v>
      </c>
      <c r="N164" s="176"/>
      <c r="O164" s="146" t="e">
        <f t="shared" si="87"/>
        <v>#DIV/0!</v>
      </c>
      <c r="P164" s="146">
        <v>0.16</v>
      </c>
      <c r="R164" s="162">
        <f t="shared" si="69"/>
        <v>0</v>
      </c>
      <c r="S164" s="162">
        <f t="shared" si="88"/>
        <v>0</v>
      </c>
      <c r="T164" s="162">
        <f t="shared" si="89"/>
        <v>0</v>
      </c>
      <c r="U164" s="162">
        <f t="shared" si="90"/>
        <v>0</v>
      </c>
      <c r="V164" s="162">
        <f t="shared" si="91"/>
        <v>0</v>
      </c>
      <c r="W164" s="162">
        <f t="shared" si="92"/>
        <v>0</v>
      </c>
      <c r="X164" s="162">
        <f t="shared" si="93"/>
        <v>0</v>
      </c>
      <c r="Y164" s="162">
        <f t="shared" si="94"/>
        <v>0</v>
      </c>
      <c r="Z164" s="147">
        <f t="shared" si="95"/>
        <v>0</v>
      </c>
    </row>
    <row r="165" spans="1:26" ht="12.75">
      <c r="A165" s="81" t="s">
        <v>849</v>
      </c>
      <c r="B165" s="30">
        <v>0</v>
      </c>
      <c r="C165" s="78"/>
      <c r="D165" s="111" t="e">
        <f t="shared" si="86"/>
        <v>#DIV/0!</v>
      </c>
      <c r="E165" s="30">
        <f t="shared" si="84"/>
        <v>0</v>
      </c>
      <c r="F165" s="104"/>
      <c r="G165" s="270" t="e">
        <f t="shared" si="83"/>
        <v>#DIV/0!</v>
      </c>
      <c r="H165" s="79"/>
      <c r="I165" s="111" t="e">
        <f t="shared" si="97"/>
        <v>#DIV/0!</v>
      </c>
      <c r="J165" s="30">
        <f t="shared" si="98"/>
        <v>284013</v>
      </c>
      <c r="K165" s="153">
        <v>0</v>
      </c>
      <c r="L165" s="142">
        <f t="shared" si="99"/>
        <v>-1</v>
      </c>
      <c r="M165" s="143">
        <f t="shared" si="100"/>
        <v>-284013</v>
      </c>
      <c r="N165" s="176"/>
      <c r="O165" s="146" t="e">
        <f t="shared" si="87"/>
        <v>#DIV/0!</v>
      </c>
      <c r="P165" s="146">
        <v>0.16</v>
      </c>
      <c r="R165" s="162">
        <f t="shared" si="69"/>
        <v>0</v>
      </c>
      <c r="S165" s="162">
        <f t="shared" si="88"/>
        <v>0</v>
      </c>
      <c r="T165" s="162">
        <f t="shared" si="89"/>
        <v>0</v>
      </c>
      <c r="U165" s="162">
        <f t="shared" si="90"/>
        <v>0</v>
      </c>
      <c r="V165" s="162">
        <f t="shared" si="91"/>
        <v>0</v>
      </c>
      <c r="W165" s="162">
        <f t="shared" si="92"/>
        <v>0</v>
      </c>
      <c r="X165" s="162">
        <f t="shared" si="93"/>
        <v>0</v>
      </c>
      <c r="Y165" s="162">
        <f t="shared" si="94"/>
        <v>0</v>
      </c>
      <c r="Z165" s="147">
        <f t="shared" si="95"/>
        <v>0</v>
      </c>
    </row>
    <row r="166" spans="1:26" ht="12.75">
      <c r="A166" s="81" t="s">
        <v>850</v>
      </c>
      <c r="B166" s="30">
        <v>0</v>
      </c>
      <c r="C166" s="78"/>
      <c r="D166" s="111" t="e">
        <f t="shared" si="86"/>
        <v>#DIV/0!</v>
      </c>
      <c r="E166" s="30">
        <f t="shared" si="84"/>
        <v>0</v>
      </c>
      <c r="F166" s="104"/>
      <c r="G166" s="270" t="e">
        <f t="shared" si="83"/>
        <v>#DIV/0!</v>
      </c>
      <c r="H166" s="79"/>
      <c r="I166" s="111" t="e">
        <f t="shared" si="97"/>
        <v>#DIV/0!</v>
      </c>
      <c r="J166" s="30">
        <f t="shared" si="98"/>
        <v>0</v>
      </c>
      <c r="K166" s="153">
        <v>10000</v>
      </c>
      <c r="L166" s="142" t="e">
        <f t="shared" si="99"/>
        <v>#DIV/0!</v>
      </c>
      <c r="M166" s="143">
        <f t="shared" si="100"/>
        <v>40000</v>
      </c>
      <c r="N166" s="179">
        <f>10000+20000+10000</f>
        <v>40000</v>
      </c>
      <c r="O166" s="146" t="e">
        <f t="shared" si="87"/>
        <v>#DIV/0!</v>
      </c>
      <c r="P166" s="146">
        <v>0.16</v>
      </c>
      <c r="R166" s="162">
        <f t="shared" si="69"/>
        <v>46400</v>
      </c>
      <c r="S166" s="162">
        <f t="shared" si="88"/>
        <v>53824</v>
      </c>
      <c r="T166" s="162">
        <f t="shared" si="89"/>
        <v>62435.84</v>
      </c>
      <c r="U166" s="162">
        <f t="shared" si="90"/>
        <v>72425.5744</v>
      </c>
      <c r="V166" s="162">
        <f t="shared" si="91"/>
        <v>84013.666304</v>
      </c>
      <c r="W166" s="162">
        <f t="shared" si="92"/>
        <v>97455.85291264</v>
      </c>
      <c r="X166" s="162">
        <f t="shared" si="93"/>
        <v>113048.78937866239</v>
      </c>
      <c r="Y166" s="162">
        <f t="shared" si="94"/>
        <v>131136.59567924836</v>
      </c>
      <c r="Z166" s="147">
        <f t="shared" si="95"/>
        <v>152118.4509879281</v>
      </c>
    </row>
    <row r="167" spans="1:26" ht="12.75">
      <c r="A167" s="81" t="s">
        <v>851</v>
      </c>
      <c r="B167" s="30">
        <v>0</v>
      </c>
      <c r="C167" s="78"/>
      <c r="D167" s="111" t="e">
        <f t="shared" si="86"/>
        <v>#DIV/0!</v>
      </c>
      <c r="E167" s="30">
        <f t="shared" si="84"/>
        <v>0</v>
      </c>
      <c r="F167" s="104"/>
      <c r="G167" s="270" t="e">
        <f t="shared" si="83"/>
        <v>#DIV/0!</v>
      </c>
      <c r="H167" s="79"/>
      <c r="I167" s="111" t="e">
        <f t="shared" si="97"/>
        <v>#DIV/0!</v>
      </c>
      <c r="J167" s="30">
        <f t="shared" si="98"/>
        <v>21895</v>
      </c>
      <c r="K167" s="153">
        <v>3000</v>
      </c>
      <c r="L167" s="142">
        <f t="shared" si="99"/>
        <v>1.5119890385932861</v>
      </c>
      <c r="M167" s="143">
        <f t="shared" si="100"/>
        <v>33105</v>
      </c>
      <c r="N167" s="179">
        <f>5000+50000</f>
        <v>55000</v>
      </c>
      <c r="O167" s="146" t="e">
        <f t="shared" si="87"/>
        <v>#DIV/0!</v>
      </c>
      <c r="P167" s="146">
        <v>0.16</v>
      </c>
      <c r="R167" s="162">
        <f t="shared" si="69"/>
        <v>63800</v>
      </c>
      <c r="S167" s="162">
        <f t="shared" si="88"/>
        <v>74008</v>
      </c>
      <c r="T167" s="162">
        <f t="shared" si="89"/>
        <v>85849.28</v>
      </c>
      <c r="U167" s="162">
        <f t="shared" si="90"/>
        <v>99585.1648</v>
      </c>
      <c r="V167" s="162">
        <f t="shared" si="91"/>
        <v>115518.791168</v>
      </c>
      <c r="W167" s="162">
        <f t="shared" si="92"/>
        <v>134001.79775487998</v>
      </c>
      <c r="X167" s="162">
        <f t="shared" si="93"/>
        <v>155442.08539566078</v>
      </c>
      <c r="Y167" s="162">
        <f t="shared" si="94"/>
        <v>180312.8190589665</v>
      </c>
      <c r="Z167" s="147">
        <f t="shared" si="95"/>
        <v>209162.87010840114</v>
      </c>
    </row>
    <row r="168" spans="1:26" ht="12.75">
      <c r="A168" s="86" t="s">
        <v>852</v>
      </c>
      <c r="B168" s="30">
        <v>0</v>
      </c>
      <c r="C168" s="78"/>
      <c r="D168" s="111" t="e">
        <f t="shared" si="86"/>
        <v>#DIV/0!</v>
      </c>
      <c r="E168" s="30">
        <f t="shared" si="84"/>
        <v>86085</v>
      </c>
      <c r="F168" s="84">
        <f>SUM(F169:F177)</f>
        <v>86085</v>
      </c>
      <c r="G168" s="270">
        <f t="shared" si="83"/>
        <v>1.9538711738398096</v>
      </c>
      <c r="H168" s="267">
        <v>254284</v>
      </c>
      <c r="I168" s="111">
        <f t="shared" si="97"/>
        <v>-1</v>
      </c>
      <c r="J168" s="30">
        <f t="shared" si="98"/>
        <v>-86085</v>
      </c>
      <c r="K168" s="84">
        <f>SUM(K169:K177)</f>
        <v>284013</v>
      </c>
      <c r="L168" s="142" t="e">
        <f t="shared" si="99"/>
        <v>#DIV/0!</v>
      </c>
      <c r="M168" s="143">
        <f t="shared" si="100"/>
        <v>170000</v>
      </c>
      <c r="N168" s="167">
        <f>SUM(N169:N177)</f>
        <v>170000</v>
      </c>
      <c r="O168" s="146" t="e">
        <f t="shared" si="87"/>
        <v>#DIV/0!</v>
      </c>
      <c r="P168" s="146"/>
      <c r="R168" s="167">
        <f aca="true" t="shared" si="103" ref="R168:Z168">SUM(R169:R177)</f>
        <v>178500</v>
      </c>
      <c r="S168" s="167">
        <f t="shared" si="103"/>
        <v>187425</v>
      </c>
      <c r="T168" s="167">
        <f t="shared" si="103"/>
        <v>196796.25</v>
      </c>
      <c r="U168" s="167">
        <f t="shared" si="103"/>
        <v>206636.0625</v>
      </c>
      <c r="V168" s="167">
        <f t="shared" si="103"/>
        <v>216967.86562499998</v>
      </c>
      <c r="W168" s="167">
        <f t="shared" si="103"/>
        <v>227816.25890625</v>
      </c>
      <c r="X168" s="167">
        <f t="shared" si="103"/>
        <v>239207.0718515625</v>
      </c>
      <c r="Y168" s="167">
        <f t="shared" si="103"/>
        <v>251167.42544414065</v>
      </c>
      <c r="Z168" s="167">
        <f t="shared" si="103"/>
        <v>263725.7967163477</v>
      </c>
    </row>
    <row r="169" spans="1:26" ht="12.75">
      <c r="A169" s="81" t="s">
        <v>853</v>
      </c>
      <c r="B169" s="30">
        <v>0</v>
      </c>
      <c r="C169" s="78"/>
      <c r="D169" s="111" t="e">
        <f t="shared" si="86"/>
        <v>#DIV/0!</v>
      </c>
      <c r="E169" s="30">
        <f t="shared" si="84"/>
        <v>0</v>
      </c>
      <c r="F169" s="104"/>
      <c r="G169" s="270" t="e">
        <f t="shared" si="83"/>
        <v>#DIV/0!</v>
      </c>
      <c r="H169" s="267">
        <v>0</v>
      </c>
      <c r="I169" s="111" t="e">
        <f t="shared" si="97"/>
        <v>#DIV/0!</v>
      </c>
      <c r="J169" s="30">
        <f t="shared" si="98"/>
        <v>100000</v>
      </c>
      <c r="K169" s="153">
        <v>0</v>
      </c>
      <c r="L169" s="142">
        <f t="shared" si="99"/>
        <v>-0.7</v>
      </c>
      <c r="M169" s="143">
        <f t="shared" si="100"/>
        <v>-70000</v>
      </c>
      <c r="N169" s="179">
        <v>30000</v>
      </c>
      <c r="O169" s="146" t="e">
        <f t="shared" si="87"/>
        <v>#DIV/0!</v>
      </c>
      <c r="P169" s="146">
        <v>0.05</v>
      </c>
      <c r="R169" s="162">
        <f aca="true" t="shared" si="104" ref="R169:R232">(N169*P169)+N169</f>
        <v>31500</v>
      </c>
      <c r="S169" s="162">
        <f t="shared" si="88"/>
        <v>33075</v>
      </c>
      <c r="T169" s="162">
        <f t="shared" si="89"/>
        <v>34728.75</v>
      </c>
      <c r="U169" s="162">
        <f t="shared" si="90"/>
        <v>36465.1875</v>
      </c>
      <c r="V169" s="162">
        <f t="shared" si="91"/>
        <v>38288.446875</v>
      </c>
      <c r="W169" s="162">
        <f t="shared" si="92"/>
        <v>40202.86921875</v>
      </c>
      <c r="X169" s="162">
        <f t="shared" si="93"/>
        <v>42213.0126796875</v>
      </c>
      <c r="Y169" s="162">
        <f t="shared" si="94"/>
        <v>44323.663313671874</v>
      </c>
      <c r="Z169" s="147">
        <f t="shared" si="95"/>
        <v>46539.84647935547</v>
      </c>
    </row>
    <row r="170" spans="1:26" ht="12.75">
      <c r="A170" s="81" t="s">
        <v>854</v>
      </c>
      <c r="B170" s="30">
        <v>0</v>
      </c>
      <c r="C170" s="78"/>
      <c r="D170" s="111" t="e">
        <f t="shared" si="86"/>
        <v>#DIV/0!</v>
      </c>
      <c r="E170" s="30">
        <f t="shared" si="84"/>
        <v>0</v>
      </c>
      <c r="F170" s="104"/>
      <c r="G170" s="270" t="e">
        <f t="shared" si="83"/>
        <v>#DIV/0!</v>
      </c>
      <c r="H170" s="267">
        <v>16994</v>
      </c>
      <c r="I170" s="111" t="e">
        <f t="shared" si="97"/>
        <v>#DIV/0!</v>
      </c>
      <c r="J170" s="30">
        <f t="shared" si="98"/>
        <v>49694</v>
      </c>
      <c r="K170" s="153">
        <v>21895</v>
      </c>
      <c r="L170" s="142">
        <f t="shared" si="99"/>
        <v>1.0123153700647967</v>
      </c>
      <c r="M170" s="143">
        <f t="shared" si="100"/>
        <v>50306</v>
      </c>
      <c r="N170" s="179">
        <v>100000</v>
      </c>
      <c r="O170" s="146" t="e">
        <f t="shared" si="87"/>
        <v>#DIV/0!</v>
      </c>
      <c r="P170" s="146">
        <v>0.05</v>
      </c>
      <c r="R170" s="162">
        <f t="shared" si="104"/>
        <v>105000</v>
      </c>
      <c r="S170" s="162">
        <f t="shared" si="88"/>
        <v>110250</v>
      </c>
      <c r="T170" s="162">
        <f t="shared" si="89"/>
        <v>115762.5</v>
      </c>
      <c r="U170" s="162">
        <f t="shared" si="90"/>
        <v>121550.625</v>
      </c>
      <c r="V170" s="162">
        <f t="shared" si="91"/>
        <v>127628.15625</v>
      </c>
      <c r="W170" s="162">
        <f t="shared" si="92"/>
        <v>134009.5640625</v>
      </c>
      <c r="X170" s="162">
        <f t="shared" si="93"/>
        <v>140710.042265625</v>
      </c>
      <c r="Y170" s="162">
        <f t="shared" si="94"/>
        <v>147745.54437890626</v>
      </c>
      <c r="Z170" s="147">
        <f t="shared" si="95"/>
        <v>155132.82159785158</v>
      </c>
    </row>
    <row r="171" spans="1:26" ht="12.75">
      <c r="A171" s="81" t="s">
        <v>855</v>
      </c>
      <c r="B171" s="30">
        <v>0</v>
      </c>
      <c r="C171" s="78"/>
      <c r="D171" s="111" t="e">
        <f t="shared" si="86"/>
        <v>#DIV/0!</v>
      </c>
      <c r="E171" s="30">
        <f t="shared" si="84"/>
        <v>0</v>
      </c>
      <c r="F171" s="104"/>
      <c r="G171" s="270" t="e">
        <f t="shared" si="83"/>
        <v>#DIV/0!</v>
      </c>
      <c r="H171" s="267">
        <v>0</v>
      </c>
      <c r="I171" s="111" t="e">
        <f t="shared" si="97"/>
        <v>#DIV/0!</v>
      </c>
      <c r="J171" s="30">
        <f t="shared" si="98"/>
        <v>8338</v>
      </c>
      <c r="K171" s="153">
        <v>0</v>
      </c>
      <c r="L171" s="142">
        <f t="shared" si="99"/>
        <v>-1</v>
      </c>
      <c r="M171" s="143">
        <f t="shared" si="100"/>
        <v>-8338</v>
      </c>
      <c r="N171" s="176"/>
      <c r="O171" s="146" t="e">
        <f t="shared" si="87"/>
        <v>#DIV/0!</v>
      </c>
      <c r="P171" s="146">
        <v>0.05</v>
      </c>
      <c r="R171" s="162">
        <f t="shared" si="104"/>
        <v>0</v>
      </c>
      <c r="S171" s="162">
        <f t="shared" si="88"/>
        <v>0</v>
      </c>
      <c r="T171" s="162">
        <f t="shared" si="89"/>
        <v>0</v>
      </c>
      <c r="U171" s="162">
        <f t="shared" si="90"/>
        <v>0</v>
      </c>
      <c r="V171" s="162">
        <f t="shared" si="91"/>
        <v>0</v>
      </c>
      <c r="W171" s="162">
        <f t="shared" si="92"/>
        <v>0</v>
      </c>
      <c r="X171" s="162">
        <f t="shared" si="93"/>
        <v>0</v>
      </c>
      <c r="Y171" s="162">
        <f t="shared" si="94"/>
        <v>0</v>
      </c>
      <c r="Z171" s="147">
        <f t="shared" si="95"/>
        <v>0</v>
      </c>
    </row>
    <row r="172" spans="1:26" ht="12.75">
      <c r="A172" s="81" t="s">
        <v>856</v>
      </c>
      <c r="B172" s="30">
        <v>0</v>
      </c>
      <c r="C172" s="78"/>
      <c r="D172" s="111" t="e">
        <f t="shared" si="86"/>
        <v>#DIV/0!</v>
      </c>
      <c r="E172" s="30">
        <f t="shared" si="84"/>
        <v>86085</v>
      </c>
      <c r="F172" s="104">
        <v>86085</v>
      </c>
      <c r="G172" s="270">
        <f t="shared" si="83"/>
        <v>0.16164256258349297</v>
      </c>
      <c r="H172" s="267">
        <v>100000</v>
      </c>
      <c r="I172" s="111">
        <f t="shared" si="97"/>
        <v>-0.8838357437416506</v>
      </c>
      <c r="J172" s="30">
        <f>K172-F172</f>
        <v>13915</v>
      </c>
      <c r="K172" s="153">
        <v>100000</v>
      </c>
      <c r="L172" s="142">
        <f t="shared" si="99"/>
        <v>-1</v>
      </c>
      <c r="M172" s="143">
        <f t="shared" si="100"/>
        <v>-10000</v>
      </c>
      <c r="N172" s="176">
        <v>0</v>
      </c>
      <c r="O172" s="146" t="e">
        <f t="shared" si="87"/>
        <v>#DIV/0!</v>
      </c>
      <c r="P172" s="146">
        <v>0.05</v>
      </c>
      <c r="R172" s="162">
        <f t="shared" si="104"/>
        <v>0</v>
      </c>
      <c r="S172" s="162">
        <f t="shared" si="88"/>
        <v>0</v>
      </c>
      <c r="T172" s="162">
        <f t="shared" si="89"/>
        <v>0</v>
      </c>
      <c r="U172" s="162">
        <f t="shared" si="90"/>
        <v>0</v>
      </c>
      <c r="V172" s="162">
        <f t="shared" si="91"/>
        <v>0</v>
      </c>
      <c r="W172" s="162">
        <f t="shared" si="92"/>
        <v>0</v>
      </c>
      <c r="X172" s="162">
        <f t="shared" si="93"/>
        <v>0</v>
      </c>
      <c r="Y172" s="162">
        <f t="shared" si="94"/>
        <v>0</v>
      </c>
      <c r="Z172" s="147">
        <f t="shared" si="95"/>
        <v>0</v>
      </c>
    </row>
    <row r="173" spans="1:26" ht="12.75">
      <c r="A173" s="81" t="s">
        <v>857</v>
      </c>
      <c r="B173" s="30">
        <v>0</v>
      </c>
      <c r="C173" s="78"/>
      <c r="D173" s="111" t="e">
        <f t="shared" si="86"/>
        <v>#DIV/0!</v>
      </c>
      <c r="E173" s="30">
        <f t="shared" si="84"/>
        <v>0</v>
      </c>
      <c r="F173" s="104"/>
      <c r="G173" s="270" t="e">
        <f t="shared" si="83"/>
        <v>#DIV/0!</v>
      </c>
      <c r="H173" s="267">
        <v>39998</v>
      </c>
      <c r="I173" s="111" t="e">
        <f t="shared" si="97"/>
        <v>#DIV/0!</v>
      </c>
      <c r="J173" s="30">
        <f t="shared" si="98"/>
        <v>56086</v>
      </c>
      <c r="K173" s="153">
        <v>49694</v>
      </c>
      <c r="L173" s="142">
        <f t="shared" si="99"/>
        <v>-1</v>
      </c>
      <c r="M173" s="143">
        <f t="shared" si="100"/>
        <v>-56086</v>
      </c>
      <c r="N173" s="176">
        <v>0</v>
      </c>
      <c r="O173" s="146" t="e">
        <f t="shared" si="87"/>
        <v>#DIV/0!</v>
      </c>
      <c r="P173" s="146">
        <v>0.05</v>
      </c>
      <c r="R173" s="162">
        <f t="shared" si="104"/>
        <v>0</v>
      </c>
      <c r="S173" s="162">
        <f t="shared" si="88"/>
        <v>0</v>
      </c>
      <c r="T173" s="162">
        <f t="shared" si="89"/>
        <v>0</v>
      </c>
      <c r="U173" s="162">
        <f t="shared" si="90"/>
        <v>0</v>
      </c>
      <c r="V173" s="162">
        <f t="shared" si="91"/>
        <v>0</v>
      </c>
      <c r="W173" s="162">
        <f t="shared" si="92"/>
        <v>0</v>
      </c>
      <c r="X173" s="162">
        <f t="shared" si="93"/>
        <v>0</v>
      </c>
      <c r="Y173" s="162">
        <f t="shared" si="94"/>
        <v>0</v>
      </c>
      <c r="Z173" s="147">
        <f t="shared" si="95"/>
        <v>0</v>
      </c>
    </row>
    <row r="174" spans="1:26" ht="12.75">
      <c r="A174" s="81" t="s">
        <v>858</v>
      </c>
      <c r="B174" s="30">
        <v>0</v>
      </c>
      <c r="C174" s="78"/>
      <c r="D174" s="111" t="e">
        <f t="shared" si="86"/>
        <v>#DIV/0!</v>
      </c>
      <c r="E174" s="30">
        <f t="shared" si="84"/>
        <v>0</v>
      </c>
      <c r="F174" s="104"/>
      <c r="G174" s="270" t="e">
        <f t="shared" si="83"/>
        <v>#DIV/0!</v>
      </c>
      <c r="H174" s="267">
        <v>7366</v>
      </c>
      <c r="I174" s="111" t="e">
        <f t="shared" si="97"/>
        <v>#DIV/0!</v>
      </c>
      <c r="J174" s="30">
        <f t="shared" si="98"/>
        <v>38000</v>
      </c>
      <c r="K174" s="153">
        <v>8338</v>
      </c>
      <c r="L174" s="142">
        <f t="shared" si="99"/>
        <v>-1</v>
      </c>
      <c r="M174" s="143">
        <f t="shared" si="100"/>
        <v>-38000</v>
      </c>
      <c r="N174" s="176"/>
      <c r="O174" s="146" t="e">
        <f t="shared" si="87"/>
        <v>#DIV/0!</v>
      </c>
      <c r="P174" s="146">
        <v>0.05</v>
      </c>
      <c r="R174" s="162">
        <f t="shared" si="104"/>
        <v>0</v>
      </c>
      <c r="S174" s="162">
        <f t="shared" si="88"/>
        <v>0</v>
      </c>
      <c r="T174" s="162">
        <f t="shared" si="89"/>
        <v>0</v>
      </c>
      <c r="U174" s="162">
        <f t="shared" si="90"/>
        <v>0</v>
      </c>
      <c r="V174" s="162">
        <f t="shared" si="91"/>
        <v>0</v>
      </c>
      <c r="W174" s="162">
        <f t="shared" si="92"/>
        <v>0</v>
      </c>
      <c r="X174" s="162">
        <f t="shared" si="93"/>
        <v>0</v>
      </c>
      <c r="Y174" s="162">
        <f t="shared" si="94"/>
        <v>0</v>
      </c>
      <c r="Z174" s="147">
        <f t="shared" si="95"/>
        <v>0</v>
      </c>
    </row>
    <row r="175" spans="1:26" ht="12.75">
      <c r="A175" s="163" t="s">
        <v>1119</v>
      </c>
      <c r="B175" s="30">
        <v>0</v>
      </c>
      <c r="C175" s="78"/>
      <c r="D175" s="111" t="e">
        <f t="shared" si="86"/>
        <v>#DIV/0!</v>
      </c>
      <c r="E175" s="30">
        <f t="shared" si="84"/>
        <v>0</v>
      </c>
      <c r="F175" s="104"/>
      <c r="G175" s="270" t="e">
        <f t="shared" si="83"/>
        <v>#DIV/0!</v>
      </c>
      <c r="H175" s="267">
        <v>0</v>
      </c>
      <c r="I175" s="111" t="e">
        <f>#REF!/F175-1</f>
        <v>#REF!</v>
      </c>
      <c r="J175" s="30" t="e">
        <f>#REF!-F175</f>
        <v>#REF!</v>
      </c>
      <c r="K175" s="153">
        <v>10000</v>
      </c>
      <c r="L175" s="142" t="e">
        <f>N175/#REF!-1</f>
        <v>#REF!</v>
      </c>
      <c r="M175" s="143" t="e">
        <f>N175-#REF!</f>
        <v>#REF!</v>
      </c>
      <c r="N175" s="179">
        <v>40000</v>
      </c>
      <c r="O175" s="146" t="e">
        <f t="shared" si="87"/>
        <v>#DIV/0!</v>
      </c>
      <c r="P175" s="146">
        <v>0.05</v>
      </c>
      <c r="R175" s="162">
        <f t="shared" si="104"/>
        <v>42000</v>
      </c>
      <c r="S175" s="162">
        <f t="shared" si="88"/>
        <v>44100</v>
      </c>
      <c r="T175" s="162">
        <f t="shared" si="89"/>
        <v>46305</v>
      </c>
      <c r="U175" s="162">
        <f t="shared" si="90"/>
        <v>48620.25</v>
      </c>
      <c r="V175" s="162">
        <f t="shared" si="91"/>
        <v>51051.2625</v>
      </c>
      <c r="W175" s="162">
        <f t="shared" si="92"/>
        <v>53603.825625</v>
      </c>
      <c r="X175" s="162">
        <f t="shared" si="93"/>
        <v>56284.01690625</v>
      </c>
      <c r="Y175" s="162">
        <f t="shared" si="94"/>
        <v>59098.2177515625</v>
      </c>
      <c r="Z175" s="147">
        <f t="shared" si="95"/>
        <v>62053.128639140625</v>
      </c>
    </row>
    <row r="176" spans="1:26" ht="12.75">
      <c r="A176" s="88" t="s">
        <v>859</v>
      </c>
      <c r="B176" s="30">
        <v>0</v>
      </c>
      <c r="C176" s="78"/>
      <c r="D176" s="111" t="e">
        <f t="shared" si="86"/>
        <v>#DIV/0!</v>
      </c>
      <c r="E176" s="30">
        <f t="shared" si="84"/>
        <v>0</v>
      </c>
      <c r="F176" s="104"/>
      <c r="G176" s="270" t="e">
        <f t="shared" si="83"/>
        <v>#DIV/0!</v>
      </c>
      <c r="H176" s="267">
        <v>51926</v>
      </c>
      <c r="I176" s="111" t="e">
        <f>#REF!/F176-1</f>
        <v>#REF!</v>
      </c>
      <c r="J176" s="30" t="e">
        <f>#REF!-F176</f>
        <v>#REF!</v>
      </c>
      <c r="K176" s="153">
        <v>56086</v>
      </c>
      <c r="L176" s="142" t="e">
        <f>N176/#REF!-1</f>
        <v>#REF!</v>
      </c>
      <c r="M176" s="143" t="e">
        <f>N176-#REF!</f>
        <v>#REF!</v>
      </c>
      <c r="N176" s="176">
        <v>0</v>
      </c>
      <c r="O176" s="146" t="e">
        <f t="shared" si="87"/>
        <v>#DIV/0!</v>
      </c>
      <c r="P176" s="146">
        <v>0.05</v>
      </c>
      <c r="R176" s="162">
        <f t="shared" si="104"/>
        <v>0</v>
      </c>
      <c r="S176" s="162">
        <f t="shared" si="88"/>
        <v>0</v>
      </c>
      <c r="T176" s="162">
        <f t="shared" si="89"/>
        <v>0</v>
      </c>
      <c r="U176" s="162">
        <f t="shared" si="90"/>
        <v>0</v>
      </c>
      <c r="V176" s="162">
        <f t="shared" si="91"/>
        <v>0</v>
      </c>
      <c r="W176" s="162">
        <f t="shared" si="92"/>
        <v>0</v>
      </c>
      <c r="X176" s="162">
        <f t="shared" si="93"/>
        <v>0</v>
      </c>
      <c r="Y176" s="162">
        <f t="shared" si="94"/>
        <v>0</v>
      </c>
      <c r="Z176" s="147">
        <f t="shared" si="95"/>
        <v>0</v>
      </c>
    </row>
    <row r="177" spans="1:26" ht="12.75">
      <c r="A177" s="88" t="s">
        <v>860</v>
      </c>
      <c r="B177" s="30">
        <v>0</v>
      </c>
      <c r="C177" s="78"/>
      <c r="D177" s="111" t="e">
        <f t="shared" si="86"/>
        <v>#DIV/0!</v>
      </c>
      <c r="E177" s="30">
        <f t="shared" si="84"/>
        <v>0</v>
      </c>
      <c r="F177" s="104"/>
      <c r="G177" s="270" t="e">
        <f t="shared" si="83"/>
        <v>#DIV/0!</v>
      </c>
      <c r="H177" s="267">
        <v>38000</v>
      </c>
      <c r="I177" s="111" t="e">
        <f>#REF!/F177-1</f>
        <v>#REF!</v>
      </c>
      <c r="J177" s="30" t="e">
        <f>#REF!-F177</f>
        <v>#REF!</v>
      </c>
      <c r="K177" s="153">
        <v>38000</v>
      </c>
      <c r="L177" s="142" t="e">
        <f>N177/#REF!-1</f>
        <v>#REF!</v>
      </c>
      <c r="M177" s="143" t="e">
        <f>N177-#REF!</f>
        <v>#REF!</v>
      </c>
      <c r="N177" s="176">
        <v>0</v>
      </c>
      <c r="O177" s="146" t="e">
        <f t="shared" si="87"/>
        <v>#DIV/0!</v>
      </c>
      <c r="P177" s="146">
        <v>0.05</v>
      </c>
      <c r="R177" s="162">
        <f t="shared" si="104"/>
        <v>0</v>
      </c>
      <c r="S177" s="162">
        <f t="shared" si="88"/>
        <v>0</v>
      </c>
      <c r="T177" s="162">
        <f t="shared" si="89"/>
        <v>0</v>
      </c>
      <c r="U177" s="162">
        <f t="shared" si="90"/>
        <v>0</v>
      </c>
      <c r="V177" s="162">
        <f t="shared" si="91"/>
        <v>0</v>
      </c>
      <c r="W177" s="162">
        <f t="shared" si="92"/>
        <v>0</v>
      </c>
      <c r="X177" s="162">
        <f t="shared" si="93"/>
        <v>0</v>
      </c>
      <c r="Y177" s="162">
        <f t="shared" si="94"/>
        <v>0</v>
      </c>
      <c r="Z177" s="147">
        <f t="shared" si="95"/>
        <v>0</v>
      </c>
    </row>
    <row r="178" spans="1:26" ht="12.75">
      <c r="A178" s="86" t="s">
        <v>861</v>
      </c>
      <c r="B178" s="30">
        <v>0</v>
      </c>
      <c r="C178" s="78"/>
      <c r="D178" s="111" t="e">
        <f t="shared" si="86"/>
        <v>#DIV/0!</v>
      </c>
      <c r="E178" s="30">
        <f t="shared" si="84"/>
        <v>52170</v>
      </c>
      <c r="F178" s="167">
        <f>SUM(F179:F180)+F181</f>
        <v>52170</v>
      </c>
      <c r="G178" s="270">
        <f t="shared" si="83"/>
        <v>-0.6259727812919302</v>
      </c>
      <c r="H178" s="267">
        <v>19513</v>
      </c>
      <c r="I178" s="111">
        <f>K182/F178-1</f>
        <v>-0.6833237492811961</v>
      </c>
      <c r="J178" s="30">
        <f>K178-F178</f>
        <v>-27170</v>
      </c>
      <c r="K178" s="167">
        <f>SUM(K179:K180)+K181</f>
        <v>25000</v>
      </c>
      <c r="L178" s="142">
        <f>N178/K182-1</f>
        <v>7.6556503843593</v>
      </c>
      <c r="M178" s="143">
        <f>N178-K182</f>
        <v>126479</v>
      </c>
      <c r="N178" s="167">
        <f>SUM(N179:N180)+N181</f>
        <v>143000</v>
      </c>
      <c r="O178" s="146" t="e">
        <f t="shared" si="87"/>
        <v>#DIV/0!</v>
      </c>
      <c r="P178" s="146"/>
      <c r="R178" s="167">
        <f aca="true" t="shared" si="105" ref="R178:Z178">SUM(R179:R180)+R181</f>
        <v>157300</v>
      </c>
      <c r="S178" s="167">
        <f t="shared" si="105"/>
        <v>173030</v>
      </c>
      <c r="T178" s="167">
        <f t="shared" si="105"/>
        <v>190333</v>
      </c>
      <c r="U178" s="167">
        <f t="shared" si="105"/>
        <v>209366.3</v>
      </c>
      <c r="V178" s="167">
        <f t="shared" si="105"/>
        <v>230302.93</v>
      </c>
      <c r="W178" s="167">
        <f t="shared" si="105"/>
        <v>253333.223</v>
      </c>
      <c r="X178" s="167">
        <f t="shared" si="105"/>
        <v>278666.5453</v>
      </c>
      <c r="Y178" s="167">
        <f t="shared" si="105"/>
        <v>306533.19982999994</v>
      </c>
      <c r="Z178" s="167">
        <f t="shared" si="105"/>
        <v>337186.51981299993</v>
      </c>
    </row>
    <row r="179" spans="1:26" ht="12.75">
      <c r="A179" s="81" t="s">
        <v>862</v>
      </c>
      <c r="B179" s="30">
        <v>0</v>
      </c>
      <c r="C179" s="78"/>
      <c r="D179" s="111" t="e">
        <f t="shared" si="86"/>
        <v>#DIV/0!</v>
      </c>
      <c r="E179" s="30">
        <f t="shared" si="84"/>
        <v>52170</v>
      </c>
      <c r="F179" s="104">
        <v>52170</v>
      </c>
      <c r="G179" s="270">
        <f t="shared" si="83"/>
        <v>-0.7218133026643665</v>
      </c>
      <c r="H179" s="267">
        <v>14513</v>
      </c>
      <c r="I179" s="111">
        <f>K183/F179-1</f>
        <v>-0.8520030668966839</v>
      </c>
      <c r="J179" s="30">
        <f>K179-F179</f>
        <v>-32170</v>
      </c>
      <c r="K179" s="153">
        <v>20000</v>
      </c>
      <c r="L179" s="142">
        <f>N179/K183-1</f>
        <v>11.692656391659112</v>
      </c>
      <c r="M179" s="143">
        <f>N179-K183</f>
        <v>90279</v>
      </c>
      <c r="N179" s="179">
        <f>40000+45000+13000</f>
        <v>98000</v>
      </c>
      <c r="O179" s="146" t="e">
        <f t="shared" si="87"/>
        <v>#DIV/0!</v>
      </c>
      <c r="P179" s="146">
        <v>0.1</v>
      </c>
      <c r="R179" s="162">
        <f t="shared" si="104"/>
        <v>107800</v>
      </c>
      <c r="S179" s="162">
        <f t="shared" si="88"/>
        <v>118580</v>
      </c>
      <c r="T179" s="162">
        <f t="shared" si="89"/>
        <v>130438</v>
      </c>
      <c r="U179" s="162">
        <f t="shared" si="90"/>
        <v>143481.8</v>
      </c>
      <c r="V179" s="162">
        <f t="shared" si="91"/>
        <v>157829.97999999998</v>
      </c>
      <c r="W179" s="162">
        <f t="shared" si="92"/>
        <v>173612.97799999997</v>
      </c>
      <c r="X179" s="162">
        <f t="shared" si="93"/>
        <v>190974.27579999997</v>
      </c>
      <c r="Y179" s="162">
        <f t="shared" si="94"/>
        <v>210071.70337999996</v>
      </c>
      <c r="Z179" s="147">
        <f t="shared" si="95"/>
        <v>231078.87371799996</v>
      </c>
    </row>
    <row r="180" spans="1:26" ht="12.75">
      <c r="A180" s="88" t="s">
        <v>863</v>
      </c>
      <c r="B180" s="30">
        <v>0</v>
      </c>
      <c r="C180" s="78"/>
      <c r="D180" s="111" t="e">
        <f t="shared" si="86"/>
        <v>#DIV/0!</v>
      </c>
      <c r="E180" s="30">
        <f t="shared" si="84"/>
        <v>0</v>
      </c>
      <c r="F180" s="104"/>
      <c r="G180" s="270" t="e">
        <f t="shared" si="83"/>
        <v>#DIV/0!</v>
      </c>
      <c r="H180" s="267">
        <v>5000</v>
      </c>
      <c r="I180" s="111" t="e">
        <f>K184/F180-1</f>
        <v>#DIV/0!</v>
      </c>
      <c r="J180" s="30">
        <f>K184-F180</f>
        <v>8800</v>
      </c>
      <c r="K180" s="153">
        <v>5000</v>
      </c>
      <c r="L180" s="142">
        <f>N180/K184-1</f>
        <v>0.13636363636363646</v>
      </c>
      <c r="M180" s="143">
        <f>N180-K184</f>
        <v>1200</v>
      </c>
      <c r="N180" s="179">
        <v>10000</v>
      </c>
      <c r="O180" s="146" t="e">
        <f t="shared" si="87"/>
        <v>#DIV/0!</v>
      </c>
      <c r="P180" s="146">
        <v>0.1</v>
      </c>
      <c r="R180" s="162">
        <f t="shared" si="104"/>
        <v>11000</v>
      </c>
      <c r="S180" s="162">
        <f t="shared" si="88"/>
        <v>12100</v>
      </c>
      <c r="T180" s="162">
        <f t="shared" si="89"/>
        <v>13310</v>
      </c>
      <c r="U180" s="162">
        <f t="shared" si="90"/>
        <v>14641</v>
      </c>
      <c r="V180" s="162">
        <f t="shared" si="91"/>
        <v>16105.1</v>
      </c>
      <c r="W180" s="162">
        <f t="shared" si="92"/>
        <v>17715.61</v>
      </c>
      <c r="X180" s="162">
        <f t="shared" si="93"/>
        <v>19487.171000000002</v>
      </c>
      <c r="Y180" s="162">
        <f t="shared" si="94"/>
        <v>21435.888100000004</v>
      </c>
      <c r="Z180" s="147">
        <f t="shared" si="95"/>
        <v>23579.476910000005</v>
      </c>
    </row>
    <row r="181" spans="1:26" ht="12.75">
      <c r="A181" s="148" t="s">
        <v>1115</v>
      </c>
      <c r="B181" s="30"/>
      <c r="C181" s="78"/>
      <c r="D181" s="111"/>
      <c r="E181" s="30"/>
      <c r="F181" s="104"/>
      <c r="G181" s="270" t="e">
        <f t="shared" si="83"/>
        <v>#DIV/0!</v>
      </c>
      <c r="H181" s="79"/>
      <c r="I181" s="111"/>
      <c r="J181" s="30"/>
      <c r="L181" s="142"/>
      <c r="M181" s="143"/>
      <c r="N181" s="179">
        <v>35000</v>
      </c>
      <c r="O181" s="146"/>
      <c r="P181" s="146">
        <v>0.1</v>
      </c>
      <c r="R181" s="162">
        <f t="shared" si="104"/>
        <v>38500</v>
      </c>
      <c r="S181" s="162">
        <f t="shared" si="88"/>
        <v>42350</v>
      </c>
      <c r="T181" s="162">
        <f t="shared" si="89"/>
        <v>46585</v>
      </c>
      <c r="U181" s="162">
        <f t="shared" si="90"/>
        <v>51243.5</v>
      </c>
      <c r="V181" s="162">
        <f t="shared" si="91"/>
        <v>56367.85</v>
      </c>
      <c r="W181" s="162">
        <f t="shared" si="92"/>
        <v>62004.634999999995</v>
      </c>
      <c r="X181" s="162">
        <f t="shared" si="93"/>
        <v>68205.0985</v>
      </c>
      <c r="Y181" s="162">
        <f t="shared" si="94"/>
        <v>75025.60835</v>
      </c>
      <c r="Z181" s="147">
        <f t="shared" si="95"/>
        <v>82528.16918499999</v>
      </c>
    </row>
    <row r="182" spans="1:26" ht="12.75">
      <c r="A182" s="86" t="s">
        <v>864</v>
      </c>
      <c r="B182" s="30">
        <v>0</v>
      </c>
      <c r="C182" s="78"/>
      <c r="D182" s="111" t="e">
        <f t="shared" si="86"/>
        <v>#DIV/0!</v>
      </c>
      <c r="E182" s="30">
        <f t="shared" si="84"/>
        <v>41586</v>
      </c>
      <c r="F182" s="84">
        <f>SUM(F183:F184)</f>
        <v>41586</v>
      </c>
      <c r="G182" s="270">
        <f t="shared" si="83"/>
        <v>-0.6124176405521089</v>
      </c>
      <c r="H182" s="267">
        <v>16118</v>
      </c>
      <c r="I182" s="111">
        <f aca="true" t="shared" si="106" ref="I182:I217">K186/F182-1</f>
        <v>-0.26838359063146255</v>
      </c>
      <c r="J182" s="30">
        <f aca="true" t="shared" si="107" ref="J182:J217">K186-F182</f>
        <v>-11161</v>
      </c>
      <c r="K182" s="84">
        <f>SUM(K183:K184)</f>
        <v>16521</v>
      </c>
      <c r="L182" s="142">
        <f aca="true" t="shared" si="108" ref="L182:L217">N182/K186-1</f>
        <v>0.5447822514379621</v>
      </c>
      <c r="M182" s="143">
        <f aca="true" t="shared" si="109" ref="M182:M217">N182-K186</f>
        <v>16575</v>
      </c>
      <c r="N182" s="167">
        <f>SUM(N183:N184)</f>
        <v>47000</v>
      </c>
      <c r="O182" s="146" t="e">
        <f t="shared" si="87"/>
        <v>#DIV/0!</v>
      </c>
      <c r="P182" s="146"/>
      <c r="R182" s="167">
        <f aca="true" t="shared" si="110" ref="R182:Z182">SUM(R183:R184)</f>
        <v>54050</v>
      </c>
      <c r="S182" s="167">
        <f t="shared" si="110"/>
        <v>62157.5</v>
      </c>
      <c r="T182" s="167">
        <f t="shared" si="110"/>
        <v>71481.125</v>
      </c>
      <c r="U182" s="167">
        <f t="shared" si="110"/>
        <v>82203.29375</v>
      </c>
      <c r="V182" s="167">
        <f t="shared" si="110"/>
        <v>94533.7878125</v>
      </c>
      <c r="W182" s="167">
        <f t="shared" si="110"/>
        <v>108713.855984375</v>
      </c>
      <c r="X182" s="167">
        <f t="shared" si="110"/>
        <v>125020.93438203125</v>
      </c>
      <c r="Y182" s="167">
        <f t="shared" si="110"/>
        <v>143774.07453933594</v>
      </c>
      <c r="Z182" s="167">
        <f t="shared" si="110"/>
        <v>165340.18572023633</v>
      </c>
    </row>
    <row r="183" spans="1:26" ht="12.75">
      <c r="A183" s="81" t="s">
        <v>865</v>
      </c>
      <c r="B183" s="30">
        <v>0</v>
      </c>
      <c r="C183" s="78"/>
      <c r="D183" s="111" t="e">
        <f t="shared" si="86"/>
        <v>#DIV/0!</v>
      </c>
      <c r="E183" s="30">
        <f t="shared" si="84"/>
        <v>41586</v>
      </c>
      <c r="F183" s="104">
        <v>41586</v>
      </c>
      <c r="G183" s="270">
        <f t="shared" si="83"/>
        <v>-0.8240273168854904</v>
      </c>
      <c r="H183" s="267">
        <v>7318</v>
      </c>
      <c r="I183" s="111">
        <f t="shared" si="106"/>
        <v>-0.7595344587120666</v>
      </c>
      <c r="J183" s="30">
        <f t="shared" si="107"/>
        <v>-31586</v>
      </c>
      <c r="K183" s="153">
        <v>7721</v>
      </c>
      <c r="L183" s="142">
        <f t="shared" si="108"/>
        <v>2</v>
      </c>
      <c r="M183" s="143">
        <f t="shared" si="109"/>
        <v>20000</v>
      </c>
      <c r="N183" s="179">
        <v>30000</v>
      </c>
      <c r="O183" s="146" t="e">
        <f t="shared" si="87"/>
        <v>#DIV/0!</v>
      </c>
      <c r="P183" s="146">
        <v>0.15</v>
      </c>
      <c r="R183" s="162">
        <f t="shared" si="104"/>
        <v>34500</v>
      </c>
      <c r="S183" s="162">
        <f t="shared" si="88"/>
        <v>39675</v>
      </c>
      <c r="T183" s="162">
        <f t="shared" si="89"/>
        <v>45626.25</v>
      </c>
      <c r="U183" s="162">
        <f t="shared" si="90"/>
        <v>52470.1875</v>
      </c>
      <c r="V183" s="162">
        <f t="shared" si="91"/>
        <v>60340.715625</v>
      </c>
      <c r="W183" s="162">
        <f t="shared" si="92"/>
        <v>69391.82296875</v>
      </c>
      <c r="X183" s="162">
        <f t="shared" si="93"/>
        <v>79800.5964140625</v>
      </c>
      <c r="Y183" s="162">
        <f t="shared" si="94"/>
        <v>91770.68587617188</v>
      </c>
      <c r="Z183" s="147">
        <f t="shared" si="95"/>
        <v>105536.28875759765</v>
      </c>
    </row>
    <row r="184" spans="1:26" ht="13.5" thickBot="1">
      <c r="A184" s="87" t="s">
        <v>866</v>
      </c>
      <c r="B184" s="30">
        <v>0</v>
      </c>
      <c r="C184" s="78"/>
      <c r="D184" s="111" t="e">
        <f t="shared" si="86"/>
        <v>#DIV/0!</v>
      </c>
      <c r="E184" s="30">
        <f t="shared" si="84"/>
        <v>0</v>
      </c>
      <c r="F184" s="104"/>
      <c r="G184" s="270" t="e">
        <f t="shared" si="83"/>
        <v>#DIV/0!</v>
      </c>
      <c r="H184" s="267">
        <v>8800</v>
      </c>
      <c r="I184" s="111" t="e">
        <f t="shared" si="106"/>
        <v>#DIV/0!</v>
      </c>
      <c r="J184" s="30">
        <f t="shared" si="107"/>
        <v>20000</v>
      </c>
      <c r="K184" s="155">
        <v>8800</v>
      </c>
      <c r="L184" s="142">
        <f t="shared" si="108"/>
        <v>-0.15000000000000002</v>
      </c>
      <c r="M184" s="143">
        <f t="shared" si="109"/>
        <v>-3000</v>
      </c>
      <c r="N184" s="179">
        <f>12000+5000</f>
        <v>17000</v>
      </c>
      <c r="O184" s="146" t="e">
        <f t="shared" si="87"/>
        <v>#DIV/0!</v>
      </c>
      <c r="P184" s="146">
        <v>0.15</v>
      </c>
      <c r="R184" s="162">
        <f t="shared" si="104"/>
        <v>19550</v>
      </c>
      <c r="S184" s="162">
        <f t="shared" si="88"/>
        <v>22482.5</v>
      </c>
      <c r="T184" s="162">
        <f t="shared" si="89"/>
        <v>25854.875</v>
      </c>
      <c r="U184" s="162">
        <f t="shared" si="90"/>
        <v>29733.10625</v>
      </c>
      <c r="V184" s="162">
        <f t="shared" si="91"/>
        <v>34193.0721875</v>
      </c>
      <c r="W184" s="162">
        <f t="shared" si="92"/>
        <v>39322.033015625</v>
      </c>
      <c r="X184" s="162">
        <f t="shared" si="93"/>
        <v>45220.33796796875</v>
      </c>
      <c r="Y184" s="162">
        <f t="shared" si="94"/>
        <v>52003.38866316406</v>
      </c>
      <c r="Z184" s="147">
        <f t="shared" si="95"/>
        <v>59803.896962638675</v>
      </c>
    </row>
    <row r="185" spans="1:26" ht="12.75">
      <c r="A185" s="86" t="s">
        <v>867</v>
      </c>
      <c r="B185" s="98">
        <v>67700</v>
      </c>
      <c r="C185" s="78"/>
      <c r="D185" s="111">
        <f t="shared" si="86"/>
        <v>0.06968980797636637</v>
      </c>
      <c r="E185" s="30">
        <f t="shared" si="84"/>
        <v>4718</v>
      </c>
      <c r="F185" s="84">
        <f>SUM(F186:F191)</f>
        <v>72418</v>
      </c>
      <c r="G185" s="270">
        <f t="shared" si="83"/>
        <v>0.03348614985224674</v>
      </c>
      <c r="H185" s="267">
        <v>74843</v>
      </c>
      <c r="I185" s="111">
        <f t="shared" si="106"/>
        <v>-0.8135822585545031</v>
      </c>
      <c r="J185" s="30">
        <f t="shared" si="107"/>
        <v>-58918</v>
      </c>
      <c r="K185" s="84">
        <f>SUM(K186:K191)</f>
        <v>128925</v>
      </c>
      <c r="L185" s="142">
        <f t="shared" si="108"/>
        <v>18.62962962962963</v>
      </c>
      <c r="M185" s="143">
        <f t="shared" si="109"/>
        <v>251500</v>
      </c>
      <c r="N185" s="167">
        <f>SUM(N186:N191)</f>
        <v>265000</v>
      </c>
      <c r="O185" s="146">
        <f t="shared" si="87"/>
        <v>5.9619123930171645</v>
      </c>
      <c r="P185" s="146"/>
      <c r="R185" s="167">
        <f aca="true" t="shared" si="111" ref="R185:Z185">SUM(R186:R191)</f>
        <v>304750</v>
      </c>
      <c r="S185" s="167">
        <f t="shared" si="111"/>
        <v>350462.5</v>
      </c>
      <c r="T185" s="167">
        <f t="shared" si="111"/>
        <v>403031.875</v>
      </c>
      <c r="U185" s="167">
        <f t="shared" si="111"/>
        <v>463486.65625</v>
      </c>
      <c r="V185" s="167">
        <f t="shared" si="111"/>
        <v>533009.6546875</v>
      </c>
      <c r="W185" s="167">
        <f t="shared" si="111"/>
        <v>612961.102890625</v>
      </c>
      <c r="X185" s="167">
        <f t="shared" si="111"/>
        <v>704905.2683242187</v>
      </c>
      <c r="Y185" s="167">
        <f t="shared" si="111"/>
        <v>810641.0585728516</v>
      </c>
      <c r="Z185" s="167">
        <f t="shared" si="111"/>
        <v>932237.2173587794</v>
      </c>
    </row>
    <row r="186" spans="1:26" ht="12.75">
      <c r="A186" s="81" t="s">
        <v>868</v>
      </c>
      <c r="B186" s="30">
        <v>0</v>
      </c>
      <c r="C186" s="78"/>
      <c r="D186" s="111" t="e">
        <f t="shared" si="86"/>
        <v>#DIV/0!</v>
      </c>
      <c r="E186" s="30">
        <f t="shared" si="84"/>
        <v>0</v>
      </c>
      <c r="F186" s="104"/>
      <c r="G186" s="270" t="e">
        <f t="shared" si="83"/>
        <v>#DIV/0!</v>
      </c>
      <c r="H186" s="267">
        <v>17425</v>
      </c>
      <c r="I186" s="111" t="e">
        <f t="shared" si="106"/>
        <v>#DIV/0!</v>
      </c>
      <c r="J186" s="30">
        <f t="shared" si="107"/>
        <v>25000</v>
      </c>
      <c r="K186" s="153">
        <v>30425</v>
      </c>
      <c r="L186" s="142">
        <f t="shared" si="108"/>
        <v>2.4</v>
      </c>
      <c r="M186" s="143">
        <f t="shared" si="109"/>
        <v>60000</v>
      </c>
      <c r="N186" s="179">
        <v>85000</v>
      </c>
      <c r="O186" s="146" t="e">
        <f t="shared" si="87"/>
        <v>#DIV/0!</v>
      </c>
      <c r="P186" s="146">
        <v>0.15</v>
      </c>
      <c r="R186" s="162">
        <f t="shared" si="104"/>
        <v>97750</v>
      </c>
      <c r="S186" s="162">
        <f t="shared" si="88"/>
        <v>112412.5</v>
      </c>
      <c r="T186" s="162">
        <f t="shared" si="89"/>
        <v>129274.375</v>
      </c>
      <c r="U186" s="162">
        <f t="shared" si="90"/>
        <v>148665.53125</v>
      </c>
      <c r="V186" s="162">
        <f t="shared" si="91"/>
        <v>170965.3609375</v>
      </c>
      <c r="W186" s="162">
        <f t="shared" si="92"/>
        <v>196610.165078125</v>
      </c>
      <c r="X186" s="162">
        <f t="shared" si="93"/>
        <v>226101.68983984375</v>
      </c>
      <c r="Y186" s="162">
        <f t="shared" si="94"/>
        <v>260016.9433158203</v>
      </c>
      <c r="Z186" s="147">
        <f t="shared" si="95"/>
        <v>299019.4848131933</v>
      </c>
    </row>
    <row r="187" spans="1:26" ht="12.75">
      <c r="A187" s="81" t="s">
        <v>869</v>
      </c>
      <c r="B187" s="30">
        <v>0</v>
      </c>
      <c r="C187" s="78"/>
      <c r="D187" s="111" t="e">
        <f t="shared" si="86"/>
        <v>#DIV/0!</v>
      </c>
      <c r="E187" s="30">
        <f t="shared" si="84"/>
        <v>0</v>
      </c>
      <c r="F187" s="104"/>
      <c r="G187" s="270" t="e">
        <f t="shared" si="83"/>
        <v>#DIV/0!</v>
      </c>
      <c r="H187" s="267">
        <v>2862</v>
      </c>
      <c r="I187" s="111" t="e">
        <f t="shared" si="106"/>
        <v>#DIV/0!</v>
      </c>
      <c r="J187" s="30">
        <f t="shared" si="107"/>
        <v>30000</v>
      </c>
      <c r="K187" s="153">
        <v>10000</v>
      </c>
      <c r="L187" s="142">
        <f t="shared" si="108"/>
        <v>-0.6666666666666667</v>
      </c>
      <c r="M187" s="143">
        <f t="shared" si="109"/>
        <v>-20000</v>
      </c>
      <c r="N187" s="179">
        <v>10000</v>
      </c>
      <c r="O187" s="146" t="e">
        <f t="shared" si="87"/>
        <v>#DIV/0!</v>
      </c>
      <c r="P187" s="146">
        <v>0.15</v>
      </c>
      <c r="R187" s="162">
        <f t="shared" si="104"/>
        <v>11500</v>
      </c>
      <c r="S187" s="162">
        <f t="shared" si="88"/>
        <v>13225</v>
      </c>
      <c r="T187" s="162">
        <f t="shared" si="89"/>
        <v>15208.75</v>
      </c>
      <c r="U187" s="162">
        <f t="shared" si="90"/>
        <v>17490.0625</v>
      </c>
      <c r="V187" s="162">
        <f t="shared" si="91"/>
        <v>20113.571875</v>
      </c>
      <c r="W187" s="162">
        <f t="shared" si="92"/>
        <v>23130.607656250002</v>
      </c>
      <c r="X187" s="162">
        <f t="shared" si="93"/>
        <v>26600.1988046875</v>
      </c>
      <c r="Y187" s="162">
        <f t="shared" si="94"/>
        <v>30590.228625390628</v>
      </c>
      <c r="Z187" s="147">
        <f t="shared" si="95"/>
        <v>35178.762919199224</v>
      </c>
    </row>
    <row r="188" spans="1:26" ht="12.75">
      <c r="A188" s="81" t="s">
        <v>870</v>
      </c>
      <c r="B188" s="30">
        <v>0</v>
      </c>
      <c r="C188" s="78"/>
      <c r="D188" s="111" t="e">
        <f t="shared" si="86"/>
        <v>#DIV/0!</v>
      </c>
      <c r="E188" s="30">
        <f t="shared" si="84"/>
        <v>0</v>
      </c>
      <c r="F188" s="104"/>
      <c r="G188" s="270" t="e">
        <f t="shared" si="83"/>
        <v>#DIV/0!</v>
      </c>
      <c r="H188" s="267">
        <v>20000</v>
      </c>
      <c r="I188" s="111" t="e">
        <f t="shared" si="106"/>
        <v>#DIV/0!</v>
      </c>
      <c r="J188" s="30">
        <f t="shared" si="107"/>
        <v>47379</v>
      </c>
      <c r="K188" s="153">
        <v>20000</v>
      </c>
      <c r="L188" s="142">
        <f t="shared" si="108"/>
        <v>-1</v>
      </c>
      <c r="M188" s="143">
        <f t="shared" si="109"/>
        <v>-47379</v>
      </c>
      <c r="N188" s="176"/>
      <c r="O188" s="146" t="e">
        <f t="shared" si="87"/>
        <v>#DIV/0!</v>
      </c>
      <c r="P188" s="146">
        <v>0.15</v>
      </c>
      <c r="R188" s="162">
        <f t="shared" si="104"/>
        <v>0</v>
      </c>
      <c r="S188" s="162">
        <f t="shared" si="88"/>
        <v>0</v>
      </c>
      <c r="T188" s="162">
        <f t="shared" si="89"/>
        <v>0</v>
      </c>
      <c r="U188" s="162">
        <f t="shared" si="90"/>
        <v>0</v>
      </c>
      <c r="V188" s="162">
        <f t="shared" si="91"/>
        <v>0</v>
      </c>
      <c r="W188" s="162">
        <f t="shared" si="92"/>
        <v>0</v>
      </c>
      <c r="X188" s="162">
        <f t="shared" si="93"/>
        <v>0</v>
      </c>
      <c r="Y188" s="162">
        <f t="shared" si="94"/>
        <v>0</v>
      </c>
      <c r="Z188" s="147">
        <f t="shared" si="95"/>
        <v>0</v>
      </c>
    </row>
    <row r="189" spans="1:26" ht="12.75">
      <c r="A189" s="88" t="s">
        <v>871</v>
      </c>
      <c r="B189" s="30">
        <v>0</v>
      </c>
      <c r="C189" s="78"/>
      <c r="D189" s="111" t="e">
        <f t="shared" si="86"/>
        <v>#DIV/0!</v>
      </c>
      <c r="E189" s="30">
        <f t="shared" si="84"/>
        <v>0</v>
      </c>
      <c r="F189" s="104"/>
      <c r="G189" s="270" t="e">
        <f t="shared" si="83"/>
        <v>#DIV/0!</v>
      </c>
      <c r="H189" s="267">
        <v>13175</v>
      </c>
      <c r="I189" s="111" t="e">
        <f t="shared" si="106"/>
        <v>#DIV/0!</v>
      </c>
      <c r="J189" s="30">
        <f t="shared" si="107"/>
        <v>40000</v>
      </c>
      <c r="K189" s="153">
        <v>13500</v>
      </c>
      <c r="L189" s="142">
        <f t="shared" si="108"/>
        <v>-1</v>
      </c>
      <c r="M189" s="143">
        <f t="shared" si="109"/>
        <v>-40000</v>
      </c>
      <c r="N189" s="176"/>
      <c r="O189" s="146" t="e">
        <f t="shared" si="87"/>
        <v>#DIV/0!</v>
      </c>
      <c r="P189" s="146">
        <v>0.15</v>
      </c>
      <c r="R189" s="162">
        <f t="shared" si="104"/>
        <v>0</v>
      </c>
      <c r="S189" s="162">
        <f t="shared" si="88"/>
        <v>0</v>
      </c>
      <c r="T189" s="162">
        <f t="shared" si="89"/>
        <v>0</v>
      </c>
      <c r="U189" s="162">
        <f t="shared" si="90"/>
        <v>0</v>
      </c>
      <c r="V189" s="162">
        <f t="shared" si="91"/>
        <v>0</v>
      </c>
      <c r="W189" s="162">
        <f t="shared" si="92"/>
        <v>0</v>
      </c>
      <c r="X189" s="162">
        <f t="shared" si="93"/>
        <v>0</v>
      </c>
      <c r="Y189" s="162">
        <f t="shared" si="94"/>
        <v>0</v>
      </c>
      <c r="Z189" s="147">
        <f t="shared" si="95"/>
        <v>0</v>
      </c>
    </row>
    <row r="190" spans="1:26" ht="12.75">
      <c r="A190" s="88" t="s">
        <v>872</v>
      </c>
      <c r="B190" s="30">
        <v>0</v>
      </c>
      <c r="C190" s="78"/>
      <c r="D190" s="111" t="e">
        <f t="shared" si="86"/>
        <v>#DIV/0!</v>
      </c>
      <c r="E190" s="30">
        <f t="shared" si="84"/>
        <v>72418</v>
      </c>
      <c r="F190" s="104">
        <v>72418</v>
      </c>
      <c r="G190" s="270">
        <f t="shared" si="83"/>
        <v>-0.8929824076886962</v>
      </c>
      <c r="H190" s="267">
        <v>7750</v>
      </c>
      <c r="I190" s="111">
        <f t="shared" si="106"/>
        <v>-0.8981054433980502</v>
      </c>
      <c r="J190" s="30">
        <f t="shared" si="107"/>
        <v>-65039</v>
      </c>
      <c r="K190" s="153">
        <v>25000</v>
      </c>
      <c r="L190" s="142">
        <f t="shared" si="108"/>
        <v>12.551971811898632</v>
      </c>
      <c r="M190" s="143">
        <f t="shared" si="109"/>
        <v>92621</v>
      </c>
      <c r="N190" s="179">
        <v>100000</v>
      </c>
      <c r="O190" s="146" t="e">
        <f t="shared" si="87"/>
        <v>#DIV/0!</v>
      </c>
      <c r="P190" s="146">
        <v>0.15</v>
      </c>
      <c r="R190" s="162">
        <f t="shared" si="104"/>
        <v>115000</v>
      </c>
      <c r="S190" s="162">
        <f t="shared" si="88"/>
        <v>132250</v>
      </c>
      <c r="T190" s="162">
        <f t="shared" si="89"/>
        <v>152087.5</v>
      </c>
      <c r="U190" s="162">
        <f t="shared" si="90"/>
        <v>174900.625</v>
      </c>
      <c r="V190" s="162">
        <f t="shared" si="91"/>
        <v>201135.71875</v>
      </c>
      <c r="W190" s="162">
        <f t="shared" si="92"/>
        <v>231306.0765625</v>
      </c>
      <c r="X190" s="162">
        <f t="shared" si="93"/>
        <v>266001.988046875</v>
      </c>
      <c r="Y190" s="162">
        <f t="shared" si="94"/>
        <v>305902.28625390626</v>
      </c>
      <c r="Z190" s="147">
        <f t="shared" si="95"/>
        <v>351787.6291919922</v>
      </c>
    </row>
    <row r="191" spans="1:26" ht="12.75">
      <c r="A191" s="88" t="s">
        <v>873</v>
      </c>
      <c r="B191" s="30">
        <v>0</v>
      </c>
      <c r="C191" s="78"/>
      <c r="D191" s="111" t="e">
        <f t="shared" si="86"/>
        <v>#DIV/0!</v>
      </c>
      <c r="E191" s="30">
        <f t="shared" si="84"/>
        <v>0</v>
      </c>
      <c r="F191" s="104"/>
      <c r="G191" s="270" t="e">
        <f t="shared" si="83"/>
        <v>#DIV/0!</v>
      </c>
      <c r="H191" s="267">
        <v>13631</v>
      </c>
      <c r="I191" s="111" t="e">
        <f t="shared" si="106"/>
        <v>#DIV/0!</v>
      </c>
      <c r="J191" s="30">
        <f t="shared" si="107"/>
        <v>15000</v>
      </c>
      <c r="K191" s="153">
        <v>30000</v>
      </c>
      <c r="L191" s="142">
        <f t="shared" si="108"/>
        <v>3.666666666666667</v>
      </c>
      <c r="M191" s="143">
        <f t="shared" si="109"/>
        <v>55000</v>
      </c>
      <c r="N191" s="179">
        <f>20000+30000+20000</f>
        <v>70000</v>
      </c>
      <c r="O191" s="146" t="e">
        <f t="shared" si="87"/>
        <v>#DIV/0!</v>
      </c>
      <c r="P191" s="146">
        <v>0.15</v>
      </c>
      <c r="R191" s="162">
        <f t="shared" si="104"/>
        <v>80500</v>
      </c>
      <c r="S191" s="162">
        <f t="shared" si="88"/>
        <v>92575</v>
      </c>
      <c r="T191" s="162">
        <f t="shared" si="89"/>
        <v>106461.25</v>
      </c>
      <c r="U191" s="162">
        <f t="shared" si="90"/>
        <v>122430.4375</v>
      </c>
      <c r="V191" s="162">
        <f t="shared" si="91"/>
        <v>140795.003125</v>
      </c>
      <c r="W191" s="162">
        <f t="shared" si="92"/>
        <v>161914.25359374998</v>
      </c>
      <c r="X191" s="162">
        <f t="shared" si="93"/>
        <v>186201.39163281248</v>
      </c>
      <c r="Y191" s="162">
        <f t="shared" si="94"/>
        <v>214131.60037773434</v>
      </c>
      <c r="Z191" s="147">
        <f t="shared" si="95"/>
        <v>246251.3404343945</v>
      </c>
    </row>
    <row r="192" spans="1:26" ht="12.75">
      <c r="A192" s="89" t="s">
        <v>874</v>
      </c>
      <c r="B192" s="30">
        <v>0</v>
      </c>
      <c r="C192" s="78"/>
      <c r="D192" s="111" t="e">
        <f t="shared" si="86"/>
        <v>#DIV/0!</v>
      </c>
      <c r="E192" s="30">
        <f t="shared" si="84"/>
        <v>0</v>
      </c>
      <c r="F192" s="104">
        <v>0</v>
      </c>
      <c r="G192" s="270" t="e">
        <f t="shared" si="83"/>
        <v>#DIV/0!</v>
      </c>
      <c r="H192" s="267">
        <v>7076</v>
      </c>
      <c r="I192" s="111" t="e">
        <f t="shared" si="106"/>
        <v>#DIV/0!</v>
      </c>
      <c r="J192" s="30">
        <f t="shared" si="107"/>
        <v>15000</v>
      </c>
      <c r="K192" s="84">
        <f>SUM(K193:K194)</f>
        <v>47379</v>
      </c>
      <c r="L192" s="142">
        <f t="shared" si="108"/>
        <v>-1</v>
      </c>
      <c r="M192" s="143">
        <f t="shared" si="109"/>
        <v>-15000</v>
      </c>
      <c r="N192" s="167">
        <f>SUM(N193:N194)</f>
        <v>0</v>
      </c>
      <c r="O192" s="146" t="e">
        <f t="shared" si="87"/>
        <v>#DIV/0!</v>
      </c>
      <c r="P192" s="146"/>
      <c r="R192" s="186">
        <f aca="true" t="shared" si="112" ref="R192:Z192">SUM(R193:R194)</f>
        <v>0</v>
      </c>
      <c r="S192" s="167">
        <f t="shared" si="112"/>
        <v>0</v>
      </c>
      <c r="T192" s="167">
        <f t="shared" si="112"/>
        <v>0</v>
      </c>
      <c r="U192" s="167">
        <f t="shared" si="112"/>
        <v>0</v>
      </c>
      <c r="V192" s="167">
        <f t="shared" si="112"/>
        <v>0</v>
      </c>
      <c r="W192" s="167">
        <f t="shared" si="112"/>
        <v>0</v>
      </c>
      <c r="X192" s="167">
        <f t="shared" si="112"/>
        <v>0</v>
      </c>
      <c r="Y192" s="167">
        <f t="shared" si="112"/>
        <v>0</v>
      </c>
      <c r="Z192" s="167">
        <f t="shared" si="112"/>
        <v>0</v>
      </c>
    </row>
    <row r="193" spans="1:26" ht="12.75">
      <c r="A193" s="81" t="s">
        <v>875</v>
      </c>
      <c r="B193" s="30">
        <v>0</v>
      </c>
      <c r="C193" s="78"/>
      <c r="D193" s="111" t="e">
        <f t="shared" si="86"/>
        <v>#DIV/0!</v>
      </c>
      <c r="E193" s="30">
        <f t="shared" si="84"/>
        <v>0</v>
      </c>
      <c r="F193" s="104"/>
      <c r="G193" s="270" t="e">
        <f t="shared" si="83"/>
        <v>#DIV/0!</v>
      </c>
      <c r="H193" s="267">
        <v>0</v>
      </c>
      <c r="I193" s="111" t="e">
        <f t="shared" si="106"/>
        <v>#DIV/0!</v>
      </c>
      <c r="J193" s="30">
        <f t="shared" si="107"/>
        <v>10570318</v>
      </c>
      <c r="K193" s="153">
        <v>40000</v>
      </c>
      <c r="L193" s="142">
        <f t="shared" si="108"/>
        <v>-1</v>
      </c>
      <c r="M193" s="143">
        <f t="shared" si="109"/>
        <v>-10570318</v>
      </c>
      <c r="N193" s="147"/>
      <c r="O193" s="146" t="e">
        <f t="shared" si="87"/>
        <v>#DIV/0!</v>
      </c>
      <c r="P193" s="146"/>
      <c r="R193" s="162">
        <f t="shared" si="104"/>
        <v>0</v>
      </c>
      <c r="S193" s="147">
        <f t="shared" si="88"/>
        <v>0</v>
      </c>
      <c r="T193" s="147">
        <f t="shared" si="89"/>
        <v>0</v>
      </c>
      <c r="U193" s="147">
        <f t="shared" si="90"/>
        <v>0</v>
      </c>
      <c r="V193" s="147">
        <f t="shared" si="91"/>
        <v>0</v>
      </c>
      <c r="W193" s="147">
        <f t="shared" si="92"/>
        <v>0</v>
      </c>
      <c r="X193" s="147">
        <f t="shared" si="93"/>
        <v>0</v>
      </c>
      <c r="Y193" s="147">
        <f t="shared" si="94"/>
        <v>0</v>
      </c>
      <c r="Z193" s="147">
        <f t="shared" si="95"/>
        <v>0</v>
      </c>
    </row>
    <row r="194" spans="1:26" ht="12.75">
      <c r="A194" s="81" t="s">
        <v>876</v>
      </c>
      <c r="B194" s="30">
        <v>0</v>
      </c>
      <c r="C194" s="78"/>
      <c r="D194" s="111" t="e">
        <f t="shared" si="86"/>
        <v>#DIV/0!</v>
      </c>
      <c r="E194" s="30">
        <f t="shared" si="84"/>
        <v>0</v>
      </c>
      <c r="F194" s="104"/>
      <c r="G194" s="270" t="e">
        <f t="shared" si="83"/>
        <v>#DIV/0!</v>
      </c>
      <c r="H194" s="267">
        <v>7076</v>
      </c>
      <c r="I194" s="111" t="e">
        <f t="shared" si="106"/>
        <v>#DIV/0!</v>
      </c>
      <c r="J194" s="30">
        <f t="shared" si="107"/>
        <v>1767722</v>
      </c>
      <c r="K194" s="153">
        <v>7379</v>
      </c>
      <c r="L194" s="142">
        <f t="shared" si="108"/>
        <v>-1</v>
      </c>
      <c r="M194" s="143">
        <f t="shared" si="109"/>
        <v>-1767722</v>
      </c>
      <c r="N194" s="147"/>
      <c r="O194" s="146" t="e">
        <f t="shared" si="87"/>
        <v>#DIV/0!</v>
      </c>
      <c r="P194" s="146"/>
      <c r="R194" s="162">
        <f t="shared" si="104"/>
        <v>0</v>
      </c>
      <c r="S194" s="147">
        <f t="shared" si="88"/>
        <v>0</v>
      </c>
      <c r="T194" s="147">
        <f t="shared" si="89"/>
        <v>0</v>
      </c>
      <c r="U194" s="147">
        <f t="shared" si="90"/>
        <v>0</v>
      </c>
      <c r="V194" s="147">
        <f t="shared" si="91"/>
        <v>0</v>
      </c>
      <c r="W194" s="147">
        <f t="shared" si="92"/>
        <v>0</v>
      </c>
      <c r="X194" s="147">
        <f t="shared" si="93"/>
        <v>0</v>
      </c>
      <c r="Y194" s="147">
        <f t="shared" si="94"/>
        <v>0</v>
      </c>
      <c r="Z194" s="147">
        <f t="shared" si="95"/>
        <v>0</v>
      </c>
    </row>
    <row r="195" spans="1:26" ht="12.75">
      <c r="A195" s="89" t="s">
        <v>877</v>
      </c>
      <c r="B195" s="30">
        <v>0</v>
      </c>
      <c r="C195" s="78"/>
      <c r="D195" s="111" t="e">
        <f t="shared" si="86"/>
        <v>#DIV/0!</v>
      </c>
      <c r="E195" s="30">
        <f t="shared" si="84"/>
        <v>15903</v>
      </c>
      <c r="F195" s="84">
        <f>SUM(F196)</f>
        <v>15903</v>
      </c>
      <c r="G195" s="270">
        <f t="shared" si="83"/>
        <v>-0.10048418537382886</v>
      </c>
      <c r="H195" s="267">
        <v>14305</v>
      </c>
      <c r="I195" s="111">
        <f t="shared" si="106"/>
        <v>3.6208262591963782</v>
      </c>
      <c r="J195" s="30">
        <f t="shared" si="107"/>
        <v>57582</v>
      </c>
      <c r="K195" s="84">
        <f>SUM(K196)</f>
        <v>15000</v>
      </c>
      <c r="L195" s="142">
        <f t="shared" si="108"/>
        <v>-1</v>
      </c>
      <c r="M195" s="143">
        <f t="shared" si="109"/>
        <v>-73485</v>
      </c>
      <c r="N195" s="167">
        <f>SUM(N196)</f>
        <v>0</v>
      </c>
      <c r="O195" s="146" t="e">
        <f t="shared" si="87"/>
        <v>#DIV/0!</v>
      </c>
      <c r="P195" s="146"/>
      <c r="R195" s="186">
        <f aca="true" t="shared" si="113" ref="R195:Z195">SUM(R196)</f>
        <v>0</v>
      </c>
      <c r="S195" s="167">
        <f t="shared" si="113"/>
        <v>0</v>
      </c>
      <c r="T195" s="167">
        <f t="shared" si="113"/>
        <v>0</v>
      </c>
      <c r="U195" s="167">
        <f t="shared" si="113"/>
        <v>0</v>
      </c>
      <c r="V195" s="167">
        <f t="shared" si="113"/>
        <v>0</v>
      </c>
      <c r="W195" s="167">
        <f t="shared" si="113"/>
        <v>0</v>
      </c>
      <c r="X195" s="167">
        <f t="shared" si="113"/>
        <v>0</v>
      </c>
      <c r="Y195" s="167">
        <f t="shared" si="113"/>
        <v>0</v>
      </c>
      <c r="Z195" s="167">
        <f t="shared" si="113"/>
        <v>0</v>
      </c>
    </row>
    <row r="196" spans="1:26" ht="12.75">
      <c r="A196" s="81" t="s">
        <v>878</v>
      </c>
      <c r="B196" s="30">
        <v>0</v>
      </c>
      <c r="C196" s="78"/>
      <c r="D196" s="111" t="e">
        <f t="shared" si="86"/>
        <v>#DIV/0!</v>
      </c>
      <c r="E196" s="30">
        <f t="shared" si="84"/>
        <v>15903</v>
      </c>
      <c r="F196" s="104">
        <v>15903</v>
      </c>
      <c r="G196" s="270">
        <f aca="true" t="shared" si="114" ref="G196:G259">H196/F196-1</f>
        <v>-0.10048418537382886</v>
      </c>
      <c r="H196" s="267">
        <v>14305</v>
      </c>
      <c r="I196" s="111">
        <f t="shared" si="106"/>
        <v>3.6208262591963782</v>
      </c>
      <c r="J196" s="30">
        <f>K196-F196</f>
        <v>-903</v>
      </c>
      <c r="K196" s="153">
        <v>15000</v>
      </c>
      <c r="L196" s="142">
        <f t="shared" si="108"/>
        <v>-1</v>
      </c>
      <c r="M196" s="143">
        <f t="shared" si="109"/>
        <v>-73485</v>
      </c>
      <c r="N196" s="179">
        <v>0</v>
      </c>
      <c r="O196" s="146" t="e">
        <f t="shared" si="87"/>
        <v>#DIV/0!</v>
      </c>
      <c r="P196" s="146"/>
      <c r="R196" s="162">
        <f t="shared" si="104"/>
        <v>0</v>
      </c>
      <c r="S196" s="147">
        <f t="shared" si="88"/>
        <v>0</v>
      </c>
      <c r="T196" s="147">
        <f t="shared" si="89"/>
        <v>0</v>
      </c>
      <c r="U196" s="147">
        <f t="shared" si="90"/>
        <v>0</v>
      </c>
      <c r="V196" s="147">
        <f t="shared" si="91"/>
        <v>0</v>
      </c>
      <c r="W196" s="147">
        <f t="shared" si="92"/>
        <v>0</v>
      </c>
      <c r="X196" s="147">
        <f t="shared" si="93"/>
        <v>0</v>
      </c>
      <c r="Y196" s="147">
        <f t="shared" si="94"/>
        <v>0</v>
      </c>
      <c r="Z196" s="147">
        <f t="shared" si="95"/>
        <v>0</v>
      </c>
    </row>
    <row r="197" spans="1:26" ht="12.75">
      <c r="A197" s="150" t="s">
        <v>879</v>
      </c>
      <c r="B197" s="98">
        <v>8346859</v>
      </c>
      <c r="C197" s="78"/>
      <c r="D197" s="111">
        <f t="shared" si="86"/>
        <v>0.19203920432823907</v>
      </c>
      <c r="E197" s="30">
        <f t="shared" si="84"/>
        <v>1602924.1610000003</v>
      </c>
      <c r="F197" s="105">
        <v>9949783.161</v>
      </c>
      <c r="G197" s="270">
        <f t="shared" si="114"/>
        <v>-0.5329759528615721</v>
      </c>
      <c r="H197" s="267">
        <v>4646788</v>
      </c>
      <c r="I197" s="111">
        <f t="shared" si="106"/>
        <v>-0.8297212137606302</v>
      </c>
      <c r="J197" s="30">
        <f t="shared" si="107"/>
        <v>-8255546.161</v>
      </c>
      <c r="K197" s="169">
        <f>SUM(K198+K260+K303+K411+K423+K458+K465)</f>
        <v>10570318</v>
      </c>
      <c r="L197" s="142">
        <f t="shared" si="108"/>
        <v>6.3923258670422145</v>
      </c>
      <c r="M197" s="143">
        <f t="shared" si="109"/>
        <v>10830115</v>
      </c>
      <c r="N197" s="169">
        <f>SUM(N198+N260+N303+N411+N423+N458+N465)</f>
        <v>12524352</v>
      </c>
      <c r="O197" s="146">
        <f t="shared" si="87"/>
        <v>1.9182146192032743</v>
      </c>
      <c r="P197" s="146"/>
      <c r="R197" s="167">
        <f aca="true" t="shared" si="115" ref="R197:Z197">SUM(R198+R260+R303+R411+R423+R458+R465)</f>
        <v>13463678.399999999</v>
      </c>
      <c r="S197" s="167">
        <f t="shared" si="115"/>
        <v>14473454.28</v>
      </c>
      <c r="T197" s="167">
        <f t="shared" si="115"/>
        <v>15631330.622399999</v>
      </c>
      <c r="U197" s="167">
        <f t="shared" si="115"/>
        <v>16881837.072192002</v>
      </c>
      <c r="V197" s="167">
        <f t="shared" si="115"/>
        <v>18232142.82750441</v>
      </c>
      <c r="W197" s="167">
        <f t="shared" si="115"/>
        <v>19690714.25370476</v>
      </c>
      <c r="X197" s="167">
        <f t="shared" si="115"/>
        <v>21265971.394001145</v>
      </c>
      <c r="Y197" s="167">
        <f t="shared" si="115"/>
        <v>22967249.105521236</v>
      </c>
      <c r="Z197" s="167">
        <f t="shared" si="115"/>
        <v>24803614.377294015</v>
      </c>
    </row>
    <row r="198" spans="1:26" ht="12.75">
      <c r="A198" s="150" t="s">
        <v>356</v>
      </c>
      <c r="B198" s="98">
        <v>858765</v>
      </c>
      <c r="C198" s="78"/>
      <c r="D198" s="111">
        <f t="shared" si="86"/>
        <v>2.197823586196457</v>
      </c>
      <c r="E198" s="30">
        <f t="shared" si="84"/>
        <v>1887413.972</v>
      </c>
      <c r="F198" s="84">
        <f>SUM(F199+F201)</f>
        <v>2746178.972</v>
      </c>
      <c r="G198" s="270">
        <f t="shared" si="114"/>
        <v>-0.41570559808364893</v>
      </c>
      <c r="H198" s="267">
        <v>1604577</v>
      </c>
      <c r="I198" s="111">
        <f t="shared" si="106"/>
        <v>-0.8750048691291196</v>
      </c>
      <c r="J198" s="30">
        <f t="shared" si="107"/>
        <v>-2402919.972</v>
      </c>
      <c r="K198" s="84">
        <f>SUM(K199+K201)</f>
        <v>1767722</v>
      </c>
      <c r="L198" s="142">
        <f t="shared" si="108"/>
        <v>3.8751846273513584</v>
      </c>
      <c r="M198" s="143">
        <f t="shared" si="109"/>
        <v>1330192</v>
      </c>
      <c r="N198" s="167">
        <f>SUM(N199+N201)</f>
        <v>1673451</v>
      </c>
      <c r="O198" s="146">
        <f t="shared" si="87"/>
        <v>1.7326677814728988</v>
      </c>
      <c r="P198" s="146"/>
      <c r="R198" s="167">
        <f aca="true" t="shared" si="116" ref="R198:Z198">SUM(R199+R201)</f>
        <v>1798959.825</v>
      </c>
      <c r="S198" s="167">
        <f t="shared" si="116"/>
        <v>1933881.811875</v>
      </c>
      <c r="T198" s="167">
        <f t="shared" si="116"/>
        <v>2088592.356825</v>
      </c>
      <c r="U198" s="167">
        <f t="shared" si="116"/>
        <v>2255679.745371</v>
      </c>
      <c r="V198" s="167">
        <f t="shared" si="116"/>
        <v>2436134.1250006794</v>
      </c>
      <c r="W198" s="167">
        <f t="shared" si="116"/>
        <v>2631024.855000734</v>
      </c>
      <c r="X198" s="167">
        <f t="shared" si="116"/>
        <v>2841506.843400793</v>
      </c>
      <c r="Y198" s="167">
        <f t="shared" si="116"/>
        <v>3068827.3908728566</v>
      </c>
      <c r="Z198" s="167">
        <f t="shared" si="116"/>
        <v>3314333.5821426846</v>
      </c>
    </row>
    <row r="199" spans="1:26" ht="12.75">
      <c r="A199" s="86" t="s">
        <v>880</v>
      </c>
      <c r="B199" s="30"/>
      <c r="C199" s="78"/>
      <c r="D199" s="111" t="e">
        <f t="shared" si="86"/>
        <v>#DIV/0!</v>
      </c>
      <c r="E199" s="30">
        <f t="shared" si="84"/>
        <v>96648.193</v>
      </c>
      <c r="F199" s="84">
        <f>SUM(F200)</f>
        <v>96648.193</v>
      </c>
      <c r="G199" s="270">
        <f t="shared" si="114"/>
        <v>-0.25854795857383495</v>
      </c>
      <c r="H199" s="267">
        <v>71660</v>
      </c>
      <c r="I199" s="111">
        <f t="shared" si="106"/>
        <v>-1</v>
      </c>
      <c r="J199" s="30">
        <f t="shared" si="107"/>
        <v>-96648.193</v>
      </c>
      <c r="K199" s="84">
        <f>SUM(K200)</f>
        <v>73485</v>
      </c>
      <c r="L199" s="142" t="e">
        <f t="shared" si="108"/>
        <v>#DIV/0!</v>
      </c>
      <c r="M199" s="143">
        <f t="shared" si="109"/>
        <v>73485</v>
      </c>
      <c r="N199" s="167">
        <f>SUM(N200)</f>
        <v>73485</v>
      </c>
      <c r="O199" s="146" t="e">
        <f t="shared" si="87"/>
        <v>#DIV/0!</v>
      </c>
      <c r="P199" s="146"/>
      <c r="R199" s="167">
        <f aca="true" t="shared" si="117" ref="R199:Z199">SUM(R200)</f>
        <v>78996.375</v>
      </c>
      <c r="S199" s="167">
        <f t="shared" si="117"/>
        <v>84921.103125</v>
      </c>
      <c r="T199" s="167">
        <f t="shared" si="117"/>
        <v>91714.791375</v>
      </c>
      <c r="U199" s="167">
        <f t="shared" si="117"/>
        <v>99051.974685</v>
      </c>
      <c r="V199" s="167">
        <f t="shared" si="117"/>
        <v>106976.13265979999</v>
      </c>
      <c r="W199" s="167">
        <f t="shared" si="117"/>
        <v>115534.22327258399</v>
      </c>
      <c r="X199" s="167">
        <f t="shared" si="117"/>
        <v>124776.9611343907</v>
      </c>
      <c r="Y199" s="167">
        <f t="shared" si="117"/>
        <v>134759.11802514194</v>
      </c>
      <c r="Z199" s="167">
        <f t="shared" si="117"/>
        <v>145539.8474671533</v>
      </c>
    </row>
    <row r="200" spans="1:26" ht="12.75">
      <c r="A200" s="81" t="s">
        <v>881</v>
      </c>
      <c r="B200" s="30"/>
      <c r="C200" s="78"/>
      <c r="D200" s="111" t="e">
        <f t="shared" si="86"/>
        <v>#DIV/0!</v>
      </c>
      <c r="E200" s="30">
        <f t="shared" si="84"/>
        <v>96648.193</v>
      </c>
      <c r="F200" s="104">
        <v>96648.193</v>
      </c>
      <c r="G200" s="270">
        <f t="shared" si="114"/>
        <v>-0.25854795857383495</v>
      </c>
      <c r="H200" s="267">
        <v>71660</v>
      </c>
      <c r="I200" s="111">
        <f t="shared" si="106"/>
        <v>0.566092394505503</v>
      </c>
      <c r="J200" s="30">
        <f t="shared" si="107"/>
        <v>54711.807</v>
      </c>
      <c r="K200" s="153">
        <v>73485</v>
      </c>
      <c r="L200" s="142">
        <f t="shared" si="108"/>
        <v>-0.5145018498942917</v>
      </c>
      <c r="M200" s="143">
        <f t="shared" si="109"/>
        <v>-77875</v>
      </c>
      <c r="N200" s="179">
        <v>73485</v>
      </c>
      <c r="O200" s="146" t="e">
        <f t="shared" si="87"/>
        <v>#DIV/0!</v>
      </c>
      <c r="P200" s="146">
        <v>0.075</v>
      </c>
      <c r="Q200" s="178">
        <v>0.08</v>
      </c>
      <c r="R200" s="162">
        <f t="shared" si="104"/>
        <v>78996.375</v>
      </c>
      <c r="S200" s="162">
        <f t="shared" si="88"/>
        <v>84921.103125</v>
      </c>
      <c r="T200" s="162">
        <f>(S200*Q200)+S200</f>
        <v>91714.791375</v>
      </c>
      <c r="U200" s="162">
        <f>(T200*Q200)+T200</f>
        <v>99051.974685</v>
      </c>
      <c r="V200" s="162">
        <f>(U200*Q200)+U200</f>
        <v>106976.13265979999</v>
      </c>
      <c r="W200" s="162">
        <f>(V200*Q200)+V200</f>
        <v>115534.22327258399</v>
      </c>
      <c r="X200" s="162">
        <f>(W200*Q200)+W200</f>
        <v>124776.9611343907</v>
      </c>
      <c r="Y200" s="162">
        <f>(X200*Q200)+X200</f>
        <v>134759.11802514194</v>
      </c>
      <c r="Z200" s="147">
        <f>(Y200*Q200)+Y200</f>
        <v>145539.8474671533</v>
      </c>
    </row>
    <row r="201" spans="1:26" ht="12.75">
      <c r="A201" s="86" t="s">
        <v>362</v>
      </c>
      <c r="B201" s="30"/>
      <c r="C201" s="78"/>
      <c r="D201" s="111" t="e">
        <f t="shared" si="86"/>
        <v>#DIV/0!</v>
      </c>
      <c r="E201" s="30">
        <f t="shared" si="84"/>
        <v>2649530.779</v>
      </c>
      <c r="F201" s="84">
        <f>SUM(F202+F209)</f>
        <v>2649530.779</v>
      </c>
      <c r="G201" s="270">
        <f t="shared" si="114"/>
        <v>-0.4214383119645956</v>
      </c>
      <c r="H201" s="267">
        <v>1532917</v>
      </c>
      <c r="I201" s="111">
        <f t="shared" si="106"/>
        <v>-0.9701501863549402</v>
      </c>
      <c r="J201" s="30">
        <f t="shared" si="107"/>
        <v>-2570442.779</v>
      </c>
      <c r="K201" s="84">
        <f>SUM(K202+K209)</f>
        <v>1694237</v>
      </c>
      <c r="L201" s="142">
        <f t="shared" si="108"/>
        <v>19.23019927169735</v>
      </c>
      <c r="M201" s="143">
        <f t="shared" si="109"/>
        <v>1520878</v>
      </c>
      <c r="N201" s="167">
        <f>SUM(N202+N209)</f>
        <v>1599966</v>
      </c>
      <c r="O201" s="146" t="e">
        <f t="shared" si="87"/>
        <v>#DIV/0!</v>
      </c>
      <c r="P201" s="146"/>
      <c r="R201" s="167">
        <f aca="true" t="shared" si="118" ref="R201:Z201">SUM(R202+R209)</f>
        <v>1719963.45</v>
      </c>
      <c r="S201" s="167">
        <f t="shared" si="118"/>
        <v>1848960.70875</v>
      </c>
      <c r="T201" s="167">
        <f t="shared" si="118"/>
        <v>1996877.5654499999</v>
      </c>
      <c r="U201" s="167">
        <f t="shared" si="118"/>
        <v>2156627.770686</v>
      </c>
      <c r="V201" s="167">
        <f t="shared" si="118"/>
        <v>2329157.9923408795</v>
      </c>
      <c r="W201" s="167">
        <f t="shared" si="118"/>
        <v>2515490.63172815</v>
      </c>
      <c r="X201" s="167">
        <f t="shared" si="118"/>
        <v>2716729.8822664022</v>
      </c>
      <c r="Y201" s="167">
        <f t="shared" si="118"/>
        <v>2934068.272847715</v>
      </c>
      <c r="Z201" s="167">
        <f t="shared" si="118"/>
        <v>3168793.7346755313</v>
      </c>
    </row>
    <row r="202" spans="1:26" ht="12.75">
      <c r="A202" s="86" t="s">
        <v>882</v>
      </c>
      <c r="B202" s="98">
        <v>118890</v>
      </c>
      <c r="C202" s="78"/>
      <c r="D202" s="111">
        <f t="shared" si="86"/>
        <v>1.656937993102868</v>
      </c>
      <c r="E202" s="30">
        <f t="shared" si="84"/>
        <v>196993.358</v>
      </c>
      <c r="F202" s="84">
        <f>SUM(F203:F208)</f>
        <v>315883.358</v>
      </c>
      <c r="G202" s="270">
        <f t="shared" si="114"/>
        <v>-0.05830746550440302</v>
      </c>
      <c r="H202" s="267">
        <v>297465</v>
      </c>
      <c r="I202" s="111">
        <f t="shared" si="106"/>
        <v>-1</v>
      </c>
      <c r="J202" s="30">
        <f t="shared" si="107"/>
        <v>-315883.358</v>
      </c>
      <c r="K202" s="84">
        <f>SUM(K203:K208)</f>
        <v>343259</v>
      </c>
      <c r="L202" s="142" t="e">
        <f t="shared" si="108"/>
        <v>#DIV/0!</v>
      </c>
      <c r="M202" s="143">
        <f t="shared" si="109"/>
        <v>253989</v>
      </c>
      <c r="N202" s="167">
        <f>SUM(N203:N208)</f>
        <v>253989</v>
      </c>
      <c r="O202" s="146" t="e">
        <f t="shared" si="87"/>
        <v>#DIV/0!</v>
      </c>
      <c r="P202" s="146"/>
      <c r="R202" s="167">
        <f aca="true" t="shared" si="119" ref="R202:Z202">SUM(R203:R208)</f>
        <v>273038.175</v>
      </c>
      <c r="S202" s="167">
        <f t="shared" si="119"/>
        <v>293516.038125</v>
      </c>
      <c r="T202" s="167">
        <f t="shared" si="119"/>
        <v>316997.321175</v>
      </c>
      <c r="U202" s="167">
        <f t="shared" si="119"/>
        <v>342357.106869</v>
      </c>
      <c r="V202" s="167">
        <f t="shared" si="119"/>
        <v>369745.67541852</v>
      </c>
      <c r="W202" s="167">
        <f t="shared" si="119"/>
        <v>399325.3294520016</v>
      </c>
      <c r="X202" s="167">
        <f t="shared" si="119"/>
        <v>431271.3558081617</v>
      </c>
      <c r="Y202" s="167">
        <f t="shared" si="119"/>
        <v>465773.0642728147</v>
      </c>
      <c r="Z202" s="167">
        <f t="shared" si="119"/>
        <v>503034.9094146399</v>
      </c>
    </row>
    <row r="203" spans="1:26" ht="12.75">
      <c r="A203" s="81" t="s">
        <v>366</v>
      </c>
      <c r="B203" s="30">
        <v>0</v>
      </c>
      <c r="C203" s="78"/>
      <c r="D203" s="111" t="e">
        <f t="shared" si="86"/>
        <v>#DIV/0!</v>
      </c>
      <c r="E203" s="30">
        <f aca="true" t="shared" si="120" ref="E203:E267">F203-B203</f>
        <v>7137.561</v>
      </c>
      <c r="F203" s="104">
        <v>7137.561</v>
      </c>
      <c r="G203" s="270">
        <f t="shared" si="114"/>
        <v>-1</v>
      </c>
      <c r="H203" s="267">
        <v>0</v>
      </c>
      <c r="I203" s="111">
        <f t="shared" si="106"/>
        <v>13.68442791592254</v>
      </c>
      <c r="J203" s="30">
        <f t="shared" si="107"/>
        <v>97673.439</v>
      </c>
      <c r="K203" s="153">
        <v>0</v>
      </c>
      <c r="L203" s="142">
        <f t="shared" si="108"/>
        <v>-1</v>
      </c>
      <c r="M203" s="143">
        <f t="shared" si="109"/>
        <v>-104811</v>
      </c>
      <c r="N203" s="179">
        <v>0</v>
      </c>
      <c r="O203" s="146" t="e">
        <f t="shared" si="87"/>
        <v>#DIV/0!</v>
      </c>
      <c r="P203" s="146">
        <v>0.075</v>
      </c>
      <c r="Q203" s="178">
        <v>0.08</v>
      </c>
      <c r="R203" s="162">
        <f t="shared" si="104"/>
        <v>0</v>
      </c>
      <c r="S203" s="162">
        <f t="shared" si="88"/>
        <v>0</v>
      </c>
      <c r="T203" s="162">
        <f aca="true" t="shared" si="121" ref="T203:T208">(S203*Q203)+S203</f>
        <v>0</v>
      </c>
      <c r="U203" s="162">
        <f aca="true" t="shared" si="122" ref="U203:U208">(T203*Q203)+T203</f>
        <v>0</v>
      </c>
      <c r="V203" s="162">
        <f aca="true" t="shared" si="123" ref="V203:V208">(U203*Q203)+U203</f>
        <v>0</v>
      </c>
      <c r="W203" s="162">
        <f aca="true" t="shared" si="124" ref="W203:W208">(V203*Q203)+V203</f>
        <v>0</v>
      </c>
      <c r="X203" s="162">
        <f aca="true" t="shared" si="125" ref="X203:X208">(W203*Q203)+W203</f>
        <v>0</v>
      </c>
      <c r="Y203" s="162">
        <f aca="true" t="shared" si="126" ref="Y203:Y208">(X203*Q203)+X203</f>
        <v>0</v>
      </c>
      <c r="Z203" s="147">
        <f aca="true" t="shared" si="127" ref="Z203:Z208">(Y203*Q203)+Y203</f>
        <v>0</v>
      </c>
    </row>
    <row r="204" spans="1:26" ht="12.75">
      <c r="A204" s="81" t="s">
        <v>883</v>
      </c>
      <c r="B204" s="30">
        <v>0</v>
      </c>
      <c r="C204" s="78"/>
      <c r="D204" s="111" t="e">
        <f t="shared" si="86"/>
        <v>#DIV/0!</v>
      </c>
      <c r="E204" s="30">
        <f t="shared" si="120"/>
        <v>0</v>
      </c>
      <c r="F204" s="104">
        <v>0</v>
      </c>
      <c r="G204" s="270" t="e">
        <f t="shared" si="114"/>
        <v>#DIV/0!</v>
      </c>
      <c r="H204" s="267">
        <v>151213</v>
      </c>
      <c r="I204" s="111" t="e">
        <f t="shared" si="106"/>
        <v>#DIV/0!</v>
      </c>
      <c r="J204" s="30">
        <f t="shared" si="107"/>
        <v>8000</v>
      </c>
      <c r="K204" s="153">
        <v>151360</v>
      </c>
      <c r="L204" s="142">
        <f t="shared" si="108"/>
        <v>19</v>
      </c>
      <c r="M204" s="143">
        <f t="shared" si="109"/>
        <v>152000</v>
      </c>
      <c r="N204" s="179">
        <v>160000</v>
      </c>
      <c r="O204" s="146" t="e">
        <f t="shared" si="87"/>
        <v>#DIV/0!</v>
      </c>
      <c r="P204" s="146">
        <v>0.075</v>
      </c>
      <c r="Q204" s="178">
        <v>0.08</v>
      </c>
      <c r="R204" s="162">
        <f t="shared" si="104"/>
        <v>172000</v>
      </c>
      <c r="S204" s="162">
        <f t="shared" si="88"/>
        <v>184900</v>
      </c>
      <c r="T204" s="162">
        <f t="shared" si="121"/>
        <v>199692</v>
      </c>
      <c r="U204" s="162">
        <f t="shared" si="122"/>
        <v>215667.36</v>
      </c>
      <c r="V204" s="162">
        <f t="shared" si="123"/>
        <v>232920.7488</v>
      </c>
      <c r="W204" s="162">
        <f t="shared" si="124"/>
        <v>251554.408704</v>
      </c>
      <c r="X204" s="162">
        <f t="shared" si="125"/>
        <v>271678.76140032</v>
      </c>
      <c r="Y204" s="162">
        <f t="shared" si="126"/>
        <v>293413.0623123456</v>
      </c>
      <c r="Z204" s="147">
        <f t="shared" si="127"/>
        <v>316886.10729733325</v>
      </c>
    </row>
    <row r="205" spans="1:26" ht="12.75">
      <c r="A205" s="81" t="s">
        <v>884</v>
      </c>
      <c r="B205" s="30">
        <v>0</v>
      </c>
      <c r="C205" s="78"/>
      <c r="D205" s="111" t="e">
        <f t="shared" si="86"/>
        <v>#DIV/0!</v>
      </c>
      <c r="E205" s="30">
        <f t="shared" si="120"/>
        <v>62056</v>
      </c>
      <c r="F205" s="104">
        <v>62056</v>
      </c>
      <c r="G205" s="270">
        <f t="shared" si="114"/>
        <v>0.1061460616217611</v>
      </c>
      <c r="H205" s="267">
        <v>68643</v>
      </c>
      <c r="I205" s="111">
        <f t="shared" si="106"/>
        <v>20.77030424133041</v>
      </c>
      <c r="J205" s="30">
        <f t="shared" si="107"/>
        <v>1288922</v>
      </c>
      <c r="K205" s="153">
        <v>79088</v>
      </c>
      <c r="L205" s="142">
        <f t="shared" si="108"/>
        <v>-0.9555877297779831</v>
      </c>
      <c r="M205" s="143">
        <f t="shared" si="109"/>
        <v>-1290978</v>
      </c>
      <c r="N205" s="179">
        <v>60000</v>
      </c>
      <c r="O205" s="146" t="e">
        <f t="shared" si="87"/>
        <v>#DIV/0!</v>
      </c>
      <c r="P205" s="146">
        <v>0.075</v>
      </c>
      <c r="Q205" s="178">
        <v>0.08</v>
      </c>
      <c r="R205" s="162">
        <f t="shared" si="104"/>
        <v>64500</v>
      </c>
      <c r="S205" s="162">
        <f t="shared" si="88"/>
        <v>69337.5</v>
      </c>
      <c r="T205" s="162">
        <f t="shared" si="121"/>
        <v>74884.5</v>
      </c>
      <c r="U205" s="162">
        <f t="shared" si="122"/>
        <v>80875.26</v>
      </c>
      <c r="V205" s="162">
        <f t="shared" si="123"/>
        <v>87345.2808</v>
      </c>
      <c r="W205" s="162">
        <f t="shared" si="124"/>
        <v>94332.903264</v>
      </c>
      <c r="X205" s="162">
        <f t="shared" si="125"/>
        <v>101879.53552512</v>
      </c>
      <c r="Y205" s="162">
        <f t="shared" si="126"/>
        <v>110029.8983671296</v>
      </c>
      <c r="Z205" s="147">
        <f t="shared" si="127"/>
        <v>118832.29023649998</v>
      </c>
    </row>
    <row r="206" spans="1:26" ht="12.75">
      <c r="A206" s="81" t="s">
        <v>885</v>
      </c>
      <c r="B206" s="30">
        <v>0</v>
      </c>
      <c r="C206" s="78"/>
      <c r="D206" s="111" t="e">
        <f t="shared" si="86"/>
        <v>#DIV/0!</v>
      </c>
      <c r="E206" s="30">
        <f t="shared" si="120"/>
        <v>662.117</v>
      </c>
      <c r="F206" s="104">
        <v>662.117</v>
      </c>
      <c r="G206" s="270">
        <f t="shared" si="114"/>
        <v>-1</v>
      </c>
      <c r="H206" s="267">
        <v>0</v>
      </c>
      <c r="I206" s="111">
        <f t="shared" si="106"/>
        <v>928.5109474609472</v>
      </c>
      <c r="J206" s="30">
        <f t="shared" si="107"/>
        <v>614782.883</v>
      </c>
      <c r="K206" s="153">
        <v>0</v>
      </c>
      <c r="L206" s="142">
        <f t="shared" si="108"/>
        <v>-1</v>
      </c>
      <c r="M206" s="143">
        <f t="shared" si="109"/>
        <v>-615445</v>
      </c>
      <c r="N206" s="179">
        <v>0</v>
      </c>
      <c r="O206" s="146" t="e">
        <f t="shared" si="87"/>
        <v>#DIV/0!</v>
      </c>
      <c r="P206" s="146">
        <v>0.075</v>
      </c>
      <c r="Q206" s="178">
        <v>0.08</v>
      </c>
      <c r="R206" s="162">
        <f t="shared" si="104"/>
        <v>0</v>
      </c>
      <c r="S206" s="162">
        <f t="shared" si="88"/>
        <v>0</v>
      </c>
      <c r="T206" s="162">
        <f t="shared" si="121"/>
        <v>0</v>
      </c>
      <c r="U206" s="162">
        <f t="shared" si="122"/>
        <v>0</v>
      </c>
      <c r="V206" s="162">
        <f t="shared" si="123"/>
        <v>0</v>
      </c>
      <c r="W206" s="162">
        <f t="shared" si="124"/>
        <v>0</v>
      </c>
      <c r="X206" s="162">
        <f t="shared" si="125"/>
        <v>0</v>
      </c>
      <c r="Y206" s="162">
        <f t="shared" si="126"/>
        <v>0</v>
      </c>
      <c r="Z206" s="147">
        <f t="shared" si="127"/>
        <v>0</v>
      </c>
    </row>
    <row r="207" spans="1:26" ht="12.75">
      <c r="A207" s="88" t="s">
        <v>886</v>
      </c>
      <c r="B207" s="30">
        <v>0</v>
      </c>
      <c r="C207" s="78"/>
      <c r="D207" s="111" t="e">
        <f t="shared" si="86"/>
        <v>#DIV/0!</v>
      </c>
      <c r="E207" s="30">
        <f t="shared" si="120"/>
        <v>221404</v>
      </c>
      <c r="F207" s="104">
        <v>221404</v>
      </c>
      <c r="G207" s="270">
        <f t="shared" si="114"/>
        <v>-0.6494688442846561</v>
      </c>
      <c r="H207" s="267">
        <v>77609</v>
      </c>
      <c r="I207" s="111">
        <f t="shared" si="106"/>
        <v>-1</v>
      </c>
      <c r="J207" s="30">
        <f t="shared" si="107"/>
        <v>-221404</v>
      </c>
      <c r="K207" s="153">
        <v>104811</v>
      </c>
      <c r="L207" s="142" t="e">
        <f t="shared" si="108"/>
        <v>#DIV/0!</v>
      </c>
      <c r="M207" s="143">
        <f t="shared" si="109"/>
        <v>33989</v>
      </c>
      <c r="N207" s="179">
        <v>33989</v>
      </c>
      <c r="O207" s="146" t="e">
        <f t="shared" si="87"/>
        <v>#DIV/0!</v>
      </c>
      <c r="P207" s="146">
        <v>0.075</v>
      </c>
      <c r="Q207" s="178">
        <v>0.08</v>
      </c>
      <c r="R207" s="162">
        <f t="shared" si="104"/>
        <v>36538.175</v>
      </c>
      <c r="S207" s="162">
        <f t="shared" si="88"/>
        <v>39278.53812500001</v>
      </c>
      <c r="T207" s="162">
        <f t="shared" si="121"/>
        <v>42420.821175000005</v>
      </c>
      <c r="U207" s="162">
        <f t="shared" si="122"/>
        <v>45814.48686900001</v>
      </c>
      <c r="V207" s="162">
        <f t="shared" si="123"/>
        <v>49479.64581852001</v>
      </c>
      <c r="W207" s="162">
        <f t="shared" si="124"/>
        <v>53438.01748400161</v>
      </c>
      <c r="X207" s="162">
        <f t="shared" si="125"/>
        <v>57713.05888272174</v>
      </c>
      <c r="Y207" s="162">
        <f t="shared" si="126"/>
        <v>62330.10359333948</v>
      </c>
      <c r="Z207" s="147">
        <f t="shared" si="127"/>
        <v>67316.51188080665</v>
      </c>
    </row>
    <row r="208" spans="1:26" ht="12.75">
      <c r="A208" s="88" t="s">
        <v>887</v>
      </c>
      <c r="B208" s="30">
        <v>0</v>
      </c>
      <c r="C208" s="78"/>
      <c r="D208" s="111" t="e">
        <f t="shared" si="86"/>
        <v>#DIV/0!</v>
      </c>
      <c r="E208" s="30">
        <f t="shared" si="120"/>
        <v>24623.68</v>
      </c>
      <c r="F208" s="104">
        <v>24623.68</v>
      </c>
      <c r="G208" s="270">
        <f t="shared" si="114"/>
        <v>-1</v>
      </c>
      <c r="H208" s="267">
        <v>0</v>
      </c>
      <c r="I208" s="111">
        <f t="shared" si="106"/>
        <v>-1</v>
      </c>
      <c r="J208" s="30">
        <f t="shared" si="107"/>
        <v>-24623.68</v>
      </c>
      <c r="K208" s="153">
        <v>8000</v>
      </c>
      <c r="L208" s="142" t="e">
        <f t="shared" si="108"/>
        <v>#DIV/0!</v>
      </c>
      <c r="M208" s="143">
        <f t="shared" si="109"/>
        <v>0</v>
      </c>
      <c r="N208" s="179">
        <v>0</v>
      </c>
      <c r="O208" s="146" t="e">
        <f t="shared" si="87"/>
        <v>#DIV/0!</v>
      </c>
      <c r="P208" s="146">
        <v>0.075</v>
      </c>
      <c r="Q208" s="178">
        <v>0.08</v>
      </c>
      <c r="R208" s="162">
        <f t="shared" si="104"/>
        <v>0</v>
      </c>
      <c r="S208" s="162">
        <f t="shared" si="88"/>
        <v>0</v>
      </c>
      <c r="T208" s="162">
        <f t="shared" si="121"/>
        <v>0</v>
      </c>
      <c r="U208" s="162">
        <f t="shared" si="122"/>
        <v>0</v>
      </c>
      <c r="V208" s="162">
        <f t="shared" si="123"/>
        <v>0</v>
      </c>
      <c r="W208" s="162">
        <f t="shared" si="124"/>
        <v>0</v>
      </c>
      <c r="X208" s="162">
        <f t="shared" si="125"/>
        <v>0</v>
      </c>
      <c r="Y208" s="162">
        <f t="shared" si="126"/>
        <v>0</v>
      </c>
      <c r="Z208" s="147">
        <f t="shared" si="127"/>
        <v>0</v>
      </c>
    </row>
    <row r="209" spans="1:26" ht="12.75">
      <c r="A209" s="86" t="s">
        <v>888</v>
      </c>
      <c r="B209" s="30">
        <v>0</v>
      </c>
      <c r="C209" s="78"/>
      <c r="D209" s="111" t="e">
        <f t="shared" si="86"/>
        <v>#DIV/0!</v>
      </c>
      <c r="E209" s="30">
        <f t="shared" si="120"/>
        <v>2333647.421</v>
      </c>
      <c r="F209" s="167">
        <f>SUM(F210+F223+F229+F235)</f>
        <v>2333647.421</v>
      </c>
      <c r="G209" s="270">
        <f t="shared" si="114"/>
        <v>-0.4705918345323169</v>
      </c>
      <c r="H209" s="267">
        <v>1235452</v>
      </c>
      <c r="I209" s="111">
        <f t="shared" si="106"/>
        <v>-1</v>
      </c>
      <c r="J209" s="30">
        <f t="shared" si="107"/>
        <v>-2333647.421</v>
      </c>
      <c r="K209" s="167">
        <f>SUM(K210+K223+K229+K235)</f>
        <v>1350978</v>
      </c>
      <c r="L209" s="142" t="e">
        <f t="shared" si="108"/>
        <v>#DIV/0!</v>
      </c>
      <c r="M209" s="143">
        <f t="shared" si="109"/>
        <v>1345977</v>
      </c>
      <c r="N209" s="167">
        <f>SUM(N210+N223+N229+N235)</f>
        <v>1345977</v>
      </c>
      <c r="O209" s="146" t="e">
        <f t="shared" si="87"/>
        <v>#DIV/0!</v>
      </c>
      <c r="P209" s="146"/>
      <c r="R209" s="167">
        <f aca="true" t="shared" si="128" ref="R209:Z209">SUM(R210+R223+R229+R235)</f>
        <v>1446925.275</v>
      </c>
      <c r="S209" s="167">
        <f t="shared" si="128"/>
        <v>1555444.670625</v>
      </c>
      <c r="T209" s="167">
        <f t="shared" si="128"/>
        <v>1679880.244275</v>
      </c>
      <c r="U209" s="167">
        <f t="shared" si="128"/>
        <v>1814270.663817</v>
      </c>
      <c r="V209" s="167">
        <f t="shared" si="128"/>
        <v>1959412.3169223596</v>
      </c>
      <c r="W209" s="167">
        <f t="shared" si="128"/>
        <v>2116165.3022761485</v>
      </c>
      <c r="X209" s="167">
        <f t="shared" si="128"/>
        <v>2285458.5264582406</v>
      </c>
      <c r="Y209" s="167">
        <f t="shared" si="128"/>
        <v>2468295.2085749</v>
      </c>
      <c r="Z209" s="167">
        <f t="shared" si="128"/>
        <v>2665758.8252608916</v>
      </c>
    </row>
    <row r="210" spans="1:26" ht="12.75">
      <c r="A210" s="86" t="s">
        <v>803</v>
      </c>
      <c r="B210" s="97">
        <v>253828</v>
      </c>
      <c r="C210" s="78"/>
      <c r="D210" s="111">
        <f t="shared" si="86"/>
        <v>2.724654829254456</v>
      </c>
      <c r="E210" s="30">
        <f t="shared" si="120"/>
        <v>691593.686</v>
      </c>
      <c r="F210" s="167">
        <f>SUM(F211:F221)+F222</f>
        <v>945421.686</v>
      </c>
      <c r="G210" s="270">
        <f t="shared" si="114"/>
        <v>-0.42970633318009166</v>
      </c>
      <c r="H210" s="267">
        <v>539168</v>
      </c>
      <c r="I210" s="111">
        <f t="shared" si="106"/>
        <v>-1</v>
      </c>
      <c r="J210" s="30">
        <f t="shared" si="107"/>
        <v>-945421.686</v>
      </c>
      <c r="K210" s="167">
        <f>SUM(K211:K221)+K222</f>
        <v>615445</v>
      </c>
      <c r="L210" s="142" t="e">
        <f t="shared" si="108"/>
        <v>#DIV/0!</v>
      </c>
      <c r="M210" s="143">
        <f t="shared" si="109"/>
        <v>615445</v>
      </c>
      <c r="N210" s="167">
        <f>SUM(N211:N221)+N222</f>
        <v>615445</v>
      </c>
      <c r="O210" s="146" t="e">
        <f t="shared" si="87"/>
        <v>#DIV/0!</v>
      </c>
      <c r="P210" s="146"/>
      <c r="R210" s="167">
        <f aca="true" t="shared" si="129" ref="R210:Z210">SUM(R211:R221)+R222</f>
        <v>661603.375</v>
      </c>
      <c r="S210" s="167">
        <f t="shared" si="129"/>
        <v>711223.628125</v>
      </c>
      <c r="T210" s="167">
        <f t="shared" si="129"/>
        <v>768121.518375</v>
      </c>
      <c r="U210" s="167">
        <f t="shared" si="129"/>
        <v>829571.239845</v>
      </c>
      <c r="V210" s="167">
        <f t="shared" si="129"/>
        <v>895936.9390325999</v>
      </c>
      <c r="W210" s="167">
        <f t="shared" si="129"/>
        <v>967611.8941552078</v>
      </c>
      <c r="X210" s="167">
        <f t="shared" si="129"/>
        <v>1045020.8456876245</v>
      </c>
      <c r="Y210" s="167">
        <f t="shared" si="129"/>
        <v>1128622.5133426345</v>
      </c>
      <c r="Z210" s="167">
        <f t="shared" si="129"/>
        <v>1218912.3144100453</v>
      </c>
    </row>
    <row r="211" spans="1:26" ht="12.75">
      <c r="A211" s="81" t="s">
        <v>889</v>
      </c>
      <c r="B211" s="30">
        <v>0</v>
      </c>
      <c r="C211" s="78"/>
      <c r="D211" s="111" t="e">
        <f t="shared" si="86"/>
        <v>#DIV/0!</v>
      </c>
      <c r="E211" s="30">
        <f t="shared" si="120"/>
        <v>0</v>
      </c>
      <c r="F211" s="104">
        <v>0</v>
      </c>
      <c r="G211" s="270" t="e">
        <f t="shared" si="114"/>
        <v>#DIV/0!</v>
      </c>
      <c r="H211" s="267">
        <v>0</v>
      </c>
      <c r="I211" s="111" t="e">
        <f t="shared" si="106"/>
        <v>#DIV/0!</v>
      </c>
      <c r="J211" s="30">
        <f t="shared" si="107"/>
        <v>0</v>
      </c>
      <c r="K211" s="153">
        <v>0</v>
      </c>
      <c r="L211" s="142" t="e">
        <f t="shared" si="108"/>
        <v>#DIV/0!</v>
      </c>
      <c r="M211" s="143">
        <f t="shared" si="109"/>
        <v>0</v>
      </c>
      <c r="N211" s="179"/>
      <c r="O211" s="146" t="e">
        <f t="shared" si="87"/>
        <v>#DIV/0!</v>
      </c>
      <c r="P211" s="146">
        <v>0.075</v>
      </c>
      <c r="Q211" s="178">
        <v>0.08</v>
      </c>
      <c r="R211" s="162">
        <f t="shared" si="104"/>
        <v>0</v>
      </c>
      <c r="S211" s="162">
        <f t="shared" si="88"/>
        <v>0</v>
      </c>
      <c r="T211" s="162">
        <f aca="true" t="shared" si="130" ref="T211:T222">(S211*Q211)+S211</f>
        <v>0</v>
      </c>
      <c r="U211" s="162">
        <f aca="true" t="shared" si="131" ref="U211:U222">(T211*Q211)+T211</f>
        <v>0</v>
      </c>
      <c r="V211" s="162">
        <f aca="true" t="shared" si="132" ref="V211:V222">(U211*Q211)+U211</f>
        <v>0</v>
      </c>
      <c r="W211" s="162">
        <f aca="true" t="shared" si="133" ref="W211:W222">(V211*Q211)+V211</f>
        <v>0</v>
      </c>
      <c r="X211" s="162">
        <f t="shared" si="93"/>
        <v>0</v>
      </c>
      <c r="Y211" s="162">
        <f t="shared" si="94"/>
        <v>0</v>
      </c>
      <c r="Z211" s="147">
        <f t="shared" si="95"/>
        <v>0</v>
      </c>
    </row>
    <row r="212" spans="1:26" ht="12.75">
      <c r="A212" s="81" t="s">
        <v>890</v>
      </c>
      <c r="B212" s="30">
        <v>0</v>
      </c>
      <c r="C212" s="78"/>
      <c r="D212" s="111" t="e">
        <f t="shared" si="86"/>
        <v>#DIV/0!</v>
      </c>
      <c r="E212" s="30">
        <f t="shared" si="120"/>
        <v>713459.1340000001</v>
      </c>
      <c r="F212" s="104">
        <v>713459.1340000001</v>
      </c>
      <c r="G212" s="270">
        <f t="shared" si="114"/>
        <v>-1</v>
      </c>
      <c r="H212" s="267">
        <v>0</v>
      </c>
      <c r="I212" s="111">
        <f t="shared" si="106"/>
        <v>-1</v>
      </c>
      <c r="J212" s="30">
        <f t="shared" si="107"/>
        <v>-713459.1340000001</v>
      </c>
      <c r="K212" s="153">
        <v>0</v>
      </c>
      <c r="L212" s="142" t="e">
        <f t="shared" si="108"/>
        <v>#DIV/0!</v>
      </c>
      <c r="M212" s="143">
        <f t="shared" si="109"/>
        <v>0</v>
      </c>
      <c r="N212" s="179"/>
      <c r="O212" s="146" t="e">
        <f t="shared" si="87"/>
        <v>#DIV/0!</v>
      </c>
      <c r="P212" s="146">
        <v>0.075</v>
      </c>
      <c r="Q212" s="178">
        <v>0.08</v>
      </c>
      <c r="R212" s="162">
        <f t="shared" si="104"/>
        <v>0</v>
      </c>
      <c r="S212" s="162">
        <f t="shared" si="88"/>
        <v>0</v>
      </c>
      <c r="T212" s="162">
        <f t="shared" si="130"/>
        <v>0</v>
      </c>
      <c r="U212" s="162">
        <f t="shared" si="131"/>
        <v>0</v>
      </c>
      <c r="V212" s="162">
        <f t="shared" si="132"/>
        <v>0</v>
      </c>
      <c r="W212" s="162">
        <f t="shared" si="133"/>
        <v>0</v>
      </c>
      <c r="X212" s="162">
        <f t="shared" si="93"/>
        <v>0</v>
      </c>
      <c r="Y212" s="162">
        <f t="shared" si="94"/>
        <v>0</v>
      </c>
      <c r="Z212" s="147">
        <f t="shared" si="95"/>
        <v>0</v>
      </c>
    </row>
    <row r="213" spans="1:26" ht="12.75">
      <c r="A213" s="81" t="s">
        <v>891</v>
      </c>
      <c r="B213" s="30">
        <v>0</v>
      </c>
      <c r="C213" s="78"/>
      <c r="D213" s="111" t="e">
        <f t="shared" si="86"/>
        <v>#DIV/0!</v>
      </c>
      <c r="E213" s="30">
        <f t="shared" si="120"/>
        <v>0</v>
      </c>
      <c r="F213" s="104">
        <v>0</v>
      </c>
      <c r="G213" s="270" t="e">
        <f t="shared" si="114"/>
        <v>#DIV/0!</v>
      </c>
      <c r="H213" s="267">
        <v>0</v>
      </c>
      <c r="I213" s="111" t="e">
        <f t="shared" si="106"/>
        <v>#DIV/0!</v>
      </c>
      <c r="J213" s="30">
        <f t="shared" si="107"/>
        <v>0</v>
      </c>
      <c r="K213" s="153">
        <v>0</v>
      </c>
      <c r="L213" s="142" t="e">
        <f t="shared" si="108"/>
        <v>#DIV/0!</v>
      </c>
      <c r="M213" s="143">
        <f t="shared" si="109"/>
        <v>0</v>
      </c>
      <c r="N213" s="179"/>
      <c r="O213" s="146" t="e">
        <f t="shared" si="87"/>
        <v>#DIV/0!</v>
      </c>
      <c r="P213" s="146">
        <v>0.075</v>
      </c>
      <c r="Q213" s="178">
        <v>0.08</v>
      </c>
      <c r="R213" s="162">
        <f t="shared" si="104"/>
        <v>0</v>
      </c>
      <c r="S213" s="162">
        <f t="shared" si="88"/>
        <v>0</v>
      </c>
      <c r="T213" s="162">
        <f t="shared" si="130"/>
        <v>0</v>
      </c>
      <c r="U213" s="162">
        <f t="shared" si="131"/>
        <v>0</v>
      </c>
      <c r="V213" s="162">
        <f t="shared" si="132"/>
        <v>0</v>
      </c>
      <c r="W213" s="162">
        <f t="shared" si="133"/>
        <v>0</v>
      </c>
      <c r="X213" s="162">
        <f t="shared" si="93"/>
        <v>0</v>
      </c>
      <c r="Y213" s="162">
        <f t="shared" si="94"/>
        <v>0</v>
      </c>
      <c r="Z213" s="147">
        <f t="shared" si="95"/>
        <v>0</v>
      </c>
    </row>
    <row r="214" spans="1:26" ht="12.75">
      <c r="A214" s="81" t="s">
        <v>892</v>
      </c>
      <c r="B214" s="30">
        <v>0</v>
      </c>
      <c r="C214" s="78"/>
      <c r="D214" s="111" t="e">
        <f t="shared" si="86"/>
        <v>#DIV/0!</v>
      </c>
      <c r="E214" s="30">
        <f t="shared" si="120"/>
        <v>0</v>
      </c>
      <c r="F214" s="104">
        <v>0</v>
      </c>
      <c r="G214" s="270" t="e">
        <f t="shared" si="114"/>
        <v>#DIV/0!</v>
      </c>
      <c r="H214" s="267">
        <v>0</v>
      </c>
      <c r="I214" s="111" t="e">
        <f t="shared" si="106"/>
        <v>#DIV/0!</v>
      </c>
      <c r="J214" s="30">
        <f t="shared" si="107"/>
        <v>0</v>
      </c>
      <c r="K214" s="153">
        <v>0</v>
      </c>
      <c r="L214" s="142" t="e">
        <f t="shared" si="108"/>
        <v>#DIV/0!</v>
      </c>
      <c r="M214" s="143">
        <f t="shared" si="109"/>
        <v>0</v>
      </c>
      <c r="N214" s="179"/>
      <c r="O214" s="146" t="e">
        <f t="shared" si="87"/>
        <v>#DIV/0!</v>
      </c>
      <c r="P214" s="146">
        <v>0.075</v>
      </c>
      <c r="Q214" s="178">
        <v>0.08</v>
      </c>
      <c r="R214" s="162">
        <f t="shared" si="104"/>
        <v>0</v>
      </c>
      <c r="S214" s="162">
        <f aca="true" t="shared" si="134" ref="S214:S277">(R214*P214)+R214</f>
        <v>0</v>
      </c>
      <c r="T214" s="162">
        <f t="shared" si="130"/>
        <v>0</v>
      </c>
      <c r="U214" s="162">
        <f t="shared" si="131"/>
        <v>0</v>
      </c>
      <c r="V214" s="162">
        <f t="shared" si="132"/>
        <v>0</v>
      </c>
      <c r="W214" s="162">
        <f t="shared" si="133"/>
        <v>0</v>
      </c>
      <c r="X214" s="162">
        <f aca="true" t="shared" si="135" ref="X214:X220">(W214*P214)+W214</f>
        <v>0</v>
      </c>
      <c r="Y214" s="162">
        <f aca="true" t="shared" si="136" ref="Y214:Y220">(X214*P214)+X214</f>
        <v>0</v>
      </c>
      <c r="Z214" s="147">
        <f aca="true" t="shared" si="137" ref="Z214:Z220">(Y214*P214)+Y214</f>
        <v>0</v>
      </c>
    </row>
    <row r="215" spans="1:26" ht="12.75">
      <c r="A215" s="81" t="s">
        <v>893</v>
      </c>
      <c r="B215" s="30">
        <v>0</v>
      </c>
      <c r="C215" s="78"/>
      <c r="D215" s="111" t="e">
        <f t="shared" si="86"/>
        <v>#DIV/0!</v>
      </c>
      <c r="E215" s="30">
        <f t="shared" si="120"/>
        <v>0</v>
      </c>
      <c r="F215" s="104">
        <v>0</v>
      </c>
      <c r="G215" s="270" t="e">
        <f t="shared" si="114"/>
        <v>#DIV/0!</v>
      </c>
      <c r="H215" s="267">
        <v>0</v>
      </c>
      <c r="I215" s="111" t="e">
        <f t="shared" si="106"/>
        <v>#DIV/0!</v>
      </c>
      <c r="J215" s="30">
        <f t="shared" si="107"/>
        <v>100000</v>
      </c>
      <c r="K215" s="153">
        <v>0</v>
      </c>
      <c r="L215" s="142">
        <f t="shared" si="108"/>
        <v>-1</v>
      </c>
      <c r="M215" s="143">
        <f t="shared" si="109"/>
        <v>-100000</v>
      </c>
      <c r="N215" s="179"/>
      <c r="O215" s="146" t="e">
        <f t="shared" si="87"/>
        <v>#DIV/0!</v>
      </c>
      <c r="P215" s="146">
        <v>0.075</v>
      </c>
      <c r="Q215" s="178">
        <v>0.08</v>
      </c>
      <c r="R215" s="162">
        <f t="shared" si="104"/>
        <v>0</v>
      </c>
      <c r="S215" s="162">
        <f t="shared" si="134"/>
        <v>0</v>
      </c>
      <c r="T215" s="162">
        <f t="shared" si="130"/>
        <v>0</v>
      </c>
      <c r="U215" s="162">
        <f t="shared" si="131"/>
        <v>0</v>
      </c>
      <c r="V215" s="162">
        <f t="shared" si="132"/>
        <v>0</v>
      </c>
      <c r="W215" s="162">
        <f t="shared" si="133"/>
        <v>0</v>
      </c>
      <c r="X215" s="162">
        <f t="shared" si="135"/>
        <v>0</v>
      </c>
      <c r="Y215" s="162">
        <f t="shared" si="136"/>
        <v>0</v>
      </c>
      <c r="Z215" s="147">
        <f t="shared" si="137"/>
        <v>0</v>
      </c>
    </row>
    <row r="216" spans="1:26" ht="12.75">
      <c r="A216" s="81" t="s">
        <v>894</v>
      </c>
      <c r="B216" s="30">
        <v>0</v>
      </c>
      <c r="C216" s="78"/>
      <c r="D216" s="111" t="e">
        <f t="shared" si="86"/>
        <v>#DIV/0!</v>
      </c>
      <c r="E216" s="30">
        <f t="shared" si="120"/>
        <v>58687.1</v>
      </c>
      <c r="F216" s="104">
        <v>58687.1</v>
      </c>
      <c r="G216" s="270">
        <f t="shared" si="114"/>
        <v>-1</v>
      </c>
      <c r="H216" s="267">
        <v>0</v>
      </c>
      <c r="I216" s="111">
        <f t="shared" si="106"/>
        <v>0.022371185490508205</v>
      </c>
      <c r="J216" s="30">
        <f t="shared" si="107"/>
        <v>1312.9000000000015</v>
      </c>
      <c r="K216" s="153">
        <v>0</v>
      </c>
      <c r="L216" s="142">
        <f t="shared" si="108"/>
        <v>-1</v>
      </c>
      <c r="M216" s="143">
        <f t="shared" si="109"/>
        <v>-60000</v>
      </c>
      <c r="N216" s="179">
        <v>0</v>
      </c>
      <c r="O216" s="146" t="e">
        <f t="shared" si="87"/>
        <v>#DIV/0!</v>
      </c>
      <c r="P216" s="146">
        <v>0.075</v>
      </c>
      <c r="Q216" s="178">
        <v>0.08</v>
      </c>
      <c r="R216" s="162">
        <f t="shared" si="104"/>
        <v>0</v>
      </c>
      <c r="S216" s="162">
        <f t="shared" si="134"/>
        <v>0</v>
      </c>
      <c r="T216" s="162">
        <f t="shared" si="130"/>
        <v>0</v>
      </c>
      <c r="U216" s="162">
        <f t="shared" si="131"/>
        <v>0</v>
      </c>
      <c r="V216" s="162">
        <f t="shared" si="132"/>
        <v>0</v>
      </c>
      <c r="W216" s="162">
        <f t="shared" si="133"/>
        <v>0</v>
      </c>
      <c r="X216" s="162">
        <f t="shared" si="135"/>
        <v>0</v>
      </c>
      <c r="Y216" s="162">
        <f t="shared" si="136"/>
        <v>0</v>
      </c>
      <c r="Z216" s="147">
        <f t="shared" si="137"/>
        <v>0</v>
      </c>
    </row>
    <row r="217" spans="1:26" ht="12.75">
      <c r="A217" s="81" t="s">
        <v>895</v>
      </c>
      <c r="B217" s="30">
        <v>0</v>
      </c>
      <c r="C217" s="78"/>
      <c r="D217" s="111" t="e">
        <f aca="true" t="shared" si="138" ref="D217:D282">F217/B217-1</f>
        <v>#DIV/0!</v>
      </c>
      <c r="E217" s="30">
        <f t="shared" si="120"/>
        <v>111545.458</v>
      </c>
      <c r="F217" s="104">
        <v>111545.458</v>
      </c>
      <c r="G217" s="270">
        <f t="shared" si="114"/>
        <v>-1</v>
      </c>
      <c r="H217" s="267">
        <v>0</v>
      </c>
      <c r="I217" s="111">
        <f t="shared" si="106"/>
        <v>3.083043883328714</v>
      </c>
      <c r="J217" s="30">
        <f t="shared" si="107"/>
        <v>343899.542</v>
      </c>
      <c r="K217" s="153">
        <v>0</v>
      </c>
      <c r="L217" s="142">
        <f t="shared" si="108"/>
        <v>-1</v>
      </c>
      <c r="M217" s="143">
        <f t="shared" si="109"/>
        <v>-455445</v>
      </c>
      <c r="N217" s="179"/>
      <c r="O217" s="146" t="e">
        <f aca="true" t="shared" si="139" ref="O217:O282">(D217+I217+L217)/3</f>
        <v>#DIV/0!</v>
      </c>
      <c r="P217" s="146">
        <v>0.075</v>
      </c>
      <c r="Q217" s="178">
        <v>0.08</v>
      </c>
      <c r="R217" s="162">
        <f t="shared" si="104"/>
        <v>0</v>
      </c>
      <c r="S217" s="162">
        <f t="shared" si="134"/>
        <v>0</v>
      </c>
      <c r="T217" s="162">
        <f t="shared" si="130"/>
        <v>0</v>
      </c>
      <c r="U217" s="162">
        <f t="shared" si="131"/>
        <v>0</v>
      </c>
      <c r="V217" s="162">
        <f t="shared" si="132"/>
        <v>0</v>
      </c>
      <c r="W217" s="162">
        <f t="shared" si="133"/>
        <v>0</v>
      </c>
      <c r="X217" s="162">
        <f t="shared" si="135"/>
        <v>0</v>
      </c>
      <c r="Y217" s="162">
        <f t="shared" si="136"/>
        <v>0</v>
      </c>
      <c r="Z217" s="147">
        <f t="shared" si="137"/>
        <v>0</v>
      </c>
    </row>
    <row r="218" spans="1:26" ht="12.75">
      <c r="A218" s="81" t="s">
        <v>896</v>
      </c>
      <c r="B218" s="30">
        <v>0</v>
      </c>
      <c r="C218" s="78"/>
      <c r="D218" s="111" t="e">
        <f t="shared" si="138"/>
        <v>#DIV/0!</v>
      </c>
      <c r="E218" s="30">
        <f t="shared" si="120"/>
        <v>0</v>
      </c>
      <c r="F218" s="104">
        <v>0</v>
      </c>
      <c r="G218" s="270" t="e">
        <f t="shared" si="114"/>
        <v>#DIV/0!</v>
      </c>
      <c r="H218" s="267">
        <v>0</v>
      </c>
      <c r="I218" s="111" t="e">
        <f>K223/F218-1</f>
        <v>#DIV/0!</v>
      </c>
      <c r="J218" s="30">
        <f>K223-F218</f>
        <v>60044</v>
      </c>
      <c r="K218" s="153">
        <v>0</v>
      </c>
      <c r="L218" s="142">
        <f>N218/K223-1</f>
        <v>-1</v>
      </c>
      <c r="M218" s="143">
        <f>N218-K223</f>
        <v>-60044</v>
      </c>
      <c r="N218" s="179"/>
      <c r="O218" s="146" t="e">
        <f t="shared" si="139"/>
        <v>#DIV/0!</v>
      </c>
      <c r="P218" s="146">
        <v>0.075</v>
      </c>
      <c r="Q218" s="178">
        <v>0.08</v>
      </c>
      <c r="R218" s="162">
        <f t="shared" si="104"/>
        <v>0</v>
      </c>
      <c r="S218" s="162">
        <f t="shared" si="134"/>
        <v>0</v>
      </c>
      <c r="T218" s="162">
        <f t="shared" si="130"/>
        <v>0</v>
      </c>
      <c r="U218" s="162">
        <f t="shared" si="131"/>
        <v>0</v>
      </c>
      <c r="V218" s="162">
        <f t="shared" si="132"/>
        <v>0</v>
      </c>
      <c r="W218" s="162">
        <f t="shared" si="133"/>
        <v>0</v>
      </c>
      <c r="X218" s="162">
        <f t="shared" si="135"/>
        <v>0</v>
      </c>
      <c r="Y218" s="162">
        <f t="shared" si="136"/>
        <v>0</v>
      </c>
      <c r="Z218" s="147">
        <f t="shared" si="137"/>
        <v>0</v>
      </c>
    </row>
    <row r="219" spans="1:26" ht="12.75">
      <c r="A219" s="81" t="s">
        <v>897</v>
      </c>
      <c r="B219" s="30">
        <v>0</v>
      </c>
      <c r="C219" s="78"/>
      <c r="D219" s="111" t="e">
        <f t="shared" si="138"/>
        <v>#DIV/0!</v>
      </c>
      <c r="E219" s="30">
        <f t="shared" si="120"/>
        <v>29729.994000000002</v>
      </c>
      <c r="F219" s="104">
        <v>29729.994000000002</v>
      </c>
      <c r="G219" s="270">
        <f t="shared" si="114"/>
        <v>-0.0624619702244138</v>
      </c>
      <c r="H219" s="267">
        <v>27873</v>
      </c>
      <c r="I219" s="111">
        <f>K224/F219-1</f>
        <v>-1</v>
      </c>
      <c r="J219" s="30">
        <f>K224-F219</f>
        <v>-29729.994000000002</v>
      </c>
      <c r="K219" s="153">
        <v>100000</v>
      </c>
      <c r="L219" s="142" t="e">
        <f>N219/K224-1</f>
        <v>#DIV/0!</v>
      </c>
      <c r="M219" s="143">
        <f>N219-K224</f>
        <v>0</v>
      </c>
      <c r="N219" s="179">
        <v>0</v>
      </c>
      <c r="O219" s="146" t="e">
        <f t="shared" si="139"/>
        <v>#DIV/0!</v>
      </c>
      <c r="P219" s="146">
        <v>0.075</v>
      </c>
      <c r="Q219" s="178">
        <v>0.08</v>
      </c>
      <c r="R219" s="162">
        <f t="shared" si="104"/>
        <v>0</v>
      </c>
      <c r="S219" s="162">
        <f t="shared" si="134"/>
        <v>0</v>
      </c>
      <c r="T219" s="162">
        <f t="shared" si="130"/>
        <v>0</v>
      </c>
      <c r="U219" s="162">
        <f t="shared" si="131"/>
        <v>0</v>
      </c>
      <c r="V219" s="162">
        <f t="shared" si="132"/>
        <v>0</v>
      </c>
      <c r="W219" s="162">
        <f t="shared" si="133"/>
        <v>0</v>
      </c>
      <c r="X219" s="162">
        <f t="shared" si="135"/>
        <v>0</v>
      </c>
      <c r="Y219" s="162">
        <f t="shared" si="136"/>
        <v>0</v>
      </c>
      <c r="Z219" s="147">
        <f t="shared" si="137"/>
        <v>0</v>
      </c>
    </row>
    <row r="220" spans="1:26" ht="12.75">
      <c r="A220" s="81" t="s">
        <v>898</v>
      </c>
      <c r="B220" s="30">
        <v>0</v>
      </c>
      <c r="C220" s="78"/>
      <c r="D220" s="111" t="e">
        <f t="shared" si="138"/>
        <v>#DIV/0!</v>
      </c>
      <c r="E220" s="30">
        <f t="shared" si="120"/>
        <v>32000</v>
      </c>
      <c r="F220" s="104">
        <v>32000</v>
      </c>
      <c r="G220" s="270">
        <f t="shared" si="114"/>
        <v>0.875</v>
      </c>
      <c r="H220" s="267">
        <v>60000</v>
      </c>
      <c r="I220" s="111">
        <f>K225/F220-1</f>
        <v>-0.9396875</v>
      </c>
      <c r="J220" s="30">
        <f>K225-F220</f>
        <v>-30070</v>
      </c>
      <c r="K220" s="153">
        <v>60000</v>
      </c>
      <c r="L220" s="142">
        <f>N220/K225-1</f>
        <v>-1</v>
      </c>
      <c r="M220" s="143">
        <f>N220-K225</f>
        <v>-1930</v>
      </c>
      <c r="N220" s="179"/>
      <c r="O220" s="146" t="e">
        <f t="shared" si="139"/>
        <v>#DIV/0!</v>
      </c>
      <c r="P220" s="146">
        <v>0.075</v>
      </c>
      <c r="Q220" s="178">
        <v>0.08</v>
      </c>
      <c r="R220" s="162">
        <f t="shared" si="104"/>
        <v>0</v>
      </c>
      <c r="S220" s="162">
        <f t="shared" si="134"/>
        <v>0</v>
      </c>
      <c r="T220" s="162">
        <f t="shared" si="130"/>
        <v>0</v>
      </c>
      <c r="U220" s="162">
        <f t="shared" si="131"/>
        <v>0</v>
      </c>
      <c r="V220" s="162">
        <f t="shared" si="132"/>
        <v>0</v>
      </c>
      <c r="W220" s="162">
        <f t="shared" si="133"/>
        <v>0</v>
      </c>
      <c r="X220" s="162">
        <f t="shared" si="135"/>
        <v>0</v>
      </c>
      <c r="Y220" s="162">
        <f t="shared" si="136"/>
        <v>0</v>
      </c>
      <c r="Z220" s="147">
        <f t="shared" si="137"/>
        <v>0</v>
      </c>
    </row>
    <row r="221" spans="1:26" ht="12.75">
      <c r="A221" s="81" t="s">
        <v>899</v>
      </c>
      <c r="B221" s="30">
        <v>0</v>
      </c>
      <c r="C221" s="78"/>
      <c r="D221" s="111" t="e">
        <f t="shared" si="138"/>
        <v>#DIV/0!</v>
      </c>
      <c r="E221" s="30">
        <f t="shared" si="120"/>
        <v>0</v>
      </c>
      <c r="F221" s="104">
        <v>0</v>
      </c>
      <c r="G221" s="270" t="e">
        <f t="shared" si="114"/>
        <v>#DIV/0!</v>
      </c>
      <c r="H221" s="267">
        <v>451295</v>
      </c>
      <c r="I221" s="111" t="e">
        <f>K226/F221-1</f>
        <v>#DIV/0!</v>
      </c>
      <c r="J221" s="30">
        <f>K226-F221</f>
        <v>12752</v>
      </c>
      <c r="K221" s="153">
        <v>455445</v>
      </c>
      <c r="L221" s="142">
        <f>N221/K226-1</f>
        <v>15.468005018820577</v>
      </c>
      <c r="M221" s="143">
        <f>N221-K226</f>
        <v>197248</v>
      </c>
      <c r="N221" s="179">
        <v>210000</v>
      </c>
      <c r="O221" s="146" t="e">
        <f t="shared" si="139"/>
        <v>#DIV/0!</v>
      </c>
      <c r="P221" s="146">
        <v>0.075</v>
      </c>
      <c r="Q221" s="178">
        <v>0.08</v>
      </c>
      <c r="R221" s="162">
        <f t="shared" si="104"/>
        <v>225750</v>
      </c>
      <c r="S221" s="162">
        <f t="shared" si="134"/>
        <v>242681.25</v>
      </c>
      <c r="T221" s="162">
        <f t="shared" si="130"/>
        <v>262095.75</v>
      </c>
      <c r="U221" s="162">
        <f t="shared" si="131"/>
        <v>283063.41</v>
      </c>
      <c r="V221" s="162">
        <f t="shared" si="132"/>
        <v>305708.4828</v>
      </c>
      <c r="W221" s="162">
        <f t="shared" si="133"/>
        <v>330165.161424</v>
      </c>
      <c r="X221" s="162">
        <f>(W221*Q221)+W221</f>
        <v>356578.37433792</v>
      </c>
      <c r="Y221" s="162">
        <f>(X221*Q221)+X221</f>
        <v>385104.6442849536</v>
      </c>
      <c r="Z221" s="147">
        <f>(Y221*Q221)+Y221</f>
        <v>415913.01582774986</v>
      </c>
    </row>
    <row r="222" spans="1:26" ht="12.75">
      <c r="A222" s="149" t="s">
        <v>1106</v>
      </c>
      <c r="B222" s="30"/>
      <c r="C222" s="78"/>
      <c r="D222" s="111"/>
      <c r="E222" s="30"/>
      <c r="F222" s="104"/>
      <c r="G222" s="270" t="e">
        <f t="shared" si="114"/>
        <v>#DIV/0!</v>
      </c>
      <c r="H222" s="79"/>
      <c r="I222" s="111"/>
      <c r="J222" s="30"/>
      <c r="L222" s="142"/>
      <c r="M222" s="143"/>
      <c r="N222" s="179">
        <v>405445</v>
      </c>
      <c r="O222" s="146"/>
      <c r="P222" s="146">
        <v>0.075</v>
      </c>
      <c r="Q222" s="178">
        <v>0.08</v>
      </c>
      <c r="R222" s="162">
        <f t="shared" si="104"/>
        <v>435853.375</v>
      </c>
      <c r="S222" s="162">
        <f t="shared" si="134"/>
        <v>468542.378125</v>
      </c>
      <c r="T222" s="162">
        <f t="shared" si="130"/>
        <v>506025.768375</v>
      </c>
      <c r="U222" s="162">
        <f t="shared" si="131"/>
        <v>546507.829845</v>
      </c>
      <c r="V222" s="162">
        <f t="shared" si="132"/>
        <v>590228.4562325999</v>
      </c>
      <c r="W222" s="162">
        <f t="shared" si="133"/>
        <v>637446.7327312079</v>
      </c>
      <c r="X222" s="162">
        <f>(W222*Q222)+W222</f>
        <v>688442.4713497045</v>
      </c>
      <c r="Y222" s="162">
        <f>(X222*Q222)+X222</f>
        <v>743517.869057681</v>
      </c>
      <c r="Z222" s="147">
        <f>(Y222*Q222)+Y222</f>
        <v>802999.2985822954</v>
      </c>
    </row>
    <row r="223" spans="1:26" ht="12.75">
      <c r="A223" s="86" t="s">
        <v>900</v>
      </c>
      <c r="B223" s="98">
        <v>17579</v>
      </c>
      <c r="C223" s="78"/>
      <c r="D223" s="111">
        <f t="shared" si="138"/>
        <v>8.212171966550999</v>
      </c>
      <c r="E223" s="30">
        <f t="shared" si="120"/>
        <v>144361.771</v>
      </c>
      <c r="F223" s="84">
        <f>SUM(F224:F228)</f>
        <v>161940.771</v>
      </c>
      <c r="G223" s="270">
        <f t="shared" si="114"/>
        <v>-0.65725123045141</v>
      </c>
      <c r="H223" s="267">
        <v>55505</v>
      </c>
      <c r="I223" s="111">
        <f aca="true" t="shared" si="140" ref="I223:I254">K228/F223-1</f>
        <v>-0.9011984449549151</v>
      </c>
      <c r="J223" s="30">
        <f aca="true" t="shared" si="141" ref="J223:J254">K228-F223</f>
        <v>-145940.771</v>
      </c>
      <c r="K223" s="84">
        <f>SUM(K224:K228)</f>
        <v>60044</v>
      </c>
      <c r="L223" s="142">
        <f aca="true" t="shared" si="142" ref="L223:L254">N223/K228-1</f>
        <v>2.7526875</v>
      </c>
      <c r="M223" s="143">
        <f aca="true" t="shared" si="143" ref="M223:M254">N223-K228</f>
        <v>44043</v>
      </c>
      <c r="N223" s="167">
        <f>SUM(N224:N228)</f>
        <v>60043</v>
      </c>
      <c r="O223" s="146">
        <f t="shared" si="139"/>
        <v>3.3545536738653614</v>
      </c>
      <c r="P223" s="146"/>
      <c r="R223" s="167">
        <f aca="true" t="shared" si="144" ref="R223:Z223">SUM(R224:R228)</f>
        <v>64546.225000000006</v>
      </c>
      <c r="S223" s="167">
        <f t="shared" si="144"/>
        <v>69387.191875</v>
      </c>
      <c r="T223" s="167">
        <f t="shared" si="144"/>
        <v>74938.16722500001</v>
      </c>
      <c r="U223" s="167">
        <f t="shared" si="144"/>
        <v>80933.220603</v>
      </c>
      <c r="V223" s="167">
        <f t="shared" si="144"/>
        <v>87407.87825124</v>
      </c>
      <c r="W223" s="167">
        <f t="shared" si="144"/>
        <v>94400.5085113392</v>
      </c>
      <c r="X223" s="167">
        <f t="shared" si="144"/>
        <v>101952.54919224634</v>
      </c>
      <c r="Y223" s="167">
        <f t="shared" si="144"/>
        <v>110108.75312762604</v>
      </c>
      <c r="Z223" s="167">
        <f t="shared" si="144"/>
        <v>118917.45337783612</v>
      </c>
    </row>
    <row r="224" spans="1:26" ht="12.75">
      <c r="A224" s="81" t="s">
        <v>808</v>
      </c>
      <c r="B224" s="30">
        <v>0</v>
      </c>
      <c r="C224" s="78"/>
      <c r="D224" s="111" t="e">
        <f t="shared" si="138"/>
        <v>#DIV/0!</v>
      </c>
      <c r="E224" s="30">
        <f t="shared" si="120"/>
        <v>161940.771</v>
      </c>
      <c r="F224" s="108">
        <v>161940.771</v>
      </c>
      <c r="G224" s="270">
        <f t="shared" si="114"/>
        <v>-1</v>
      </c>
      <c r="H224" s="267">
        <v>0</v>
      </c>
      <c r="I224" s="111">
        <f t="shared" si="140"/>
        <v>-0.7219168482284181</v>
      </c>
      <c r="J224" s="30">
        <f t="shared" si="141"/>
        <v>-116907.77100000001</v>
      </c>
      <c r="K224" s="153">
        <v>0</v>
      </c>
      <c r="L224" s="142">
        <f t="shared" si="142"/>
        <v>-1</v>
      </c>
      <c r="M224" s="143">
        <f t="shared" si="143"/>
        <v>-45033</v>
      </c>
      <c r="N224" s="179"/>
      <c r="O224" s="146" t="e">
        <f t="shared" si="139"/>
        <v>#DIV/0!</v>
      </c>
      <c r="P224" s="146">
        <v>0.075</v>
      </c>
      <c r="Q224" s="178">
        <v>0.08</v>
      </c>
      <c r="R224" s="162">
        <f t="shared" si="104"/>
        <v>0</v>
      </c>
      <c r="S224" s="162">
        <f t="shared" si="134"/>
        <v>0</v>
      </c>
      <c r="T224" s="162">
        <f>(S224*Q224)+S224</f>
        <v>0</v>
      </c>
      <c r="U224" s="162">
        <f>(T224*Q224)+T224</f>
        <v>0</v>
      </c>
      <c r="V224" s="162">
        <f>(U224*Q224)+U224</f>
        <v>0</v>
      </c>
      <c r="W224" s="162">
        <f>(V224*Q224)+V224</f>
        <v>0</v>
      </c>
      <c r="X224" s="162">
        <f>(W224*Q224)+W224</f>
        <v>0</v>
      </c>
      <c r="Y224" s="162">
        <f>(X224*Q224)+X224</f>
        <v>0</v>
      </c>
      <c r="Z224" s="147">
        <f>(Y224*Q224)+Y224</f>
        <v>0</v>
      </c>
    </row>
    <row r="225" spans="1:26" ht="12.75">
      <c r="A225" s="81" t="s">
        <v>901</v>
      </c>
      <c r="B225" s="30">
        <v>0</v>
      </c>
      <c r="C225" s="78"/>
      <c r="D225" s="111" t="e">
        <f t="shared" si="138"/>
        <v>#DIV/0!</v>
      </c>
      <c r="E225" s="30">
        <f t="shared" si="120"/>
        <v>0</v>
      </c>
      <c r="F225" s="104">
        <v>0</v>
      </c>
      <c r="G225" s="270" t="e">
        <f t="shared" si="114"/>
        <v>#DIV/0!</v>
      </c>
      <c r="H225" s="267">
        <v>0</v>
      </c>
      <c r="I225" s="111" t="e">
        <f t="shared" si="140"/>
        <v>#DIV/0!</v>
      </c>
      <c r="J225" s="30">
        <f t="shared" si="141"/>
        <v>0</v>
      </c>
      <c r="K225" s="153">
        <v>1930</v>
      </c>
      <c r="L225" s="142" t="e">
        <f t="shared" si="142"/>
        <v>#DIV/0!</v>
      </c>
      <c r="M225" s="143">
        <f t="shared" si="143"/>
        <v>0</v>
      </c>
      <c r="N225" s="179"/>
      <c r="O225" s="146" t="e">
        <f t="shared" si="139"/>
        <v>#DIV/0!</v>
      </c>
      <c r="P225" s="146">
        <v>0.075</v>
      </c>
      <c r="Q225" s="178">
        <v>0.08</v>
      </c>
      <c r="R225" s="162">
        <f t="shared" si="104"/>
        <v>0</v>
      </c>
      <c r="S225" s="162">
        <f t="shared" si="134"/>
        <v>0</v>
      </c>
      <c r="T225" s="162">
        <f>(S225*Q225)+S225</f>
        <v>0</v>
      </c>
      <c r="U225" s="162">
        <f>(T225*Q225)+T225</f>
        <v>0</v>
      </c>
      <c r="V225" s="162">
        <f>(U225*Q225)+U225</f>
        <v>0</v>
      </c>
      <c r="W225" s="162">
        <f>(V225*Q225)+V225</f>
        <v>0</v>
      </c>
      <c r="X225" s="162">
        <f>(W225*Q225)+W225</f>
        <v>0</v>
      </c>
      <c r="Y225" s="162">
        <f>(X225*Q225)+X225</f>
        <v>0</v>
      </c>
      <c r="Z225" s="147">
        <f>(Y225*Q225)+Y225</f>
        <v>0</v>
      </c>
    </row>
    <row r="226" spans="1:26" ht="12.75">
      <c r="A226" s="81" t="s">
        <v>902</v>
      </c>
      <c r="B226" s="30">
        <v>0</v>
      </c>
      <c r="C226" s="78"/>
      <c r="D226" s="111" t="e">
        <f t="shared" si="138"/>
        <v>#DIV/0!</v>
      </c>
      <c r="E226" s="30">
        <f t="shared" si="120"/>
        <v>0</v>
      </c>
      <c r="F226" s="104">
        <v>0</v>
      </c>
      <c r="G226" s="270" t="e">
        <f t="shared" si="114"/>
        <v>#DIV/0!</v>
      </c>
      <c r="H226" s="267">
        <v>12752</v>
      </c>
      <c r="I226" s="111" t="e">
        <f t="shared" si="140"/>
        <v>#DIV/0!</v>
      </c>
      <c r="J226" s="30">
        <f t="shared" si="141"/>
        <v>20000</v>
      </c>
      <c r="K226" s="153">
        <v>12752</v>
      </c>
      <c r="L226" s="142">
        <f t="shared" si="142"/>
        <v>0.50105</v>
      </c>
      <c r="M226" s="143">
        <f t="shared" si="143"/>
        <v>10021</v>
      </c>
      <c r="N226" s="179">
        <v>30021</v>
      </c>
      <c r="O226" s="146" t="e">
        <f t="shared" si="139"/>
        <v>#DIV/0!</v>
      </c>
      <c r="P226" s="146">
        <v>0.075</v>
      </c>
      <c r="Q226" s="178">
        <v>0.08</v>
      </c>
      <c r="R226" s="162">
        <f t="shared" si="104"/>
        <v>32272.575</v>
      </c>
      <c r="S226" s="162">
        <f t="shared" si="134"/>
        <v>34693.018125</v>
      </c>
      <c r="T226" s="162">
        <f>(S226*Q226)+S226</f>
        <v>37468.459575</v>
      </c>
      <c r="U226" s="162">
        <f>(T226*Q226)+T226</f>
        <v>40465.936341</v>
      </c>
      <c r="V226" s="162">
        <f>(U226*Q226)+U226</f>
        <v>43703.21124828</v>
      </c>
      <c r="W226" s="162">
        <f>(V226*Q226)+V226</f>
        <v>47199.4681481424</v>
      </c>
      <c r="X226" s="162">
        <f>(W226*Q226)+W226</f>
        <v>50975.42559999379</v>
      </c>
      <c r="Y226" s="162">
        <f>(X226*Q226)+X226</f>
        <v>55053.459647993295</v>
      </c>
      <c r="Z226" s="147">
        <f>(Y226*Q226)+Y226</f>
        <v>59457.736419832756</v>
      </c>
    </row>
    <row r="227" spans="1:26" ht="12.75">
      <c r="A227" s="81" t="s">
        <v>903</v>
      </c>
      <c r="B227" s="30">
        <v>0</v>
      </c>
      <c r="C227" s="78"/>
      <c r="D227" s="111" t="e">
        <f t="shared" si="138"/>
        <v>#DIV/0!</v>
      </c>
      <c r="E227" s="30">
        <f t="shared" si="120"/>
        <v>0</v>
      </c>
      <c r="F227" s="104">
        <v>0</v>
      </c>
      <c r="G227" s="270" t="e">
        <f t="shared" si="114"/>
        <v>#DIV/0!</v>
      </c>
      <c r="H227" s="267">
        <v>26753</v>
      </c>
      <c r="I227" s="111" t="e">
        <f t="shared" si="140"/>
        <v>#DIV/0!</v>
      </c>
      <c r="J227" s="30">
        <f t="shared" si="141"/>
        <v>0</v>
      </c>
      <c r="K227" s="153">
        <v>29362</v>
      </c>
      <c r="L227" s="142" t="e">
        <f t="shared" si="142"/>
        <v>#DIV/0!</v>
      </c>
      <c r="M227" s="143">
        <f t="shared" si="143"/>
        <v>30022</v>
      </c>
      <c r="N227" s="179">
        <f>30022</f>
        <v>30022</v>
      </c>
      <c r="O227" s="146" t="e">
        <f t="shared" si="139"/>
        <v>#DIV/0!</v>
      </c>
      <c r="P227" s="146">
        <v>0.075</v>
      </c>
      <c r="Q227" s="178">
        <v>0.08</v>
      </c>
      <c r="R227" s="162">
        <f t="shared" si="104"/>
        <v>32273.65</v>
      </c>
      <c r="S227" s="162">
        <f t="shared" si="134"/>
        <v>34694.17375</v>
      </c>
      <c r="T227" s="162">
        <f>(S227*Q227)+S227</f>
        <v>37469.707650000004</v>
      </c>
      <c r="U227" s="162">
        <f>(T227*Q227)+T227</f>
        <v>40467.284262</v>
      </c>
      <c r="V227" s="162">
        <f>(U227*Q227)+U227</f>
        <v>43704.66700296</v>
      </c>
      <c r="W227" s="162">
        <f>(V227*Q227)+V227</f>
        <v>47201.0403631968</v>
      </c>
      <c r="X227" s="162">
        <f>(W227*Q227)+W227</f>
        <v>50977.123592252545</v>
      </c>
      <c r="Y227" s="162">
        <f>(X227*Q227)+X227</f>
        <v>55055.293479632746</v>
      </c>
      <c r="Z227" s="147">
        <f>(Y227*Q227)+Y227</f>
        <v>59459.716958003366</v>
      </c>
    </row>
    <row r="228" spans="1:26" ht="12.75">
      <c r="A228" s="88" t="s">
        <v>904</v>
      </c>
      <c r="B228" s="30">
        <v>0</v>
      </c>
      <c r="C228" s="78"/>
      <c r="D228" s="111" t="e">
        <f t="shared" si="138"/>
        <v>#DIV/0!</v>
      </c>
      <c r="E228" s="30">
        <f t="shared" si="120"/>
        <v>0</v>
      </c>
      <c r="F228" s="104">
        <v>0</v>
      </c>
      <c r="G228" s="270" t="e">
        <f t="shared" si="114"/>
        <v>#DIV/0!</v>
      </c>
      <c r="H228" s="267">
        <v>16000</v>
      </c>
      <c r="I228" s="111" t="e">
        <f t="shared" si="140"/>
        <v>#DIV/0!</v>
      </c>
      <c r="J228" s="30">
        <f t="shared" si="141"/>
        <v>5000</v>
      </c>
      <c r="K228" s="153">
        <v>16000</v>
      </c>
      <c r="L228" s="142">
        <f t="shared" si="142"/>
        <v>-1</v>
      </c>
      <c r="M228" s="143">
        <f t="shared" si="143"/>
        <v>-5000</v>
      </c>
      <c r="N228" s="179">
        <v>0</v>
      </c>
      <c r="O228" s="146" t="e">
        <f t="shared" si="139"/>
        <v>#DIV/0!</v>
      </c>
      <c r="P228" s="146">
        <v>0.075</v>
      </c>
      <c r="Q228" s="178">
        <v>0.08</v>
      </c>
      <c r="R228" s="162">
        <f t="shared" si="104"/>
        <v>0</v>
      </c>
      <c r="S228" s="162">
        <f t="shared" si="134"/>
        <v>0</v>
      </c>
      <c r="T228" s="162">
        <f>(S228*Q228)+S228</f>
        <v>0</v>
      </c>
      <c r="U228" s="162">
        <f>(T228*Q228)+T228</f>
        <v>0</v>
      </c>
      <c r="V228" s="162">
        <f>(U228*Q228)+U228</f>
        <v>0</v>
      </c>
      <c r="W228" s="162">
        <f>(V228*Q228)+V228</f>
        <v>0</v>
      </c>
      <c r="X228" s="162">
        <f>(W228*Q228)+W228</f>
        <v>0</v>
      </c>
      <c r="Y228" s="162">
        <f>(X228*Q228)+X228</f>
        <v>0</v>
      </c>
      <c r="Z228" s="147">
        <f>(Y228*Q228)+Y228</f>
        <v>0</v>
      </c>
    </row>
    <row r="229" spans="1:26" ht="13.5" thickBot="1">
      <c r="A229" s="90" t="s">
        <v>877</v>
      </c>
      <c r="B229" s="98">
        <v>15498</v>
      </c>
      <c r="C229" s="78"/>
      <c r="D229" s="111">
        <f t="shared" si="138"/>
        <v>3.5460344560588464</v>
      </c>
      <c r="E229" s="30">
        <f t="shared" si="120"/>
        <v>54956.441999999995</v>
      </c>
      <c r="F229" s="91">
        <f>SUM(F230:F234)</f>
        <v>70454.442</v>
      </c>
      <c r="G229" s="270">
        <f t="shared" si="114"/>
        <v>-0.4154378513139029</v>
      </c>
      <c r="H229" s="267">
        <v>41185</v>
      </c>
      <c r="I229" s="111">
        <f t="shared" si="140"/>
        <v>-0.7156602276404375</v>
      </c>
      <c r="J229" s="30">
        <f t="shared" si="141"/>
        <v>-50421.441999999995</v>
      </c>
      <c r="K229" s="91">
        <f>SUM(K230:K234)</f>
        <v>45033</v>
      </c>
      <c r="L229" s="142">
        <f t="shared" si="142"/>
        <v>0.9983527180152747</v>
      </c>
      <c r="M229" s="143">
        <f t="shared" si="143"/>
        <v>20000</v>
      </c>
      <c r="N229" s="170">
        <f>SUM(N230:N234)</f>
        <v>40033</v>
      </c>
      <c r="O229" s="146">
        <f t="shared" si="139"/>
        <v>1.2762423154778946</v>
      </c>
      <c r="P229" s="146"/>
      <c r="R229" s="170">
        <f aca="true" t="shared" si="145" ref="R229:Z229">SUM(R230:R234)</f>
        <v>43035.475</v>
      </c>
      <c r="S229" s="170">
        <f t="shared" si="145"/>
        <v>46263.135624999995</v>
      </c>
      <c r="T229" s="170">
        <f t="shared" si="145"/>
        <v>49964.186474999995</v>
      </c>
      <c r="U229" s="170">
        <f t="shared" si="145"/>
        <v>53961.321393</v>
      </c>
      <c r="V229" s="170">
        <f t="shared" si="145"/>
        <v>58278.22710444</v>
      </c>
      <c r="W229" s="170">
        <f t="shared" si="145"/>
        <v>62940.4852727952</v>
      </c>
      <c r="X229" s="170">
        <f t="shared" si="145"/>
        <v>67975.72409461881</v>
      </c>
      <c r="Y229" s="170">
        <f t="shared" si="145"/>
        <v>73413.78202218833</v>
      </c>
      <c r="Z229" s="170">
        <f t="shared" si="145"/>
        <v>79286.88458396339</v>
      </c>
    </row>
    <row r="230" spans="1:26" ht="12.75">
      <c r="A230" s="81" t="s">
        <v>905</v>
      </c>
      <c r="B230" s="30">
        <v>0</v>
      </c>
      <c r="C230" s="78"/>
      <c r="D230" s="111" t="e">
        <f t="shared" si="138"/>
        <v>#DIV/0!</v>
      </c>
      <c r="E230" s="30">
        <f t="shared" si="120"/>
        <v>0</v>
      </c>
      <c r="F230" s="104">
        <v>0</v>
      </c>
      <c r="G230" s="270" t="e">
        <f t="shared" si="114"/>
        <v>#DIV/0!</v>
      </c>
      <c r="H230" s="267">
        <v>0</v>
      </c>
      <c r="I230" s="111" t="e">
        <f t="shared" si="140"/>
        <v>#DIV/0!</v>
      </c>
      <c r="J230" s="30">
        <f t="shared" si="141"/>
        <v>630456</v>
      </c>
      <c r="K230" s="153">
        <v>0</v>
      </c>
      <c r="L230" s="142">
        <f t="shared" si="142"/>
        <v>-1</v>
      </c>
      <c r="M230" s="143">
        <f t="shared" si="143"/>
        <v>-630456</v>
      </c>
      <c r="N230" s="179"/>
      <c r="O230" s="146" t="e">
        <f t="shared" si="139"/>
        <v>#DIV/0!</v>
      </c>
      <c r="P230" s="146">
        <v>0.075</v>
      </c>
      <c r="Q230" s="178">
        <v>0.08</v>
      </c>
      <c r="R230" s="162">
        <f t="shared" si="104"/>
        <v>0</v>
      </c>
      <c r="S230" s="162">
        <f t="shared" si="134"/>
        <v>0</v>
      </c>
      <c r="T230" s="162">
        <f>(S230*Q230)+S230</f>
        <v>0</v>
      </c>
      <c r="U230" s="162">
        <f>(T230*Q230)+T230</f>
        <v>0</v>
      </c>
      <c r="V230" s="162">
        <f>(U230*Q230)+U230</f>
        <v>0</v>
      </c>
      <c r="W230" s="162">
        <f>(V230*Q230)+V230</f>
        <v>0</v>
      </c>
      <c r="X230" s="162">
        <f>(W230*Q230)+W230</f>
        <v>0</v>
      </c>
      <c r="Y230" s="162">
        <f>(X230*Q230)+X230</f>
        <v>0</v>
      </c>
      <c r="Z230" s="147">
        <f>(Y230*Q230)+Y230</f>
        <v>0</v>
      </c>
    </row>
    <row r="231" spans="1:26" ht="12.75">
      <c r="A231" s="81" t="s">
        <v>906</v>
      </c>
      <c r="B231" s="30">
        <v>0</v>
      </c>
      <c r="C231" s="78"/>
      <c r="D231" s="111" t="e">
        <f t="shared" si="138"/>
        <v>#DIV/0!</v>
      </c>
      <c r="E231" s="30">
        <f t="shared" si="120"/>
        <v>9000</v>
      </c>
      <c r="F231" s="104">
        <v>9000</v>
      </c>
      <c r="G231" s="270">
        <f t="shared" si="114"/>
        <v>0.9333333333333333</v>
      </c>
      <c r="H231" s="267">
        <v>17400</v>
      </c>
      <c r="I231" s="111">
        <f t="shared" si="140"/>
        <v>11.198444444444444</v>
      </c>
      <c r="J231" s="30">
        <f t="shared" si="141"/>
        <v>100786</v>
      </c>
      <c r="K231" s="153">
        <v>20000</v>
      </c>
      <c r="L231" s="142">
        <f t="shared" si="142"/>
        <v>-0.8178274096879383</v>
      </c>
      <c r="M231" s="143">
        <f t="shared" si="143"/>
        <v>-89786</v>
      </c>
      <c r="N231" s="179">
        <v>20000</v>
      </c>
      <c r="O231" s="146" t="e">
        <f t="shared" si="139"/>
        <v>#DIV/0!</v>
      </c>
      <c r="P231" s="146">
        <v>0.075</v>
      </c>
      <c r="Q231" s="178">
        <v>0.08</v>
      </c>
      <c r="R231" s="162">
        <f t="shared" si="104"/>
        <v>21500</v>
      </c>
      <c r="S231" s="162">
        <f t="shared" si="134"/>
        <v>23112.5</v>
      </c>
      <c r="T231" s="162">
        <f>(S231*Q231)+S231</f>
        <v>24961.5</v>
      </c>
      <c r="U231" s="162">
        <f>(T231*Q231)+T231</f>
        <v>26958.42</v>
      </c>
      <c r="V231" s="162">
        <f>(U231*Q231)+U231</f>
        <v>29115.0936</v>
      </c>
      <c r="W231" s="162">
        <f>(V231*Q231)+V231</f>
        <v>31444.301088</v>
      </c>
      <c r="X231" s="162">
        <f>(W231*Q231)+W231</f>
        <v>33959.84517504</v>
      </c>
      <c r="Y231" s="162">
        <f>(X231*Q231)+X231</f>
        <v>36676.6327890432</v>
      </c>
      <c r="Z231" s="147">
        <f>(Y231*Q231)+Y231</f>
        <v>39610.763412166656</v>
      </c>
    </row>
    <row r="232" spans="1:26" ht="12.75">
      <c r="A232" s="81" t="s">
        <v>1118</v>
      </c>
      <c r="B232" s="30">
        <v>0</v>
      </c>
      <c r="C232" s="78"/>
      <c r="D232" s="111" t="e">
        <f t="shared" si="138"/>
        <v>#DIV/0!</v>
      </c>
      <c r="E232" s="30">
        <f t="shared" si="120"/>
        <v>0</v>
      </c>
      <c r="F232" s="104">
        <v>0</v>
      </c>
      <c r="G232" s="270" t="e">
        <f t="shared" si="114"/>
        <v>#DIV/0!</v>
      </c>
      <c r="H232" s="267">
        <v>0</v>
      </c>
      <c r="I232" s="111" t="e">
        <f t="shared" si="140"/>
        <v>#DIV/0!</v>
      </c>
      <c r="J232" s="30">
        <f t="shared" si="141"/>
        <v>109786</v>
      </c>
      <c r="K232" s="153">
        <v>0</v>
      </c>
      <c r="L232" s="142">
        <f t="shared" si="142"/>
        <v>-1</v>
      </c>
      <c r="M232" s="143">
        <f t="shared" si="143"/>
        <v>-109786</v>
      </c>
      <c r="N232" s="179"/>
      <c r="O232" s="146" t="e">
        <f t="shared" si="139"/>
        <v>#DIV/0!</v>
      </c>
      <c r="P232" s="146">
        <v>0.075</v>
      </c>
      <c r="Q232" s="178">
        <v>0.08</v>
      </c>
      <c r="R232" s="162">
        <f t="shared" si="104"/>
        <v>0</v>
      </c>
      <c r="S232" s="162">
        <f t="shared" si="134"/>
        <v>0</v>
      </c>
      <c r="T232" s="162">
        <f>(S232*Q232)+S232</f>
        <v>0</v>
      </c>
      <c r="U232" s="162">
        <f>(T232*Q232)+T232</f>
        <v>0</v>
      </c>
      <c r="V232" s="162">
        <f>(U232*Q232)+U232</f>
        <v>0</v>
      </c>
      <c r="W232" s="162">
        <f>(V232*Q232)+V232</f>
        <v>0</v>
      </c>
      <c r="X232" s="162">
        <f>(W232*Q232)+W232</f>
        <v>0</v>
      </c>
      <c r="Y232" s="162">
        <f>(X232*Q232)+X232</f>
        <v>0</v>
      </c>
      <c r="Z232" s="147">
        <f>(Y232*Q232)+Y232</f>
        <v>0</v>
      </c>
    </row>
    <row r="233" spans="1:26" ht="12.75">
      <c r="A233" s="81" t="s">
        <v>907</v>
      </c>
      <c r="B233" s="30">
        <v>0</v>
      </c>
      <c r="C233" s="78"/>
      <c r="D233" s="111" t="e">
        <f t="shared" si="138"/>
        <v>#DIV/0!</v>
      </c>
      <c r="E233" s="30">
        <f t="shared" si="120"/>
        <v>12337.992</v>
      </c>
      <c r="F233" s="104">
        <v>12337.992</v>
      </c>
      <c r="G233" s="270">
        <f t="shared" si="114"/>
        <v>-0.6320308847663381</v>
      </c>
      <c r="H233" s="267">
        <v>4540</v>
      </c>
      <c r="I233" s="111">
        <f t="shared" si="140"/>
        <v>-1</v>
      </c>
      <c r="J233" s="30">
        <f t="shared" si="141"/>
        <v>-12337.992</v>
      </c>
      <c r="K233" s="153">
        <v>5000</v>
      </c>
      <c r="L233" s="142" t="e">
        <f t="shared" si="142"/>
        <v>#DIV/0!</v>
      </c>
      <c r="M233" s="143">
        <f t="shared" si="143"/>
        <v>0</v>
      </c>
      <c r="N233" s="179"/>
      <c r="O233" s="146" t="e">
        <f t="shared" si="139"/>
        <v>#DIV/0!</v>
      </c>
      <c r="P233" s="146">
        <v>0.075</v>
      </c>
      <c r="Q233" s="178">
        <v>0.08</v>
      </c>
      <c r="R233" s="162">
        <f aca="true" t="shared" si="146" ref="R233:R296">(N233*P233)+N233</f>
        <v>0</v>
      </c>
      <c r="S233" s="162">
        <f t="shared" si="134"/>
        <v>0</v>
      </c>
      <c r="T233" s="162">
        <f>(S233*Q233)+S233</f>
        <v>0</v>
      </c>
      <c r="U233" s="162">
        <f>(T233*Q233)+T233</f>
        <v>0</v>
      </c>
      <c r="V233" s="162">
        <f>(U233*Q233)+U233</f>
        <v>0</v>
      </c>
      <c r="W233" s="162">
        <f>(V233*Q233)+V233</f>
        <v>0</v>
      </c>
      <c r="X233" s="162">
        <f>(W233*Q233)+W233</f>
        <v>0</v>
      </c>
      <c r="Y233" s="162">
        <f>(X233*Q233)+X233</f>
        <v>0</v>
      </c>
      <c r="Z233" s="147">
        <f>(Y233*Q233)+Y233</f>
        <v>0</v>
      </c>
    </row>
    <row r="234" spans="1:26" ht="12.75">
      <c r="A234" s="81" t="s">
        <v>878</v>
      </c>
      <c r="B234" s="30">
        <v>0</v>
      </c>
      <c r="C234" s="78"/>
      <c r="D234" s="111" t="e">
        <f t="shared" si="138"/>
        <v>#DIV/0!</v>
      </c>
      <c r="E234" s="30">
        <f t="shared" si="120"/>
        <v>49116.45</v>
      </c>
      <c r="F234" s="104">
        <v>49116.45</v>
      </c>
      <c r="G234" s="270">
        <f t="shared" si="114"/>
        <v>-0.6081760795008597</v>
      </c>
      <c r="H234" s="267">
        <v>19245</v>
      </c>
      <c r="I234" s="111">
        <f t="shared" si="140"/>
        <v>-1</v>
      </c>
      <c r="J234" s="30">
        <f t="shared" si="141"/>
        <v>-49116.45</v>
      </c>
      <c r="K234" s="153">
        <v>20033</v>
      </c>
      <c r="L234" s="142" t="e">
        <f t="shared" si="142"/>
        <v>#DIV/0!</v>
      </c>
      <c r="M234" s="143">
        <f t="shared" si="143"/>
        <v>20033</v>
      </c>
      <c r="N234" s="179">
        <v>20033</v>
      </c>
      <c r="O234" s="146" t="e">
        <f t="shared" si="139"/>
        <v>#DIV/0!</v>
      </c>
      <c r="P234" s="146">
        <v>0.075</v>
      </c>
      <c r="Q234" s="178">
        <v>0.08</v>
      </c>
      <c r="R234" s="162">
        <f t="shared" si="146"/>
        <v>21535.475</v>
      </c>
      <c r="S234" s="162">
        <f t="shared" si="134"/>
        <v>23150.635625</v>
      </c>
      <c r="T234" s="162">
        <f>(S234*Q234)+S234</f>
        <v>25002.686475</v>
      </c>
      <c r="U234" s="162">
        <f>(T234*Q234)+T234</f>
        <v>27002.901393</v>
      </c>
      <c r="V234" s="162">
        <f>(U234*Q234)+U234</f>
        <v>29163.13350444</v>
      </c>
      <c r="W234" s="162">
        <f>(V234*Q234)+V234</f>
        <v>31496.184184795202</v>
      </c>
      <c r="X234" s="162">
        <f>(W234*Q234)+W234</f>
        <v>34015.87891957882</v>
      </c>
      <c r="Y234" s="162">
        <f>(X234*Q234)+X234</f>
        <v>36737.14923314512</v>
      </c>
      <c r="Z234" s="147">
        <f>(Y234*Q234)+Y234</f>
        <v>39676.12117179673</v>
      </c>
    </row>
    <row r="235" spans="1:26" ht="12.75">
      <c r="A235" s="86" t="s">
        <v>888</v>
      </c>
      <c r="B235" s="30"/>
      <c r="C235" s="78"/>
      <c r="D235" s="111" t="e">
        <f t="shared" si="138"/>
        <v>#DIV/0!</v>
      </c>
      <c r="E235" s="30">
        <f t="shared" si="120"/>
        <v>1155830.522</v>
      </c>
      <c r="F235" s="84">
        <f>SUM(F236+F239+F241+F244+F246+F252+F258)</f>
        <v>1155830.522</v>
      </c>
      <c r="G235" s="270">
        <f t="shared" si="114"/>
        <v>-0.48124401580736254</v>
      </c>
      <c r="H235" s="267">
        <v>599594</v>
      </c>
      <c r="I235" s="111">
        <f t="shared" si="140"/>
        <v>-1</v>
      </c>
      <c r="J235" s="30">
        <f t="shared" si="141"/>
        <v>-1155830.522</v>
      </c>
      <c r="K235" s="84">
        <f>SUM(K236+K239+K241+K244+K246+K252+K258)</f>
        <v>630456</v>
      </c>
      <c r="L235" s="142" t="e">
        <f t="shared" si="142"/>
        <v>#DIV/0!</v>
      </c>
      <c r="M235" s="143">
        <f t="shared" si="143"/>
        <v>630456</v>
      </c>
      <c r="N235" s="84">
        <f>SUM(N236+N239+N241+N244+N246+N252+N258)</f>
        <v>630456</v>
      </c>
      <c r="O235" s="146" t="e">
        <f t="shared" si="139"/>
        <v>#DIV/0!</v>
      </c>
      <c r="P235" s="146"/>
      <c r="R235" s="167">
        <f aca="true" t="shared" si="147" ref="R235:Z235">SUM(R236+R239+R241+R244+R246+R252+R258)</f>
        <v>677740.2000000001</v>
      </c>
      <c r="S235" s="167">
        <f t="shared" si="147"/>
        <v>728570.715</v>
      </c>
      <c r="T235" s="167">
        <f t="shared" si="147"/>
        <v>786856.3722</v>
      </c>
      <c r="U235" s="167">
        <f t="shared" si="147"/>
        <v>849804.881976</v>
      </c>
      <c r="V235" s="167">
        <f t="shared" si="147"/>
        <v>917789.2725340798</v>
      </c>
      <c r="W235" s="167">
        <f t="shared" si="147"/>
        <v>991212.4143368063</v>
      </c>
      <c r="X235" s="167">
        <f t="shared" si="147"/>
        <v>1070509.407483751</v>
      </c>
      <c r="Y235" s="167">
        <f t="shared" si="147"/>
        <v>1156150.1600824508</v>
      </c>
      <c r="Z235" s="167">
        <f t="shared" si="147"/>
        <v>1248642.172889047</v>
      </c>
    </row>
    <row r="236" spans="1:26" ht="12.75">
      <c r="A236" s="86" t="s">
        <v>908</v>
      </c>
      <c r="B236" s="101">
        <v>42462.40849999999</v>
      </c>
      <c r="C236" s="78"/>
      <c r="D236" s="111">
        <f t="shared" si="138"/>
        <v>0.11037036441303161</v>
      </c>
      <c r="E236" s="30">
        <f t="shared" si="120"/>
        <v>4686.59150000001</v>
      </c>
      <c r="F236" s="105">
        <f>SUM(F237:F238)</f>
        <v>47149</v>
      </c>
      <c r="G236" s="270">
        <f t="shared" si="114"/>
        <v>1.0104774226388682</v>
      </c>
      <c r="H236" s="267">
        <v>94792</v>
      </c>
      <c r="I236" s="111">
        <f t="shared" si="140"/>
        <v>5.468854058410571</v>
      </c>
      <c r="J236" s="30">
        <f t="shared" si="141"/>
        <v>257851</v>
      </c>
      <c r="K236" s="84">
        <f>SUM(K237:K238)</f>
        <v>109786</v>
      </c>
      <c r="L236" s="142">
        <f t="shared" si="142"/>
        <v>-0.6400459016393443</v>
      </c>
      <c r="M236" s="143">
        <f t="shared" si="143"/>
        <v>-195214</v>
      </c>
      <c r="N236" s="167">
        <f>SUM(N237:N238)</f>
        <v>109786</v>
      </c>
      <c r="O236" s="146">
        <f t="shared" si="139"/>
        <v>1.6463928403947528</v>
      </c>
      <c r="P236" s="146"/>
      <c r="R236" s="167">
        <f aca="true" t="shared" si="148" ref="R236:Z236">SUM(R237:R238)</f>
        <v>118019.95</v>
      </c>
      <c r="S236" s="167">
        <f t="shared" si="148"/>
        <v>126871.44625</v>
      </c>
      <c r="T236" s="167">
        <f t="shared" si="148"/>
        <v>137021.16194999998</v>
      </c>
      <c r="U236" s="167">
        <f t="shared" si="148"/>
        <v>147982.85490599996</v>
      </c>
      <c r="V236" s="167">
        <f t="shared" si="148"/>
        <v>159821.48329847996</v>
      </c>
      <c r="W236" s="167">
        <f t="shared" si="148"/>
        <v>172607.20196235835</v>
      </c>
      <c r="X236" s="167">
        <f t="shared" si="148"/>
        <v>186415.778119347</v>
      </c>
      <c r="Y236" s="167">
        <f t="shared" si="148"/>
        <v>201329.04036889476</v>
      </c>
      <c r="Z236" s="167">
        <f t="shared" si="148"/>
        <v>217435.36359840634</v>
      </c>
    </row>
    <row r="237" spans="1:26" ht="12.75">
      <c r="A237" s="81" t="s">
        <v>909</v>
      </c>
      <c r="B237" s="101">
        <v>42462.40849999999</v>
      </c>
      <c r="C237" s="78"/>
      <c r="D237" s="111">
        <f t="shared" si="138"/>
        <v>0.11037036441303161</v>
      </c>
      <c r="E237" s="30">
        <f t="shared" si="120"/>
        <v>4686.59150000001</v>
      </c>
      <c r="F237" s="104">
        <v>47149</v>
      </c>
      <c r="G237" s="270">
        <f t="shared" si="114"/>
        <v>1.0104774226388682</v>
      </c>
      <c r="H237" s="267">
        <v>94792</v>
      </c>
      <c r="I237" s="111">
        <f t="shared" si="140"/>
        <v>-1</v>
      </c>
      <c r="J237" s="30">
        <f t="shared" si="141"/>
        <v>-47149</v>
      </c>
      <c r="K237" s="153">
        <v>109786</v>
      </c>
      <c r="L237" s="142" t="e">
        <f t="shared" si="142"/>
        <v>#DIV/0!</v>
      </c>
      <c r="M237" s="143">
        <f t="shared" si="143"/>
        <v>109786</v>
      </c>
      <c r="N237" s="179">
        <v>109786</v>
      </c>
      <c r="O237" s="146" t="e">
        <f t="shared" si="139"/>
        <v>#DIV/0!</v>
      </c>
      <c r="P237" s="146">
        <v>0.075</v>
      </c>
      <c r="Q237" s="178">
        <v>0.08</v>
      </c>
      <c r="R237" s="162">
        <f t="shared" si="146"/>
        <v>118019.95</v>
      </c>
      <c r="S237" s="162">
        <f t="shared" si="134"/>
        <v>126871.44625</v>
      </c>
      <c r="T237" s="162">
        <f>(S237*Q237)+S237</f>
        <v>137021.16194999998</v>
      </c>
      <c r="U237" s="162">
        <f>(T237*Q237)+T237</f>
        <v>147982.85490599996</v>
      </c>
      <c r="V237" s="162">
        <f>(U237*Q237)+U237</f>
        <v>159821.48329847996</v>
      </c>
      <c r="W237" s="162">
        <f>(V237*Q237)+V237</f>
        <v>172607.20196235835</v>
      </c>
      <c r="X237" s="162">
        <f>(W237*Q237)+W237</f>
        <v>186415.778119347</v>
      </c>
      <c r="Y237" s="162">
        <f>(X237*Q237)+X237</f>
        <v>201329.04036889476</v>
      </c>
      <c r="Z237" s="147">
        <f>(Y237*Q237)+Y237</f>
        <v>217435.36359840634</v>
      </c>
    </row>
    <row r="238" spans="1:26" ht="12.75">
      <c r="A238" s="81" t="s">
        <v>910</v>
      </c>
      <c r="B238" s="30">
        <v>0</v>
      </c>
      <c r="C238" s="78"/>
      <c r="D238" s="111" t="e">
        <f t="shared" si="138"/>
        <v>#DIV/0!</v>
      </c>
      <c r="E238" s="30">
        <f t="shared" si="120"/>
        <v>0</v>
      </c>
      <c r="F238" s="104">
        <v>0</v>
      </c>
      <c r="G238" s="270" t="e">
        <f t="shared" si="114"/>
        <v>#DIV/0!</v>
      </c>
      <c r="H238" s="267">
        <v>0</v>
      </c>
      <c r="I238" s="111" t="e">
        <f t="shared" si="140"/>
        <v>#DIV/0!</v>
      </c>
      <c r="J238" s="30">
        <f t="shared" si="141"/>
        <v>305000</v>
      </c>
      <c r="K238" s="153">
        <v>0</v>
      </c>
      <c r="L238" s="142">
        <f t="shared" si="142"/>
        <v>-1</v>
      </c>
      <c r="M238" s="143">
        <f t="shared" si="143"/>
        <v>-305000</v>
      </c>
      <c r="N238" s="179">
        <v>0</v>
      </c>
      <c r="O238" s="146" t="e">
        <f t="shared" si="139"/>
        <v>#DIV/0!</v>
      </c>
      <c r="P238" s="146">
        <v>0.075</v>
      </c>
      <c r="Q238" s="178">
        <v>0.08</v>
      </c>
      <c r="R238" s="162">
        <f t="shared" si="146"/>
        <v>0</v>
      </c>
      <c r="S238" s="162">
        <f t="shared" si="134"/>
        <v>0</v>
      </c>
      <c r="T238" s="162">
        <f>(S238*Q238)+S238</f>
        <v>0</v>
      </c>
      <c r="U238" s="162">
        <f>(T238*Q238)+T238</f>
        <v>0</v>
      </c>
      <c r="V238" s="162">
        <f>(U238*P238)+U238</f>
        <v>0</v>
      </c>
      <c r="W238" s="162">
        <f>(V238*Q238)+V238</f>
        <v>0</v>
      </c>
      <c r="X238" s="162">
        <f>(W238*Q238)+W238</f>
        <v>0</v>
      </c>
      <c r="Y238" s="162">
        <f>(X238*Q238)+X238</f>
        <v>0</v>
      </c>
      <c r="Z238" s="147">
        <f>(Y238*Q238)+Y238</f>
        <v>0</v>
      </c>
    </row>
    <row r="239" spans="1:26" ht="12.75">
      <c r="A239" s="86" t="s">
        <v>911</v>
      </c>
      <c r="B239" s="32">
        <v>0</v>
      </c>
      <c r="C239" s="78"/>
      <c r="D239" s="111" t="e">
        <f t="shared" si="138"/>
        <v>#DIV/0!</v>
      </c>
      <c r="E239" s="30">
        <f t="shared" si="120"/>
        <v>52945</v>
      </c>
      <c r="F239" s="84">
        <f>SUM(F240)</f>
        <v>52945</v>
      </c>
      <c r="G239" s="270">
        <f t="shared" si="114"/>
        <v>-1</v>
      </c>
      <c r="H239" s="79"/>
      <c r="I239" s="111">
        <f t="shared" si="140"/>
        <v>-0.8806308433279819</v>
      </c>
      <c r="J239" s="30">
        <f t="shared" si="141"/>
        <v>-46625</v>
      </c>
      <c r="K239" s="84">
        <f>SUM(K240)</f>
        <v>0</v>
      </c>
      <c r="L239" s="142">
        <f t="shared" si="142"/>
        <v>-1</v>
      </c>
      <c r="M239" s="143">
        <f t="shared" si="143"/>
        <v>-6320</v>
      </c>
      <c r="N239" s="167">
        <f>SUM(N240)</f>
        <v>0</v>
      </c>
      <c r="O239" s="146" t="e">
        <f t="shared" si="139"/>
        <v>#DIV/0!</v>
      </c>
      <c r="P239" s="146">
        <v>0.075</v>
      </c>
      <c r="Q239" s="178">
        <v>0.08</v>
      </c>
      <c r="R239" s="167">
        <f aca="true" t="shared" si="149" ref="R239:Z239">SUM(R240)</f>
        <v>0</v>
      </c>
      <c r="S239" s="167">
        <f t="shared" si="149"/>
        <v>0</v>
      </c>
      <c r="T239" s="167">
        <f t="shared" si="149"/>
        <v>0</v>
      </c>
      <c r="U239" s="167">
        <f t="shared" si="149"/>
        <v>0</v>
      </c>
      <c r="V239" s="167">
        <f t="shared" si="149"/>
        <v>0</v>
      </c>
      <c r="W239" s="167">
        <f t="shared" si="149"/>
        <v>0</v>
      </c>
      <c r="X239" s="167">
        <f t="shared" si="149"/>
        <v>0</v>
      </c>
      <c r="Y239" s="167">
        <f t="shared" si="149"/>
        <v>0</v>
      </c>
      <c r="Z239" s="167">
        <f t="shared" si="149"/>
        <v>0</v>
      </c>
    </row>
    <row r="240" spans="1:26" ht="12.75">
      <c r="A240" s="81" t="s">
        <v>912</v>
      </c>
      <c r="B240" s="30">
        <v>0</v>
      </c>
      <c r="C240" s="78"/>
      <c r="D240" s="111" t="e">
        <f t="shared" si="138"/>
        <v>#DIV/0!</v>
      </c>
      <c r="E240" s="30">
        <f t="shared" si="120"/>
        <v>52945</v>
      </c>
      <c r="F240" s="104">
        <v>52945</v>
      </c>
      <c r="G240" s="270">
        <f t="shared" si="114"/>
        <v>-1</v>
      </c>
      <c r="H240" s="79"/>
      <c r="I240" s="111">
        <f t="shared" si="140"/>
        <v>-0.8806308433279819</v>
      </c>
      <c r="J240" s="30">
        <f t="shared" si="141"/>
        <v>-46625</v>
      </c>
      <c r="K240" s="153">
        <v>0</v>
      </c>
      <c r="L240" s="142">
        <f t="shared" si="142"/>
        <v>-1</v>
      </c>
      <c r="M240" s="143">
        <f t="shared" si="143"/>
        <v>-6320</v>
      </c>
      <c r="N240" s="176">
        <v>0</v>
      </c>
      <c r="O240" s="146" t="e">
        <f t="shared" si="139"/>
        <v>#DIV/0!</v>
      </c>
      <c r="P240" s="146">
        <v>0.075</v>
      </c>
      <c r="Q240" s="178">
        <v>0.08</v>
      </c>
      <c r="R240" s="147">
        <f t="shared" si="146"/>
        <v>0</v>
      </c>
      <c r="S240" s="147">
        <f t="shared" si="134"/>
        <v>0</v>
      </c>
      <c r="T240" s="162">
        <f>(S240*Q240)+S240</f>
        <v>0</v>
      </c>
      <c r="U240" s="162">
        <f>(T240*Q240)+T240</f>
        <v>0</v>
      </c>
      <c r="V240" s="147">
        <f>(U240*P240)+U240</f>
        <v>0</v>
      </c>
      <c r="W240" s="162">
        <f>(V240*P240)+V240</f>
        <v>0</v>
      </c>
      <c r="X240" s="162">
        <f>(W240*Q240)+W240</f>
        <v>0</v>
      </c>
      <c r="Y240" s="162">
        <f>(X240*Q240)+X240</f>
        <v>0</v>
      </c>
      <c r="Z240" s="147">
        <f>(Y240*Q240)+Y240</f>
        <v>0</v>
      </c>
    </row>
    <row r="241" spans="1:26" ht="12.75">
      <c r="A241" s="86" t="s">
        <v>844</v>
      </c>
      <c r="B241" s="98">
        <v>343660</v>
      </c>
      <c r="C241" s="78"/>
      <c r="D241" s="111">
        <f t="shared" si="138"/>
        <v>1.4638616044928128</v>
      </c>
      <c r="E241" s="30">
        <f t="shared" si="120"/>
        <v>503070.679</v>
      </c>
      <c r="F241" s="84">
        <f>SUM(F242:F243)</f>
        <v>846730.679</v>
      </c>
      <c r="G241" s="270">
        <f t="shared" si="114"/>
        <v>-0.6483132034950159</v>
      </c>
      <c r="H241" s="267">
        <v>297784</v>
      </c>
      <c r="I241" s="111">
        <f t="shared" si="140"/>
        <v>-0.9286242940064771</v>
      </c>
      <c r="J241" s="30">
        <f t="shared" si="141"/>
        <v>-786294.679</v>
      </c>
      <c r="K241" s="84">
        <f>SUM(K242:K243)</f>
        <v>305000</v>
      </c>
      <c r="L241" s="142">
        <f t="shared" si="142"/>
        <v>2.3920180025150573</v>
      </c>
      <c r="M241" s="143">
        <f t="shared" si="143"/>
        <v>144564</v>
      </c>
      <c r="N241" s="167">
        <f>SUM(N242:N243)</f>
        <v>205000</v>
      </c>
      <c r="O241" s="146">
        <f t="shared" si="139"/>
        <v>0.9757517710004643</v>
      </c>
      <c r="P241" s="146"/>
      <c r="R241" s="167">
        <f aca="true" t="shared" si="150" ref="R241:Z241">SUM(R242:R243)</f>
        <v>220375</v>
      </c>
      <c r="S241" s="167">
        <f t="shared" si="150"/>
        <v>236903.125</v>
      </c>
      <c r="T241" s="167">
        <f t="shared" si="150"/>
        <v>255855.375</v>
      </c>
      <c r="U241" s="167">
        <f t="shared" si="150"/>
        <v>276323.805</v>
      </c>
      <c r="V241" s="167">
        <f t="shared" si="150"/>
        <v>298429.7094</v>
      </c>
      <c r="W241" s="167">
        <f t="shared" si="150"/>
        <v>322304.086152</v>
      </c>
      <c r="X241" s="167">
        <f t="shared" si="150"/>
        <v>348088.41304416</v>
      </c>
      <c r="Y241" s="167">
        <f t="shared" si="150"/>
        <v>375935.4860876928</v>
      </c>
      <c r="Z241" s="167">
        <f t="shared" si="150"/>
        <v>406010.3249747082</v>
      </c>
    </row>
    <row r="242" spans="1:26" ht="12.75">
      <c r="A242" s="81" t="s">
        <v>845</v>
      </c>
      <c r="B242" s="98">
        <v>343660</v>
      </c>
      <c r="C242" s="78"/>
      <c r="D242" s="111">
        <f t="shared" si="138"/>
        <v>1.4638616044928128</v>
      </c>
      <c r="E242" s="30">
        <f t="shared" si="120"/>
        <v>503070.679</v>
      </c>
      <c r="F242" s="104">
        <v>846730.679</v>
      </c>
      <c r="G242" s="270">
        <f t="shared" si="114"/>
        <v>-1</v>
      </c>
      <c r="H242" s="267">
        <v>0</v>
      </c>
      <c r="I242" s="111">
        <f t="shared" si="140"/>
        <v>-1</v>
      </c>
      <c r="J242" s="30">
        <f t="shared" si="141"/>
        <v>-846730.679</v>
      </c>
      <c r="K242" s="153">
        <v>0</v>
      </c>
      <c r="L242" s="142" t="e">
        <f t="shared" si="142"/>
        <v>#DIV/0!</v>
      </c>
      <c r="M242" s="143">
        <f t="shared" si="143"/>
        <v>0</v>
      </c>
      <c r="N242" s="179">
        <v>0</v>
      </c>
      <c r="O242" s="146" t="e">
        <f t="shared" si="139"/>
        <v>#DIV/0!</v>
      </c>
      <c r="P242" s="146">
        <v>0.075</v>
      </c>
      <c r="Q242" s="178">
        <v>0.08</v>
      </c>
      <c r="R242" s="147">
        <f t="shared" si="146"/>
        <v>0</v>
      </c>
      <c r="S242" s="162">
        <f t="shared" si="134"/>
        <v>0</v>
      </c>
      <c r="T242" s="162">
        <f>(S242*Q242)+S242</f>
        <v>0</v>
      </c>
      <c r="U242" s="162">
        <f>(T242*Q242)+T242</f>
        <v>0</v>
      </c>
      <c r="V242" s="162">
        <f>(U242*Q242)+U242</f>
        <v>0</v>
      </c>
      <c r="W242" s="162">
        <f>(V242*Q242)+V242</f>
        <v>0</v>
      </c>
      <c r="X242" s="162">
        <f>(W242*Q242)+W242</f>
        <v>0</v>
      </c>
      <c r="Y242" s="162">
        <f>(X242*Q242)+X242</f>
        <v>0</v>
      </c>
      <c r="Z242" s="147">
        <f>(Y242*Q242)+Y242</f>
        <v>0</v>
      </c>
    </row>
    <row r="243" spans="1:26" ht="12.75">
      <c r="A243" s="81" t="s">
        <v>913</v>
      </c>
      <c r="B243" s="30">
        <v>0</v>
      </c>
      <c r="C243" s="78"/>
      <c r="D243" s="111" t="e">
        <f t="shared" si="138"/>
        <v>#DIV/0!</v>
      </c>
      <c r="E243" s="30">
        <f t="shared" si="120"/>
        <v>0</v>
      </c>
      <c r="F243" s="104">
        <v>0</v>
      </c>
      <c r="G243" s="270" t="e">
        <f t="shared" si="114"/>
        <v>#DIV/0!</v>
      </c>
      <c r="H243" s="267">
        <v>297784</v>
      </c>
      <c r="I243" s="111" t="e">
        <f t="shared" si="140"/>
        <v>#DIV/0!</v>
      </c>
      <c r="J243" s="30">
        <f t="shared" si="141"/>
        <v>0</v>
      </c>
      <c r="K243" s="153">
        <v>305000</v>
      </c>
      <c r="L243" s="142" t="e">
        <f t="shared" si="142"/>
        <v>#DIV/0!</v>
      </c>
      <c r="M243" s="143">
        <f t="shared" si="143"/>
        <v>205000</v>
      </c>
      <c r="N243" s="179">
        <v>205000</v>
      </c>
      <c r="O243" s="146" t="e">
        <f t="shared" si="139"/>
        <v>#DIV/0!</v>
      </c>
      <c r="P243" s="146">
        <v>0.075</v>
      </c>
      <c r="Q243" s="178">
        <v>0.08</v>
      </c>
      <c r="R243" s="162">
        <f t="shared" si="146"/>
        <v>220375</v>
      </c>
      <c r="S243" s="162">
        <f t="shared" si="134"/>
        <v>236903.125</v>
      </c>
      <c r="T243" s="162">
        <f>(S243*Q243)+S243</f>
        <v>255855.375</v>
      </c>
      <c r="U243" s="162">
        <f>(T243*Q243)+T243</f>
        <v>276323.805</v>
      </c>
      <c r="V243" s="162">
        <f>(U243*Q243)+U243</f>
        <v>298429.7094</v>
      </c>
      <c r="W243" s="162">
        <f>(V243*Q243)+V243</f>
        <v>322304.086152</v>
      </c>
      <c r="X243" s="162">
        <f>(W243*Q243)+W243</f>
        <v>348088.41304416</v>
      </c>
      <c r="Y243" s="162">
        <f>(X243*Q243)+X243</f>
        <v>375935.4860876928</v>
      </c>
      <c r="Z243" s="147">
        <f>(Y243*Q243)+Y243</f>
        <v>406010.3249747082</v>
      </c>
    </row>
    <row r="244" spans="1:26" ht="12.75">
      <c r="A244" s="86" t="s">
        <v>914</v>
      </c>
      <c r="B244" s="30">
        <v>0</v>
      </c>
      <c r="C244" s="78"/>
      <c r="D244" s="111" t="e">
        <f t="shared" si="138"/>
        <v>#DIV/0!</v>
      </c>
      <c r="E244" s="30">
        <f t="shared" si="120"/>
        <v>63899.636</v>
      </c>
      <c r="F244" s="105">
        <f>SUM(F245)</f>
        <v>63899.636</v>
      </c>
      <c r="G244" s="270">
        <f t="shared" si="114"/>
        <v>-0.9564629757828355</v>
      </c>
      <c r="H244" s="267">
        <v>2782</v>
      </c>
      <c r="I244" s="111">
        <f t="shared" si="140"/>
        <v>-0.6801859716383987</v>
      </c>
      <c r="J244" s="30">
        <f t="shared" si="141"/>
        <v>-43463.636</v>
      </c>
      <c r="K244" s="84">
        <f>SUM(K245)</f>
        <v>6320</v>
      </c>
      <c r="L244" s="142">
        <f t="shared" si="142"/>
        <v>-0.6907418281464083</v>
      </c>
      <c r="M244" s="143">
        <f t="shared" si="143"/>
        <v>-14116</v>
      </c>
      <c r="N244" s="167">
        <f>SUM(N245)</f>
        <v>6320</v>
      </c>
      <c r="O244" s="146" t="e">
        <f t="shared" si="139"/>
        <v>#DIV/0!</v>
      </c>
      <c r="P244" s="146"/>
      <c r="R244" s="167">
        <f aca="true" t="shared" si="151" ref="R244:Z244">SUM(R245)</f>
        <v>6794</v>
      </c>
      <c r="S244" s="167">
        <f t="shared" si="151"/>
        <v>7303.55</v>
      </c>
      <c r="T244" s="167">
        <f t="shared" si="151"/>
        <v>7887.834</v>
      </c>
      <c r="U244" s="167">
        <f t="shared" si="151"/>
        <v>8518.86072</v>
      </c>
      <c r="V244" s="167">
        <f t="shared" si="151"/>
        <v>9200.3695776</v>
      </c>
      <c r="W244" s="167">
        <f t="shared" si="151"/>
        <v>9936.399143808001</v>
      </c>
      <c r="X244" s="167">
        <f t="shared" si="151"/>
        <v>10731.311075312642</v>
      </c>
      <c r="Y244" s="167">
        <f t="shared" si="151"/>
        <v>11589.815961337654</v>
      </c>
      <c r="Z244" s="167">
        <f t="shared" si="151"/>
        <v>12517.001238244666</v>
      </c>
    </row>
    <row r="245" spans="1:26" ht="12.75">
      <c r="A245" s="81" t="s">
        <v>915</v>
      </c>
      <c r="B245" s="30">
        <v>0</v>
      </c>
      <c r="C245" s="78"/>
      <c r="D245" s="111" t="e">
        <f t="shared" si="138"/>
        <v>#DIV/0!</v>
      </c>
      <c r="E245" s="30">
        <f t="shared" si="120"/>
        <v>63899.636</v>
      </c>
      <c r="F245" s="108">
        <v>63899.636</v>
      </c>
      <c r="G245" s="270">
        <f t="shared" si="114"/>
        <v>-0.9564629757828355</v>
      </c>
      <c r="H245" s="267">
        <v>2782</v>
      </c>
      <c r="I245" s="111">
        <f t="shared" si="140"/>
        <v>-0.6870091716954381</v>
      </c>
      <c r="J245" s="30">
        <f t="shared" si="141"/>
        <v>-43899.636</v>
      </c>
      <c r="K245" s="153">
        <v>6320</v>
      </c>
      <c r="L245" s="142">
        <f t="shared" si="142"/>
        <v>-0.6839999999999999</v>
      </c>
      <c r="M245" s="143">
        <f t="shared" si="143"/>
        <v>-13680</v>
      </c>
      <c r="N245" s="179">
        <v>6320</v>
      </c>
      <c r="O245" s="146" t="e">
        <f t="shared" si="139"/>
        <v>#DIV/0!</v>
      </c>
      <c r="P245" s="146">
        <v>0.075</v>
      </c>
      <c r="Q245" s="178">
        <v>0.08</v>
      </c>
      <c r="R245" s="162">
        <f t="shared" si="146"/>
        <v>6794</v>
      </c>
      <c r="S245" s="162">
        <f t="shared" si="134"/>
        <v>7303.55</v>
      </c>
      <c r="T245" s="162">
        <f>(S245*Q245)+S245</f>
        <v>7887.834</v>
      </c>
      <c r="U245" s="162">
        <f>(T245*Q245)+T245</f>
        <v>8518.86072</v>
      </c>
      <c r="V245" s="162">
        <f>(U245*Q245)+U245</f>
        <v>9200.3695776</v>
      </c>
      <c r="W245" s="162">
        <f>(V245*Q245)+V245</f>
        <v>9936.399143808001</v>
      </c>
      <c r="X245" s="162">
        <f>(W245*Q245)+W245</f>
        <v>10731.311075312642</v>
      </c>
      <c r="Y245" s="162">
        <f>(X245*Q245)+X245</f>
        <v>11589.815961337654</v>
      </c>
      <c r="Z245" s="147">
        <f>(Y245*Q245)+Y245</f>
        <v>12517.001238244666</v>
      </c>
    </row>
    <row r="246" spans="1:26" ht="12.75">
      <c r="A246" s="86" t="s">
        <v>916</v>
      </c>
      <c r="B246" s="30">
        <v>0</v>
      </c>
      <c r="C246" s="78"/>
      <c r="D246" s="111" t="e">
        <f t="shared" si="138"/>
        <v>#DIV/0!</v>
      </c>
      <c r="E246" s="30">
        <f t="shared" si="120"/>
        <v>57490.884</v>
      </c>
      <c r="F246" s="104">
        <f>SUM(F247:F251)</f>
        <v>57490.884</v>
      </c>
      <c r="G246" s="270">
        <f t="shared" si="114"/>
        <v>0.016143707235394045</v>
      </c>
      <c r="H246" s="267">
        <v>58419</v>
      </c>
      <c r="I246" s="111">
        <f t="shared" si="140"/>
        <v>-0.6521187602542344</v>
      </c>
      <c r="J246" s="30">
        <f t="shared" si="141"/>
        <v>-37490.884</v>
      </c>
      <c r="K246" s="84">
        <f>SUM(K247:K251)</f>
        <v>60436</v>
      </c>
      <c r="L246" s="142">
        <f t="shared" si="142"/>
        <v>7.021800000000001</v>
      </c>
      <c r="M246" s="143">
        <f t="shared" si="143"/>
        <v>140436</v>
      </c>
      <c r="N246" s="167">
        <f>SUM(N247:N251)</f>
        <v>160436</v>
      </c>
      <c r="O246" s="146" t="e">
        <f t="shared" si="139"/>
        <v>#DIV/0!</v>
      </c>
      <c r="P246" s="146"/>
      <c r="R246" s="167">
        <f aca="true" t="shared" si="152" ref="R246:Z246">SUM(R247:R251)</f>
        <v>172468.7</v>
      </c>
      <c r="S246" s="167">
        <f t="shared" si="152"/>
        <v>185403.8525</v>
      </c>
      <c r="T246" s="167">
        <f t="shared" si="152"/>
        <v>200236.1607</v>
      </c>
      <c r="U246" s="167">
        <f t="shared" si="152"/>
        <v>216255.053556</v>
      </c>
      <c r="V246" s="167">
        <f t="shared" si="152"/>
        <v>233555.45784048</v>
      </c>
      <c r="W246" s="167">
        <f t="shared" si="152"/>
        <v>252239.89446771838</v>
      </c>
      <c r="X246" s="167">
        <f t="shared" si="152"/>
        <v>272419.0860251358</v>
      </c>
      <c r="Y246" s="167">
        <f t="shared" si="152"/>
        <v>294212.61290714674</v>
      </c>
      <c r="Z246" s="167">
        <f t="shared" si="152"/>
        <v>317749.6219397185</v>
      </c>
    </row>
    <row r="247" spans="1:26" ht="12.75">
      <c r="A247" s="81" t="s">
        <v>917</v>
      </c>
      <c r="B247" s="30">
        <v>0</v>
      </c>
      <c r="C247" s="78"/>
      <c r="D247" s="111" t="e">
        <f t="shared" si="138"/>
        <v>#DIV/0!</v>
      </c>
      <c r="E247" s="30">
        <f t="shared" si="120"/>
        <v>0</v>
      </c>
      <c r="F247" s="104">
        <v>0</v>
      </c>
      <c r="G247" s="270" t="e">
        <f t="shared" si="114"/>
        <v>#DIV/0!</v>
      </c>
      <c r="H247" s="267">
        <v>0</v>
      </c>
      <c r="I247" s="111" t="e">
        <f t="shared" si="140"/>
        <v>#DIV/0!</v>
      </c>
      <c r="J247" s="30">
        <f t="shared" si="141"/>
        <v>135000</v>
      </c>
      <c r="K247" s="153">
        <v>0</v>
      </c>
      <c r="L247" s="142">
        <f t="shared" si="142"/>
        <v>-0.9597333333333333</v>
      </c>
      <c r="M247" s="143">
        <f t="shared" si="143"/>
        <v>-129564</v>
      </c>
      <c r="N247" s="179">
        <v>5436</v>
      </c>
      <c r="O247" s="146" t="e">
        <f t="shared" si="139"/>
        <v>#DIV/0!</v>
      </c>
      <c r="P247" s="146">
        <v>0.075</v>
      </c>
      <c r="Q247" s="178">
        <v>0.08</v>
      </c>
      <c r="R247" s="162">
        <f t="shared" si="146"/>
        <v>5843.7</v>
      </c>
      <c r="S247" s="162">
        <f t="shared" si="134"/>
        <v>6281.9775</v>
      </c>
      <c r="T247" s="162">
        <f>(S247*Q247)+S247</f>
        <v>6784.5357</v>
      </c>
      <c r="U247" s="162">
        <f>(T247*Q247)+T247</f>
        <v>7327.298556000001</v>
      </c>
      <c r="V247" s="162">
        <f>(U247*Q247)+U247</f>
        <v>7913.482440480001</v>
      </c>
      <c r="W247" s="162">
        <f>(V247*Q247)+V247</f>
        <v>8546.561035718401</v>
      </c>
      <c r="X247" s="162">
        <f>(W247*Q247)+W247</f>
        <v>9230.285918575873</v>
      </c>
      <c r="Y247" s="162">
        <f>(X247*Q247)+X247</f>
        <v>9968.708792061943</v>
      </c>
      <c r="Z247" s="147">
        <f>(Y247*Q247)+Y247</f>
        <v>10766.205495426899</v>
      </c>
    </row>
    <row r="248" spans="1:26" ht="12.75">
      <c r="A248" s="81" t="s">
        <v>918</v>
      </c>
      <c r="B248" s="30">
        <v>0</v>
      </c>
      <c r="C248" s="78"/>
      <c r="D248" s="111" t="e">
        <f t="shared" si="138"/>
        <v>#DIV/0!</v>
      </c>
      <c r="E248" s="30">
        <f t="shared" si="120"/>
        <v>0</v>
      </c>
      <c r="F248" s="104">
        <v>0</v>
      </c>
      <c r="G248" s="270" t="e">
        <f t="shared" si="114"/>
        <v>#DIV/0!</v>
      </c>
      <c r="H248" s="267">
        <v>0</v>
      </c>
      <c r="I248" s="111" t="e">
        <f t="shared" si="140"/>
        <v>#DIV/0!</v>
      </c>
      <c r="J248" s="30">
        <f t="shared" si="141"/>
        <v>30000</v>
      </c>
      <c r="K248" s="153">
        <v>0</v>
      </c>
      <c r="L248" s="142">
        <f t="shared" si="142"/>
        <v>-0.33333333333333337</v>
      </c>
      <c r="M248" s="143">
        <f t="shared" si="143"/>
        <v>-10000</v>
      </c>
      <c r="N248" s="179">
        <v>20000</v>
      </c>
      <c r="O248" s="146" t="e">
        <f t="shared" si="139"/>
        <v>#DIV/0!</v>
      </c>
      <c r="P248" s="146">
        <v>0.075</v>
      </c>
      <c r="Q248" s="178">
        <v>0.08</v>
      </c>
      <c r="R248" s="162">
        <f t="shared" si="146"/>
        <v>21500</v>
      </c>
      <c r="S248" s="162">
        <f t="shared" si="134"/>
        <v>23112.5</v>
      </c>
      <c r="T248" s="162">
        <f>(S248*Q248)+S248</f>
        <v>24961.5</v>
      </c>
      <c r="U248" s="162">
        <f>(T248*Q248)+T248</f>
        <v>26958.42</v>
      </c>
      <c r="V248" s="162">
        <f>(U248*Q248)+U248</f>
        <v>29115.0936</v>
      </c>
      <c r="W248" s="162">
        <f>(V248*Q248)+V248</f>
        <v>31444.301088</v>
      </c>
      <c r="X248" s="162">
        <f>(W248*Q248)+W248</f>
        <v>33959.84517504</v>
      </c>
      <c r="Y248" s="162">
        <f>(X248*Q248)+X248</f>
        <v>36676.6327890432</v>
      </c>
      <c r="Z248" s="147">
        <f>(Y248*Q248)+Y248</f>
        <v>39610.763412166656</v>
      </c>
    </row>
    <row r="249" spans="1:26" ht="12.75">
      <c r="A249" s="81" t="s">
        <v>919</v>
      </c>
      <c r="B249" s="30">
        <v>0</v>
      </c>
      <c r="C249" s="78"/>
      <c r="D249" s="111" t="e">
        <f t="shared" si="138"/>
        <v>#DIV/0!</v>
      </c>
      <c r="E249" s="30">
        <f t="shared" si="120"/>
        <v>0</v>
      </c>
      <c r="F249" s="104">
        <v>0</v>
      </c>
      <c r="G249" s="270" t="e">
        <f t="shared" si="114"/>
        <v>#DIV/0!</v>
      </c>
      <c r="H249" s="267">
        <v>20000</v>
      </c>
      <c r="I249" s="111" t="e">
        <f t="shared" si="140"/>
        <v>#DIV/0!</v>
      </c>
      <c r="J249" s="30">
        <f t="shared" si="141"/>
        <v>75000</v>
      </c>
      <c r="K249" s="153">
        <v>20436</v>
      </c>
      <c r="L249" s="142">
        <f t="shared" si="142"/>
        <v>-1</v>
      </c>
      <c r="M249" s="143">
        <f t="shared" si="143"/>
        <v>-75000</v>
      </c>
      <c r="N249" s="179"/>
      <c r="O249" s="146" t="e">
        <f t="shared" si="139"/>
        <v>#DIV/0!</v>
      </c>
      <c r="P249" s="146">
        <v>0.075</v>
      </c>
      <c r="Q249" s="178">
        <v>0.08</v>
      </c>
      <c r="R249" s="162">
        <f t="shared" si="146"/>
        <v>0</v>
      </c>
      <c r="S249" s="162">
        <f t="shared" si="134"/>
        <v>0</v>
      </c>
      <c r="T249" s="162">
        <f>(S249*Q249)+S249</f>
        <v>0</v>
      </c>
      <c r="U249" s="162">
        <f>(T249*Q249)+T249</f>
        <v>0</v>
      </c>
      <c r="V249" s="162">
        <f>(U249*Q249)+U249</f>
        <v>0</v>
      </c>
      <c r="W249" s="162">
        <f>(V249*Q249)+V249</f>
        <v>0</v>
      </c>
      <c r="X249" s="162">
        <f>(W249*Q249)+W249</f>
        <v>0</v>
      </c>
      <c r="Y249" s="162">
        <f>(X249*Q249)+X249</f>
        <v>0</v>
      </c>
      <c r="Z249" s="147">
        <f>(Y249*Q249)+Y249</f>
        <v>0</v>
      </c>
    </row>
    <row r="250" spans="1:26" ht="12.75">
      <c r="A250" s="81" t="s">
        <v>920</v>
      </c>
      <c r="B250" s="30">
        <v>0</v>
      </c>
      <c r="C250" s="78"/>
      <c r="D250" s="111" t="e">
        <f t="shared" si="138"/>
        <v>#DIV/0!</v>
      </c>
      <c r="E250" s="30">
        <f t="shared" si="120"/>
        <v>0</v>
      </c>
      <c r="F250" s="104">
        <v>0</v>
      </c>
      <c r="G250" s="270" t="e">
        <f t="shared" si="114"/>
        <v>#DIV/0!</v>
      </c>
      <c r="H250" s="267">
        <v>19536</v>
      </c>
      <c r="I250" s="111" t="e">
        <f t="shared" si="140"/>
        <v>#DIV/0!</v>
      </c>
      <c r="J250" s="30">
        <f t="shared" si="141"/>
        <v>10000</v>
      </c>
      <c r="K250" s="153">
        <v>20000</v>
      </c>
      <c r="L250" s="142">
        <f t="shared" si="142"/>
        <v>2</v>
      </c>
      <c r="M250" s="143">
        <f t="shared" si="143"/>
        <v>20000</v>
      </c>
      <c r="N250" s="179">
        <v>30000</v>
      </c>
      <c r="O250" s="146" t="e">
        <f t="shared" si="139"/>
        <v>#DIV/0!</v>
      </c>
      <c r="P250" s="146">
        <v>0.075</v>
      </c>
      <c r="Q250" s="178">
        <v>0.08</v>
      </c>
      <c r="R250" s="162">
        <f t="shared" si="146"/>
        <v>32250</v>
      </c>
      <c r="S250" s="162">
        <f t="shared" si="134"/>
        <v>34668.75</v>
      </c>
      <c r="T250" s="162">
        <f>(S250*Q250)+S250</f>
        <v>37442.25</v>
      </c>
      <c r="U250" s="162">
        <f>(T250*Q250)+T250</f>
        <v>40437.63</v>
      </c>
      <c r="V250" s="162">
        <f>(U250*Q250)+U250</f>
        <v>43672.6404</v>
      </c>
      <c r="W250" s="162">
        <f>(V250*Q250)+V250</f>
        <v>47166.451632</v>
      </c>
      <c r="X250" s="162">
        <f>(W250*Q250)+W250</f>
        <v>50939.76776256</v>
      </c>
      <c r="Y250" s="162">
        <f>(X250*Q250)+X250</f>
        <v>55014.9491835648</v>
      </c>
      <c r="Z250" s="147">
        <f>(Y250*Q250)+Y250</f>
        <v>59416.14511824999</v>
      </c>
    </row>
    <row r="251" spans="1:26" ht="12.75">
      <c r="A251" s="81" t="s">
        <v>921</v>
      </c>
      <c r="B251" s="30">
        <v>0</v>
      </c>
      <c r="C251" s="78"/>
      <c r="D251" s="111" t="e">
        <f t="shared" si="138"/>
        <v>#DIV/0!</v>
      </c>
      <c r="E251" s="30">
        <f t="shared" si="120"/>
        <v>57490.884</v>
      </c>
      <c r="F251" s="104">
        <v>57490.884</v>
      </c>
      <c r="G251" s="270">
        <f t="shared" si="114"/>
        <v>-0.6715479274940355</v>
      </c>
      <c r="H251" s="267">
        <v>18883</v>
      </c>
      <c r="I251" s="111">
        <f t="shared" si="140"/>
        <v>-0.8260593801271172</v>
      </c>
      <c r="J251" s="30">
        <f t="shared" si="141"/>
        <v>-47490.884</v>
      </c>
      <c r="K251" s="153">
        <v>20000</v>
      </c>
      <c r="L251" s="142">
        <f t="shared" si="142"/>
        <v>9.5</v>
      </c>
      <c r="M251" s="143">
        <f t="shared" si="143"/>
        <v>95000</v>
      </c>
      <c r="N251" s="179">
        <v>105000</v>
      </c>
      <c r="O251" s="146" t="e">
        <f t="shared" si="139"/>
        <v>#DIV/0!</v>
      </c>
      <c r="P251" s="146">
        <v>0.075</v>
      </c>
      <c r="Q251" s="178">
        <v>0.08</v>
      </c>
      <c r="R251" s="162">
        <f t="shared" si="146"/>
        <v>112875</v>
      </c>
      <c r="S251" s="162">
        <f t="shared" si="134"/>
        <v>121340.625</v>
      </c>
      <c r="T251" s="162">
        <f>(S251*Q251)+S251</f>
        <v>131047.875</v>
      </c>
      <c r="U251" s="162">
        <f>(T251*Q251)+T251</f>
        <v>141531.705</v>
      </c>
      <c r="V251" s="162">
        <f>(U251*Q251)+U251</f>
        <v>152854.2414</v>
      </c>
      <c r="W251" s="162">
        <f>(V251*Q251)+V251</f>
        <v>165082.580712</v>
      </c>
      <c r="X251" s="162">
        <f>(W251*Q251)+W251</f>
        <v>178289.18716896</v>
      </c>
      <c r="Y251" s="162">
        <f>(X251*Q251)+X251</f>
        <v>192552.3221424768</v>
      </c>
      <c r="Z251" s="147">
        <f>(Y251*Q251)+Y251</f>
        <v>207956.50791387493</v>
      </c>
    </row>
    <row r="252" spans="1:26" ht="12.75">
      <c r="A252" s="86" t="s">
        <v>847</v>
      </c>
      <c r="B252" s="98">
        <v>37171</v>
      </c>
      <c r="C252" s="78"/>
      <c r="D252" s="111">
        <f t="shared" si="138"/>
        <v>1.05793018751177</v>
      </c>
      <c r="E252" s="30">
        <f t="shared" si="120"/>
        <v>39324.323000000004</v>
      </c>
      <c r="F252" s="106">
        <f>SUM(F253:F257)</f>
        <v>76495.323</v>
      </c>
      <c r="G252" s="270">
        <f t="shared" si="114"/>
        <v>0.7300273377497863</v>
      </c>
      <c r="H252" s="267">
        <v>132339</v>
      </c>
      <c r="I252" s="111">
        <f t="shared" si="140"/>
        <v>-0.8692730534649811</v>
      </c>
      <c r="J252" s="30">
        <f t="shared" si="141"/>
        <v>-66495.323</v>
      </c>
      <c r="K252" s="84">
        <f>SUM(K253:K257)</f>
        <v>135000</v>
      </c>
      <c r="L252" s="142">
        <f t="shared" si="142"/>
        <v>12.5</v>
      </c>
      <c r="M252" s="143">
        <f t="shared" si="143"/>
        <v>125000</v>
      </c>
      <c r="N252" s="167">
        <f>SUM(N253:N257)</f>
        <v>135000</v>
      </c>
      <c r="O252" s="146">
        <f t="shared" si="139"/>
        <v>4.229552378015597</v>
      </c>
      <c r="P252" s="146"/>
      <c r="R252" s="167">
        <f aca="true" t="shared" si="153" ref="R252:Z252">SUM(R253:R257)</f>
        <v>145125</v>
      </c>
      <c r="S252" s="167">
        <f t="shared" si="153"/>
        <v>156009.375</v>
      </c>
      <c r="T252" s="167">
        <f t="shared" si="153"/>
        <v>168490.125</v>
      </c>
      <c r="U252" s="167">
        <f t="shared" si="153"/>
        <v>181969.335</v>
      </c>
      <c r="V252" s="167">
        <f t="shared" si="153"/>
        <v>196526.8818</v>
      </c>
      <c r="W252" s="167">
        <f t="shared" si="153"/>
        <v>212249.03234399998</v>
      </c>
      <c r="X252" s="167">
        <f t="shared" si="153"/>
        <v>229228.95493151998</v>
      </c>
      <c r="Y252" s="167">
        <f t="shared" si="153"/>
        <v>247567.27132604158</v>
      </c>
      <c r="Z252" s="167">
        <f t="shared" si="153"/>
        <v>267372.6530321249</v>
      </c>
    </row>
    <row r="253" spans="1:26" ht="12.75">
      <c r="A253" s="81" t="s">
        <v>922</v>
      </c>
      <c r="B253" s="30">
        <v>0</v>
      </c>
      <c r="C253" s="78"/>
      <c r="D253" s="111" t="e">
        <f t="shared" si="138"/>
        <v>#DIV/0!</v>
      </c>
      <c r="E253" s="30">
        <f t="shared" si="120"/>
        <v>76495.323</v>
      </c>
      <c r="F253" s="107">
        <v>76495.323</v>
      </c>
      <c r="G253" s="270">
        <f t="shared" si="114"/>
        <v>-0.6105774989668322</v>
      </c>
      <c r="H253" s="267">
        <v>29789</v>
      </c>
      <c r="I253" s="111">
        <f t="shared" si="140"/>
        <v>-0.8181065265911748</v>
      </c>
      <c r="J253" s="30">
        <f t="shared" si="141"/>
        <v>-62581.323000000004</v>
      </c>
      <c r="K253" s="153">
        <v>30000</v>
      </c>
      <c r="L253" s="142">
        <f t="shared" si="142"/>
        <v>1.1561017680034498</v>
      </c>
      <c r="M253" s="143">
        <f t="shared" si="143"/>
        <v>16086</v>
      </c>
      <c r="N253" s="179">
        <v>30000</v>
      </c>
      <c r="O253" s="146" t="e">
        <f t="shared" si="139"/>
        <v>#DIV/0!</v>
      </c>
      <c r="P253" s="146">
        <v>0.075</v>
      </c>
      <c r="Q253" s="178">
        <v>0.08</v>
      </c>
      <c r="R253" s="162">
        <f t="shared" si="146"/>
        <v>32250</v>
      </c>
      <c r="S253" s="162">
        <f t="shared" si="134"/>
        <v>34668.75</v>
      </c>
      <c r="T253" s="162">
        <f>(S253*Q253)+S253</f>
        <v>37442.25</v>
      </c>
      <c r="U253" s="162">
        <f>(T253*Q253)+T253</f>
        <v>40437.63</v>
      </c>
      <c r="V253" s="162">
        <f>(U253*Q253)+U253</f>
        <v>43672.6404</v>
      </c>
      <c r="W253" s="162">
        <f>(V253*Q253)+V253</f>
        <v>47166.451632</v>
      </c>
      <c r="X253" s="162">
        <f>(W253*Q253)+W253</f>
        <v>50939.76776256</v>
      </c>
      <c r="Y253" s="162">
        <f>(X253*Q253)+X253</f>
        <v>55014.9491835648</v>
      </c>
      <c r="Z253" s="147">
        <f>(Y253*Q253)+Y253</f>
        <v>59416.14511824999</v>
      </c>
    </row>
    <row r="254" spans="1:26" ht="12.75">
      <c r="A254" s="81" t="s">
        <v>923</v>
      </c>
      <c r="B254" s="30">
        <v>0</v>
      </c>
      <c r="C254" s="78"/>
      <c r="D254" s="111" t="e">
        <f t="shared" si="138"/>
        <v>#DIV/0!</v>
      </c>
      <c r="E254" s="30">
        <f t="shared" si="120"/>
        <v>0</v>
      </c>
      <c r="F254" s="104">
        <v>0</v>
      </c>
      <c r="G254" s="270" t="e">
        <f t="shared" si="114"/>
        <v>#DIV/0!</v>
      </c>
      <c r="H254" s="267">
        <v>74676</v>
      </c>
      <c r="I254" s="111" t="e">
        <f t="shared" si="140"/>
        <v>#DIV/0!</v>
      </c>
      <c r="J254" s="30">
        <f t="shared" si="141"/>
        <v>13914</v>
      </c>
      <c r="K254" s="153">
        <v>75000</v>
      </c>
      <c r="L254" s="142">
        <f t="shared" si="142"/>
        <v>4.390254420008624</v>
      </c>
      <c r="M254" s="143">
        <f t="shared" si="143"/>
        <v>61086</v>
      </c>
      <c r="N254" s="179">
        <v>75000</v>
      </c>
      <c r="O254" s="146" t="e">
        <f t="shared" si="139"/>
        <v>#DIV/0!</v>
      </c>
      <c r="P254" s="146">
        <v>0.075</v>
      </c>
      <c r="Q254" s="178">
        <v>0.08</v>
      </c>
      <c r="R254" s="162">
        <f t="shared" si="146"/>
        <v>80625</v>
      </c>
      <c r="S254" s="162">
        <f t="shared" si="134"/>
        <v>86671.875</v>
      </c>
      <c r="T254" s="162">
        <f>(S254*Q254)+S254</f>
        <v>93605.625</v>
      </c>
      <c r="U254" s="162">
        <f>(T254*Q254)+T254</f>
        <v>101094.075</v>
      </c>
      <c r="V254" s="162">
        <f>(U254*Q254)+U254</f>
        <v>109181.601</v>
      </c>
      <c r="W254" s="162">
        <f>(V254*Q254)+V254</f>
        <v>117916.12908</v>
      </c>
      <c r="X254" s="162">
        <f>(W254*Q254)+W254</f>
        <v>127349.4194064</v>
      </c>
      <c r="Y254" s="162">
        <f>(X254*Q254)+X254</f>
        <v>137537.372958912</v>
      </c>
      <c r="Z254" s="147">
        <f>(Y254*Q254)+Y254</f>
        <v>148540.36279562494</v>
      </c>
    </row>
    <row r="255" spans="1:26" ht="12.75">
      <c r="A255" s="81" t="s">
        <v>924</v>
      </c>
      <c r="B255" s="30">
        <v>0</v>
      </c>
      <c r="C255" s="78"/>
      <c r="D255" s="111" t="e">
        <f t="shared" si="138"/>
        <v>#DIV/0!</v>
      </c>
      <c r="E255" s="30">
        <f t="shared" si="120"/>
        <v>0</v>
      </c>
      <c r="F255" s="104">
        <v>0</v>
      </c>
      <c r="G255" s="270" t="e">
        <f t="shared" si="114"/>
        <v>#DIV/0!</v>
      </c>
      <c r="H255" s="267">
        <v>9453</v>
      </c>
      <c r="I255" s="111" t="e">
        <f aca="true" t="shared" si="154" ref="I255:I272">K260/F255-1</f>
        <v>#DIV/0!</v>
      </c>
      <c r="J255" s="30">
        <f aca="true" t="shared" si="155" ref="J255:J272">K260-F255</f>
        <v>4748615</v>
      </c>
      <c r="K255" s="153">
        <v>10000</v>
      </c>
      <c r="L255" s="142">
        <f aca="true" t="shared" si="156" ref="L255:L272">N255/K260-1</f>
        <v>-0.9970517719377123</v>
      </c>
      <c r="M255" s="143">
        <f aca="true" t="shared" si="157" ref="M255:M272">N255-K260</f>
        <v>-4734615</v>
      </c>
      <c r="N255" s="179">
        <v>14000</v>
      </c>
      <c r="O255" s="146" t="e">
        <f t="shared" si="139"/>
        <v>#DIV/0!</v>
      </c>
      <c r="P255" s="146">
        <v>0.075</v>
      </c>
      <c r="Q255" s="178">
        <v>0.08</v>
      </c>
      <c r="R255" s="162">
        <f t="shared" si="146"/>
        <v>15050</v>
      </c>
      <c r="S255" s="162">
        <f t="shared" si="134"/>
        <v>16178.75</v>
      </c>
      <c r="T255" s="162">
        <f>(S255*Q255)+S255</f>
        <v>17473.05</v>
      </c>
      <c r="U255" s="162">
        <f>(T255*Q255)+T255</f>
        <v>18870.894</v>
      </c>
      <c r="V255" s="162">
        <f>(U255*Q255)+U255</f>
        <v>20380.56552</v>
      </c>
      <c r="W255" s="162">
        <f>(V255*Q255)+V255</f>
        <v>22011.0107616</v>
      </c>
      <c r="X255" s="162">
        <f>(W255*Q255)+W255</f>
        <v>23771.891622527997</v>
      </c>
      <c r="Y255" s="162">
        <f>(X255*Q255)+X255</f>
        <v>25673.642952330236</v>
      </c>
      <c r="Z255" s="147">
        <f>(Y255*Q255)+Y255</f>
        <v>27727.534388516655</v>
      </c>
    </row>
    <row r="256" spans="1:26" ht="12.75">
      <c r="A256" s="81" t="s">
        <v>925</v>
      </c>
      <c r="B256" s="30">
        <v>0</v>
      </c>
      <c r="C256" s="78"/>
      <c r="D256" s="111" t="e">
        <f t="shared" si="138"/>
        <v>#DIV/0!</v>
      </c>
      <c r="E256" s="30">
        <f t="shared" si="120"/>
        <v>0</v>
      </c>
      <c r="F256" s="104">
        <v>0</v>
      </c>
      <c r="G256" s="270" t="e">
        <f t="shared" si="114"/>
        <v>#DIV/0!</v>
      </c>
      <c r="H256" s="267">
        <v>9940</v>
      </c>
      <c r="I256" s="111" t="e">
        <f t="shared" si="154"/>
        <v>#DIV/0!</v>
      </c>
      <c r="J256" s="30">
        <f t="shared" si="155"/>
        <v>2448985</v>
      </c>
      <c r="K256" s="153">
        <v>10000</v>
      </c>
      <c r="L256" s="142">
        <f t="shared" si="156"/>
        <v>-0.9975500054104047</v>
      </c>
      <c r="M256" s="143">
        <f t="shared" si="157"/>
        <v>-2442985</v>
      </c>
      <c r="N256" s="179">
        <v>6000</v>
      </c>
      <c r="O256" s="146" t="e">
        <f t="shared" si="139"/>
        <v>#DIV/0!</v>
      </c>
      <c r="P256" s="146">
        <v>0.075</v>
      </c>
      <c r="Q256" s="178">
        <v>0.08</v>
      </c>
      <c r="R256" s="162">
        <f t="shared" si="146"/>
        <v>6450</v>
      </c>
      <c r="S256" s="162">
        <f t="shared" si="134"/>
        <v>6933.75</v>
      </c>
      <c r="T256" s="162">
        <f>(S256*Q256)+S256</f>
        <v>7488.45</v>
      </c>
      <c r="U256" s="162">
        <f>(T256*Q256)+T256</f>
        <v>8087.526</v>
      </c>
      <c r="V256" s="162">
        <f>(U256*Q256)+U256</f>
        <v>8734.52808</v>
      </c>
      <c r="W256" s="162">
        <f>(V256*Q256)+V256</f>
        <v>9433.2903264</v>
      </c>
      <c r="X256" s="162">
        <f>(W256*Q256)+W256</f>
        <v>10187.953552511999</v>
      </c>
      <c r="Y256" s="162">
        <f>(X256*Q256)+X256</f>
        <v>11002.989836712959</v>
      </c>
      <c r="Z256" s="147">
        <f>(Y256*Q256)+Y256</f>
        <v>11883.229023649996</v>
      </c>
    </row>
    <row r="257" spans="1:26" ht="12.75">
      <c r="A257" s="81" t="s">
        <v>926</v>
      </c>
      <c r="B257" s="30">
        <v>0</v>
      </c>
      <c r="C257" s="78"/>
      <c r="D257" s="111" t="e">
        <f t="shared" si="138"/>
        <v>#DIV/0!</v>
      </c>
      <c r="E257" s="30">
        <f t="shared" si="120"/>
        <v>0</v>
      </c>
      <c r="F257" s="104">
        <v>0</v>
      </c>
      <c r="G257" s="270" t="e">
        <f t="shared" si="114"/>
        <v>#DIV/0!</v>
      </c>
      <c r="H257" s="267">
        <v>8481</v>
      </c>
      <c r="I257" s="111" t="e">
        <f t="shared" si="154"/>
        <v>#DIV/0!</v>
      </c>
      <c r="J257" s="30">
        <f t="shared" si="155"/>
        <v>433</v>
      </c>
      <c r="K257" s="153">
        <v>10000</v>
      </c>
      <c r="L257" s="142">
        <f t="shared" si="156"/>
        <v>22.094688221709006</v>
      </c>
      <c r="M257" s="143">
        <f t="shared" si="157"/>
        <v>9567</v>
      </c>
      <c r="N257" s="179">
        <v>10000</v>
      </c>
      <c r="O257" s="146" t="e">
        <f t="shared" si="139"/>
        <v>#DIV/0!</v>
      </c>
      <c r="P257" s="146">
        <v>0.075</v>
      </c>
      <c r="Q257" s="178">
        <v>0.08</v>
      </c>
      <c r="R257" s="162">
        <f t="shared" si="146"/>
        <v>10750</v>
      </c>
      <c r="S257" s="162">
        <f t="shared" si="134"/>
        <v>11556.25</v>
      </c>
      <c r="T257" s="162">
        <f>(S257*Q257)+S257</f>
        <v>12480.75</v>
      </c>
      <c r="U257" s="162">
        <f>(T257*Q257)+T257</f>
        <v>13479.21</v>
      </c>
      <c r="V257" s="162">
        <f>(U257*Q257)+U257</f>
        <v>14557.5468</v>
      </c>
      <c r="W257" s="162">
        <f>(V257*Q257)+V257</f>
        <v>15722.150544</v>
      </c>
      <c r="X257" s="162">
        <f>(W257*Q257)+W257</f>
        <v>16979.92258752</v>
      </c>
      <c r="Y257" s="162">
        <f>(X257*Q257)+X257</f>
        <v>18338.3163945216</v>
      </c>
      <c r="Z257" s="147">
        <f>(Y257*Q257)+Y257</f>
        <v>19805.381706083328</v>
      </c>
    </row>
    <row r="258" spans="1:26" ht="12.75">
      <c r="A258" s="86" t="s">
        <v>927</v>
      </c>
      <c r="B258" s="98">
        <v>31507</v>
      </c>
      <c r="C258" s="78"/>
      <c r="D258" s="111">
        <f t="shared" si="138"/>
        <v>-0.6470625575268988</v>
      </c>
      <c r="E258" s="30">
        <f t="shared" si="120"/>
        <v>-20387</v>
      </c>
      <c r="F258" s="105">
        <f>SUM(F259)</f>
        <v>11120</v>
      </c>
      <c r="G258" s="270">
        <f t="shared" si="114"/>
        <v>0.2120503597122303</v>
      </c>
      <c r="H258" s="267">
        <v>13478</v>
      </c>
      <c r="I258" s="111">
        <f t="shared" si="154"/>
        <v>-1</v>
      </c>
      <c r="J258" s="30">
        <f t="shared" si="155"/>
        <v>-11120</v>
      </c>
      <c r="K258" s="84">
        <f>SUM(K259)</f>
        <v>13914</v>
      </c>
      <c r="L258" s="142" t="e">
        <f t="shared" si="156"/>
        <v>#DIV/0!</v>
      </c>
      <c r="M258" s="143">
        <f t="shared" si="157"/>
        <v>13914</v>
      </c>
      <c r="N258" s="167">
        <f>SUM(N259)</f>
        <v>13914</v>
      </c>
      <c r="O258" s="146" t="e">
        <f t="shared" si="139"/>
        <v>#DIV/0!</v>
      </c>
      <c r="P258" s="146"/>
      <c r="R258" s="167">
        <f aca="true" t="shared" si="158" ref="R258:Z258">SUM(R259)</f>
        <v>14957.55</v>
      </c>
      <c r="S258" s="167">
        <f t="shared" si="158"/>
        <v>16079.36625</v>
      </c>
      <c r="T258" s="167">
        <f t="shared" si="158"/>
        <v>17365.71555</v>
      </c>
      <c r="U258" s="167">
        <f t="shared" si="158"/>
        <v>18754.972794</v>
      </c>
      <c r="V258" s="167">
        <f t="shared" si="158"/>
        <v>20255.370617520002</v>
      </c>
      <c r="W258" s="167">
        <f t="shared" si="158"/>
        <v>21875.800266921604</v>
      </c>
      <c r="X258" s="167">
        <f t="shared" si="158"/>
        <v>23625.864288275334</v>
      </c>
      <c r="Y258" s="167">
        <f t="shared" si="158"/>
        <v>25515.933431337362</v>
      </c>
      <c r="Z258" s="167">
        <f t="shared" si="158"/>
        <v>27557.20810584435</v>
      </c>
    </row>
    <row r="259" spans="1:26" ht="12.75">
      <c r="A259" s="81" t="s">
        <v>1101</v>
      </c>
      <c r="B259" s="30">
        <v>0</v>
      </c>
      <c r="C259" s="78"/>
      <c r="D259" s="111" t="e">
        <f t="shared" si="138"/>
        <v>#DIV/0!</v>
      </c>
      <c r="E259" s="30">
        <f t="shared" si="120"/>
        <v>11120</v>
      </c>
      <c r="F259" s="104">
        <v>11120</v>
      </c>
      <c r="G259" s="270">
        <f t="shared" si="114"/>
        <v>0.2120503597122303</v>
      </c>
      <c r="H259" s="267">
        <v>13478</v>
      </c>
      <c r="I259" s="111">
        <f t="shared" si="154"/>
        <v>-1</v>
      </c>
      <c r="J259" s="30">
        <f t="shared" si="155"/>
        <v>-11120</v>
      </c>
      <c r="K259" s="153">
        <v>13914</v>
      </c>
      <c r="L259" s="142" t="e">
        <f t="shared" si="156"/>
        <v>#DIV/0!</v>
      </c>
      <c r="M259" s="143">
        <f t="shared" si="157"/>
        <v>13914</v>
      </c>
      <c r="N259" s="179">
        <v>13914</v>
      </c>
      <c r="O259" s="146" t="e">
        <f t="shared" si="139"/>
        <v>#DIV/0!</v>
      </c>
      <c r="P259" s="146">
        <v>0.075</v>
      </c>
      <c r="Q259" s="178">
        <v>0.08</v>
      </c>
      <c r="R259" s="162">
        <f t="shared" si="146"/>
        <v>14957.55</v>
      </c>
      <c r="S259" s="162">
        <f t="shared" si="134"/>
        <v>16079.36625</v>
      </c>
      <c r="T259" s="162">
        <f>(S259*Q259)+S259</f>
        <v>17365.71555</v>
      </c>
      <c r="U259" s="162">
        <f>(T259*Q259)+T259</f>
        <v>18754.972794</v>
      </c>
      <c r="V259" s="162">
        <f>(U259*Q259)+U259</f>
        <v>20255.370617520002</v>
      </c>
      <c r="W259" s="162">
        <f>(V259*Q259)+V259</f>
        <v>21875.800266921604</v>
      </c>
      <c r="X259" s="162">
        <f>(W259*Q259)+W259</f>
        <v>23625.864288275334</v>
      </c>
      <c r="Y259" s="162">
        <f>(X259*Q259)+X259</f>
        <v>25515.933431337362</v>
      </c>
      <c r="Z259" s="147">
        <f>(Y259*Q259)+Y259</f>
        <v>27557.20810584435</v>
      </c>
    </row>
    <row r="260" spans="1:26" ht="12.75">
      <c r="A260" s="150" t="s">
        <v>928</v>
      </c>
      <c r="B260" s="30">
        <v>296238</v>
      </c>
      <c r="C260" s="78"/>
      <c r="D260" s="111">
        <f t="shared" si="138"/>
        <v>10.546384400380775</v>
      </c>
      <c r="E260" s="30">
        <f t="shared" si="120"/>
        <v>3124239.822</v>
      </c>
      <c r="F260" s="84">
        <f>SUM(F261+F279+F286+F302)</f>
        <v>3420477.822</v>
      </c>
      <c r="G260" s="270">
        <f aca="true" t="shared" si="159" ref="G260:G323">H260/F260-1</f>
        <v>-0.9867161834209958</v>
      </c>
      <c r="H260" s="267">
        <v>45437</v>
      </c>
      <c r="I260" s="111">
        <f>K260/F260-1</f>
        <v>0.3882899545372347</v>
      </c>
      <c r="J260" s="30">
        <f>K260-F260</f>
        <v>1328137.1779999998</v>
      </c>
      <c r="K260" s="84">
        <f>SUM(K261+K279+K286+K302)</f>
        <v>4748615</v>
      </c>
      <c r="L260" s="142">
        <f>N260/K260-1</f>
        <v>0.5010193498525359</v>
      </c>
      <c r="M260" s="143">
        <f>N260-K260</f>
        <v>2379148</v>
      </c>
      <c r="N260" s="167">
        <f>SUM(N261+N279+N286+N302)</f>
        <v>7127763</v>
      </c>
      <c r="O260" s="146">
        <f t="shared" si="139"/>
        <v>3.811897901590182</v>
      </c>
      <c r="P260" s="146"/>
      <c r="R260" s="167">
        <f aca="true" t="shared" si="160" ref="R260:Z260">SUM(R261+R279+R286+R302)</f>
        <v>7662345.225</v>
      </c>
      <c r="S260" s="167">
        <f t="shared" si="160"/>
        <v>8237021.116874999</v>
      </c>
      <c r="T260" s="167">
        <f t="shared" si="160"/>
        <v>8895982.806225</v>
      </c>
      <c r="U260" s="167">
        <f t="shared" si="160"/>
        <v>9607661.430722998</v>
      </c>
      <c r="V260" s="167">
        <f t="shared" si="160"/>
        <v>10376274.34518084</v>
      </c>
      <c r="W260" s="167">
        <f t="shared" si="160"/>
        <v>11206376.292795306</v>
      </c>
      <c r="X260" s="167">
        <f t="shared" si="160"/>
        <v>12102886.396218933</v>
      </c>
      <c r="Y260" s="167">
        <f t="shared" si="160"/>
        <v>13071117.307916446</v>
      </c>
      <c r="Z260" s="167">
        <f t="shared" si="160"/>
        <v>14116806.692549763</v>
      </c>
    </row>
    <row r="261" spans="1:26" ht="12.75">
      <c r="A261" s="86" t="s">
        <v>929</v>
      </c>
      <c r="B261" s="30">
        <v>0</v>
      </c>
      <c r="C261" s="78"/>
      <c r="D261" s="111" t="e">
        <f t="shared" si="138"/>
        <v>#DIV/0!</v>
      </c>
      <c r="E261" s="30">
        <f t="shared" si="120"/>
        <v>1234623.609</v>
      </c>
      <c r="F261" s="84">
        <f>SUM(F262:F277)+F278</f>
        <v>1234623.609</v>
      </c>
      <c r="G261" s="270">
        <f t="shared" si="159"/>
        <v>-0.9788429446759429</v>
      </c>
      <c r="H261" s="267">
        <v>26121</v>
      </c>
      <c r="I261" s="111">
        <f>K260/F260-1</f>
        <v>0.3882899545372347</v>
      </c>
      <c r="J261" s="30">
        <f t="shared" si="155"/>
        <v>-701610.6089999999</v>
      </c>
      <c r="K261" s="84">
        <f>SUM(K262:K277)+K278</f>
        <v>2448985</v>
      </c>
      <c r="L261" s="142">
        <f t="shared" si="156"/>
        <v>8.671186256245157</v>
      </c>
      <c r="M261" s="143">
        <f t="shared" si="157"/>
        <v>4621855</v>
      </c>
      <c r="N261" s="167">
        <f>SUM(N262:N277)+N278</f>
        <v>5154868</v>
      </c>
      <c r="O261" s="146" t="e">
        <f t="shared" si="139"/>
        <v>#DIV/0!</v>
      </c>
      <c r="P261" s="146"/>
      <c r="R261" s="167">
        <f aca="true" t="shared" si="161" ref="R261:Z261">SUM(R262:R277)+R278</f>
        <v>5541483.1</v>
      </c>
      <c r="S261" s="167">
        <f t="shared" si="161"/>
        <v>5957094.3325</v>
      </c>
      <c r="T261" s="167">
        <f t="shared" si="161"/>
        <v>6433661.8791</v>
      </c>
      <c r="U261" s="167">
        <f t="shared" si="161"/>
        <v>6948354.829427999</v>
      </c>
      <c r="V261" s="167">
        <f t="shared" si="161"/>
        <v>7504223.215782239</v>
      </c>
      <c r="W261" s="167">
        <f t="shared" si="161"/>
        <v>8104561.073044819</v>
      </c>
      <c r="X261" s="167">
        <f t="shared" si="161"/>
        <v>8752925.958888404</v>
      </c>
      <c r="Y261" s="167">
        <f t="shared" si="161"/>
        <v>9453160.035599476</v>
      </c>
      <c r="Z261" s="167">
        <f t="shared" si="161"/>
        <v>10209412.838447435</v>
      </c>
    </row>
    <row r="262" spans="1:26" ht="12.75">
      <c r="A262" s="81" t="s">
        <v>930</v>
      </c>
      <c r="B262" s="30">
        <v>0</v>
      </c>
      <c r="C262" s="78"/>
      <c r="D262" s="111" t="e">
        <f t="shared" si="138"/>
        <v>#DIV/0!</v>
      </c>
      <c r="E262" s="30">
        <f t="shared" si="120"/>
        <v>0</v>
      </c>
      <c r="F262" s="104"/>
      <c r="G262" s="270" t="e">
        <f t="shared" si="159"/>
        <v>#DIV/0!</v>
      </c>
      <c r="H262" s="267">
        <v>416</v>
      </c>
      <c r="I262" s="111" t="e">
        <f t="shared" si="154"/>
        <v>#DIV/0!</v>
      </c>
      <c r="J262" s="30">
        <f t="shared" si="155"/>
        <v>1135639</v>
      </c>
      <c r="K262" s="153">
        <v>433</v>
      </c>
      <c r="L262" s="142">
        <f t="shared" si="156"/>
        <v>-1</v>
      </c>
      <c r="M262" s="143">
        <f t="shared" si="157"/>
        <v>-1135639</v>
      </c>
      <c r="N262" s="179"/>
      <c r="O262" s="146" t="e">
        <f t="shared" si="139"/>
        <v>#DIV/0!</v>
      </c>
      <c r="P262" s="146">
        <v>0.075</v>
      </c>
      <c r="Q262" s="178">
        <v>0.08</v>
      </c>
      <c r="R262" s="162">
        <f t="shared" si="146"/>
        <v>0</v>
      </c>
      <c r="S262" s="162">
        <f t="shared" si="134"/>
        <v>0</v>
      </c>
      <c r="T262" s="162">
        <f aca="true" t="shared" si="162" ref="T262:T278">(S262*Q262)+S262</f>
        <v>0</v>
      </c>
      <c r="U262" s="162">
        <f aca="true" t="shared" si="163" ref="U262:U278">(T262*Q262)+T262</f>
        <v>0</v>
      </c>
      <c r="V262" s="162">
        <f aca="true" t="shared" si="164" ref="V262:V278">(U262*Q262)+U262</f>
        <v>0</v>
      </c>
      <c r="W262" s="162">
        <f aca="true" t="shared" si="165" ref="W262:W278">(V262*Q262)+V262</f>
        <v>0</v>
      </c>
      <c r="X262" s="162">
        <f aca="true" t="shared" si="166" ref="X262:X278">(W262*Q262)+W262</f>
        <v>0</v>
      </c>
      <c r="Y262" s="162">
        <f aca="true" t="shared" si="167" ref="Y262:Y278">(X262*Q262)+X262</f>
        <v>0</v>
      </c>
      <c r="Z262" s="147">
        <f aca="true" t="shared" si="168" ref="Z262:Z278">(Y262*Q262)+Y262</f>
        <v>0</v>
      </c>
    </row>
    <row r="263" spans="1:26" ht="12.75">
      <c r="A263" s="81" t="s">
        <v>931</v>
      </c>
      <c r="B263" s="30">
        <v>0</v>
      </c>
      <c r="C263" s="78"/>
      <c r="D263" s="111" t="e">
        <f t="shared" si="138"/>
        <v>#DIV/0!</v>
      </c>
      <c r="E263" s="30">
        <f t="shared" si="120"/>
        <v>0</v>
      </c>
      <c r="F263" s="104"/>
      <c r="G263" s="270" t="e">
        <f t="shared" si="159"/>
        <v>#DIV/0!</v>
      </c>
      <c r="H263" s="267">
        <v>0</v>
      </c>
      <c r="I263" s="111" t="e">
        <f t="shared" si="154"/>
        <v>#DIV/0!</v>
      </c>
      <c r="J263" s="30">
        <f t="shared" si="155"/>
        <v>26000</v>
      </c>
      <c r="K263" s="153">
        <v>0</v>
      </c>
      <c r="L263" s="142">
        <f t="shared" si="156"/>
        <v>-1</v>
      </c>
      <c r="M263" s="143">
        <f t="shared" si="157"/>
        <v>-26000</v>
      </c>
      <c r="N263" s="179"/>
      <c r="O263" s="146" t="e">
        <f t="shared" si="139"/>
        <v>#DIV/0!</v>
      </c>
      <c r="P263" s="146">
        <v>0.075</v>
      </c>
      <c r="Q263" s="178">
        <v>0.08</v>
      </c>
      <c r="R263" s="162">
        <f t="shared" si="146"/>
        <v>0</v>
      </c>
      <c r="S263" s="162">
        <f t="shared" si="134"/>
        <v>0</v>
      </c>
      <c r="T263" s="162">
        <f t="shared" si="162"/>
        <v>0</v>
      </c>
      <c r="U263" s="162">
        <f t="shared" si="163"/>
        <v>0</v>
      </c>
      <c r="V263" s="162">
        <f t="shared" si="164"/>
        <v>0</v>
      </c>
      <c r="W263" s="162">
        <f t="shared" si="165"/>
        <v>0</v>
      </c>
      <c r="X263" s="162">
        <f t="shared" si="166"/>
        <v>0</v>
      </c>
      <c r="Y263" s="162">
        <f t="shared" si="167"/>
        <v>0</v>
      </c>
      <c r="Z263" s="147">
        <f t="shared" si="168"/>
        <v>0</v>
      </c>
    </row>
    <row r="264" spans="1:26" ht="12.75">
      <c r="A264" s="81" t="s">
        <v>932</v>
      </c>
      <c r="B264" s="30">
        <v>0</v>
      </c>
      <c r="C264" s="78"/>
      <c r="D264" s="111" t="e">
        <f t="shared" si="138"/>
        <v>#DIV/0!</v>
      </c>
      <c r="E264" s="30">
        <f t="shared" si="120"/>
        <v>0</v>
      </c>
      <c r="F264" s="104"/>
      <c r="G264" s="270" t="e">
        <f t="shared" si="159"/>
        <v>#DIV/0!</v>
      </c>
      <c r="H264" s="267">
        <v>0</v>
      </c>
      <c r="I264" s="111" t="e">
        <f t="shared" si="154"/>
        <v>#DIV/0!</v>
      </c>
      <c r="J264" s="30">
        <f t="shared" si="155"/>
        <v>47000</v>
      </c>
      <c r="K264" s="153">
        <v>0</v>
      </c>
      <c r="L264" s="142">
        <f t="shared" si="156"/>
        <v>-1</v>
      </c>
      <c r="M264" s="143">
        <f t="shared" si="157"/>
        <v>-47000</v>
      </c>
      <c r="N264" s="179"/>
      <c r="O264" s="146" t="e">
        <f t="shared" si="139"/>
        <v>#DIV/0!</v>
      </c>
      <c r="P264" s="146">
        <v>0.075</v>
      </c>
      <c r="Q264" s="178">
        <v>0.08</v>
      </c>
      <c r="R264" s="162">
        <f t="shared" si="146"/>
        <v>0</v>
      </c>
      <c r="S264" s="162">
        <f t="shared" si="134"/>
        <v>0</v>
      </c>
      <c r="T264" s="162">
        <f t="shared" si="162"/>
        <v>0</v>
      </c>
      <c r="U264" s="162">
        <f t="shared" si="163"/>
        <v>0</v>
      </c>
      <c r="V264" s="162">
        <f t="shared" si="164"/>
        <v>0</v>
      </c>
      <c r="W264" s="162">
        <f t="shared" si="165"/>
        <v>0</v>
      </c>
      <c r="X264" s="162">
        <f t="shared" si="166"/>
        <v>0</v>
      </c>
      <c r="Y264" s="162">
        <f t="shared" si="167"/>
        <v>0</v>
      </c>
      <c r="Z264" s="147">
        <f t="shared" si="168"/>
        <v>0</v>
      </c>
    </row>
    <row r="265" spans="1:26" ht="12.75">
      <c r="A265" s="81" t="s">
        <v>798</v>
      </c>
      <c r="B265" s="30">
        <v>0</v>
      </c>
      <c r="C265" s="78"/>
      <c r="D265" s="111" t="e">
        <f t="shared" si="138"/>
        <v>#DIV/0!</v>
      </c>
      <c r="E265" s="30">
        <f t="shared" si="120"/>
        <v>0</v>
      </c>
      <c r="F265" s="104"/>
      <c r="G265" s="270" t="e">
        <f t="shared" si="159"/>
        <v>#DIV/0!</v>
      </c>
      <c r="H265" s="267">
        <v>0</v>
      </c>
      <c r="I265" s="111" t="e">
        <f t="shared" si="154"/>
        <v>#DIV/0!</v>
      </c>
      <c r="J265" s="30">
        <f t="shared" si="155"/>
        <v>315000</v>
      </c>
      <c r="K265" s="153">
        <v>0</v>
      </c>
      <c r="L265" s="142">
        <f t="shared" si="156"/>
        <v>-1</v>
      </c>
      <c r="M265" s="143">
        <f t="shared" si="157"/>
        <v>-315000</v>
      </c>
      <c r="N265" s="179"/>
      <c r="O265" s="146" t="e">
        <f t="shared" si="139"/>
        <v>#DIV/0!</v>
      </c>
      <c r="P265" s="146">
        <v>0.075</v>
      </c>
      <c r="Q265" s="178">
        <v>0.08</v>
      </c>
      <c r="R265" s="162">
        <f t="shared" si="146"/>
        <v>0</v>
      </c>
      <c r="S265" s="162">
        <f t="shared" si="134"/>
        <v>0</v>
      </c>
      <c r="T265" s="162">
        <f t="shared" si="162"/>
        <v>0</v>
      </c>
      <c r="U265" s="162">
        <f t="shared" si="163"/>
        <v>0</v>
      </c>
      <c r="V265" s="162">
        <f t="shared" si="164"/>
        <v>0</v>
      </c>
      <c r="W265" s="162">
        <f t="shared" si="165"/>
        <v>0</v>
      </c>
      <c r="X265" s="162">
        <f t="shared" si="166"/>
        <v>0</v>
      </c>
      <c r="Y265" s="162">
        <f t="shared" si="167"/>
        <v>0</v>
      </c>
      <c r="Z265" s="147">
        <f t="shared" si="168"/>
        <v>0</v>
      </c>
    </row>
    <row r="266" spans="1:26" ht="12.75">
      <c r="A266" s="81" t="s">
        <v>933</v>
      </c>
      <c r="B266" s="30">
        <v>0</v>
      </c>
      <c r="C266" s="78"/>
      <c r="D266" s="111" t="e">
        <f t="shared" si="138"/>
        <v>#DIV/0!</v>
      </c>
      <c r="E266" s="30">
        <f t="shared" si="120"/>
        <v>0</v>
      </c>
      <c r="F266" s="104"/>
      <c r="G266" s="270" t="e">
        <f t="shared" si="159"/>
        <v>#DIV/0!</v>
      </c>
      <c r="H266" s="267">
        <v>0</v>
      </c>
      <c r="I266" s="111" t="e">
        <f t="shared" si="154"/>
        <v>#DIV/0!</v>
      </c>
      <c r="J266" s="30">
        <f t="shared" si="155"/>
        <v>134000</v>
      </c>
      <c r="K266" s="153">
        <v>533013</v>
      </c>
      <c r="L266" s="142">
        <f t="shared" si="156"/>
        <v>4.970149253731344</v>
      </c>
      <c r="M266" s="143">
        <f t="shared" si="157"/>
        <v>666000</v>
      </c>
      <c r="N266" s="179">
        <v>800000</v>
      </c>
      <c r="O266" s="146" t="e">
        <f t="shared" si="139"/>
        <v>#DIV/0!</v>
      </c>
      <c r="P266" s="146">
        <v>0.075</v>
      </c>
      <c r="Q266" s="178">
        <v>0.08</v>
      </c>
      <c r="R266" s="162">
        <f t="shared" si="146"/>
        <v>860000</v>
      </c>
      <c r="S266" s="162">
        <f t="shared" si="134"/>
        <v>924500</v>
      </c>
      <c r="T266" s="162">
        <f t="shared" si="162"/>
        <v>998460</v>
      </c>
      <c r="U266" s="162">
        <f t="shared" si="163"/>
        <v>1078336.8</v>
      </c>
      <c r="V266" s="162">
        <f t="shared" si="164"/>
        <v>1164603.744</v>
      </c>
      <c r="W266" s="162">
        <f t="shared" si="165"/>
        <v>1257772.0435199998</v>
      </c>
      <c r="X266" s="162">
        <f t="shared" si="166"/>
        <v>1358393.8070015998</v>
      </c>
      <c r="Y266" s="162">
        <f t="shared" si="167"/>
        <v>1467065.311561728</v>
      </c>
      <c r="Z266" s="147">
        <f t="shared" si="168"/>
        <v>1584430.5364866662</v>
      </c>
    </row>
    <row r="267" spans="1:26" ht="12.75">
      <c r="A267" s="81" t="s">
        <v>934</v>
      </c>
      <c r="B267" s="30">
        <v>0</v>
      </c>
      <c r="C267" s="78"/>
      <c r="D267" s="111" t="e">
        <f t="shared" si="138"/>
        <v>#DIV/0!</v>
      </c>
      <c r="E267" s="30">
        <f t="shared" si="120"/>
        <v>1234623.609</v>
      </c>
      <c r="F267" s="108">
        <v>1234623.609</v>
      </c>
      <c r="G267" s="270">
        <f t="shared" si="159"/>
        <v>-1</v>
      </c>
      <c r="H267" s="267">
        <v>0</v>
      </c>
      <c r="I267" s="111">
        <f t="shared" si="154"/>
        <v>-0.9222435086287095</v>
      </c>
      <c r="J267" s="30">
        <f t="shared" si="155"/>
        <v>-1138623.609</v>
      </c>
      <c r="K267" s="153">
        <v>1135639</v>
      </c>
      <c r="L267" s="142">
        <f t="shared" si="156"/>
        <v>-1</v>
      </c>
      <c r="M267" s="143">
        <f t="shared" si="157"/>
        <v>-96000</v>
      </c>
      <c r="N267" s="179"/>
      <c r="O267" s="146" t="e">
        <f t="shared" si="139"/>
        <v>#DIV/0!</v>
      </c>
      <c r="P267" s="146">
        <v>0.075</v>
      </c>
      <c r="Q267" s="178">
        <v>0.08</v>
      </c>
      <c r="R267" s="162">
        <f t="shared" si="146"/>
        <v>0</v>
      </c>
      <c r="S267" s="162">
        <f t="shared" si="134"/>
        <v>0</v>
      </c>
      <c r="T267" s="162">
        <f t="shared" si="162"/>
        <v>0</v>
      </c>
      <c r="U267" s="162">
        <f t="shared" si="163"/>
        <v>0</v>
      </c>
      <c r="V267" s="162">
        <f t="shared" si="164"/>
        <v>0</v>
      </c>
      <c r="W267" s="162">
        <f t="shared" si="165"/>
        <v>0</v>
      </c>
      <c r="X267" s="162">
        <f t="shared" si="166"/>
        <v>0</v>
      </c>
      <c r="Y267" s="162">
        <f t="shared" si="167"/>
        <v>0</v>
      </c>
      <c r="Z267" s="147">
        <f t="shared" si="168"/>
        <v>0</v>
      </c>
    </row>
    <row r="268" spans="1:26" ht="12.75">
      <c r="A268" s="81" t="s">
        <v>935</v>
      </c>
      <c r="B268" s="30">
        <v>0</v>
      </c>
      <c r="C268" s="78"/>
      <c r="D268" s="111" t="e">
        <f t="shared" si="138"/>
        <v>#DIV/0!</v>
      </c>
      <c r="E268" s="30">
        <f aca="true" t="shared" si="169" ref="E268:E332">F268-B268</f>
        <v>0</v>
      </c>
      <c r="F268" s="104"/>
      <c r="G268" s="270" t="e">
        <f t="shared" si="159"/>
        <v>#DIV/0!</v>
      </c>
      <c r="H268" s="267">
        <v>0</v>
      </c>
      <c r="I268" s="111" t="e">
        <f t="shared" si="154"/>
        <v>#DIV/0!</v>
      </c>
      <c r="J268" s="30">
        <f t="shared" si="155"/>
        <v>55000</v>
      </c>
      <c r="K268" s="153">
        <v>26000</v>
      </c>
      <c r="L268" s="142">
        <f t="shared" si="156"/>
        <v>-1</v>
      </c>
      <c r="M268" s="143">
        <f t="shared" si="157"/>
        <v>-55000</v>
      </c>
      <c r="N268" s="179"/>
      <c r="O268" s="146" t="e">
        <f t="shared" si="139"/>
        <v>#DIV/0!</v>
      </c>
      <c r="P268" s="146">
        <v>0.075</v>
      </c>
      <c r="Q268" s="178">
        <v>0.08</v>
      </c>
      <c r="R268" s="162">
        <f t="shared" si="146"/>
        <v>0</v>
      </c>
      <c r="S268" s="162">
        <f t="shared" si="134"/>
        <v>0</v>
      </c>
      <c r="T268" s="162">
        <f t="shared" si="162"/>
        <v>0</v>
      </c>
      <c r="U268" s="162">
        <f t="shared" si="163"/>
        <v>0</v>
      </c>
      <c r="V268" s="162">
        <f t="shared" si="164"/>
        <v>0</v>
      </c>
      <c r="W268" s="162">
        <f t="shared" si="165"/>
        <v>0</v>
      </c>
      <c r="X268" s="162">
        <f t="shared" si="166"/>
        <v>0</v>
      </c>
      <c r="Y268" s="162">
        <f t="shared" si="167"/>
        <v>0</v>
      </c>
      <c r="Z268" s="147">
        <f t="shared" si="168"/>
        <v>0</v>
      </c>
    </row>
    <row r="269" spans="1:26" ht="12.75">
      <c r="A269" s="81" t="s">
        <v>936</v>
      </c>
      <c r="B269" s="30">
        <v>0</v>
      </c>
      <c r="C269" s="78"/>
      <c r="D269" s="111" t="e">
        <f t="shared" si="138"/>
        <v>#DIV/0!</v>
      </c>
      <c r="E269" s="30">
        <f t="shared" si="169"/>
        <v>0</v>
      </c>
      <c r="F269" s="104"/>
      <c r="G269" s="270" t="e">
        <f t="shared" si="159"/>
        <v>#DIV/0!</v>
      </c>
      <c r="H269" s="267">
        <v>0</v>
      </c>
      <c r="I269" s="111" t="e">
        <f t="shared" si="154"/>
        <v>#DIV/0!</v>
      </c>
      <c r="J269" s="30">
        <f t="shared" si="155"/>
        <v>17000</v>
      </c>
      <c r="K269" s="153">
        <v>47000</v>
      </c>
      <c r="L269" s="142">
        <f t="shared" si="156"/>
        <v>-1</v>
      </c>
      <c r="M269" s="143">
        <f t="shared" si="157"/>
        <v>-17000</v>
      </c>
      <c r="N269" s="179"/>
      <c r="O269" s="146" t="e">
        <f t="shared" si="139"/>
        <v>#DIV/0!</v>
      </c>
      <c r="P269" s="146">
        <v>0.075</v>
      </c>
      <c r="Q269" s="178">
        <v>0.08</v>
      </c>
      <c r="R269" s="162">
        <f t="shared" si="146"/>
        <v>0</v>
      </c>
      <c r="S269" s="162">
        <f t="shared" si="134"/>
        <v>0</v>
      </c>
      <c r="T269" s="162">
        <f t="shared" si="162"/>
        <v>0</v>
      </c>
      <c r="U269" s="162">
        <f t="shared" si="163"/>
        <v>0</v>
      </c>
      <c r="V269" s="162">
        <f t="shared" si="164"/>
        <v>0</v>
      </c>
      <c r="W269" s="162">
        <f t="shared" si="165"/>
        <v>0</v>
      </c>
      <c r="X269" s="162">
        <f t="shared" si="166"/>
        <v>0</v>
      </c>
      <c r="Y269" s="162">
        <f t="shared" si="167"/>
        <v>0</v>
      </c>
      <c r="Z269" s="147">
        <f t="shared" si="168"/>
        <v>0</v>
      </c>
    </row>
    <row r="270" spans="1:26" ht="12.75">
      <c r="A270" s="81" t="s">
        <v>937</v>
      </c>
      <c r="B270" s="30">
        <v>0</v>
      </c>
      <c r="C270" s="78"/>
      <c r="D270" s="111" t="e">
        <f t="shared" si="138"/>
        <v>#DIV/0!</v>
      </c>
      <c r="E270" s="30">
        <f t="shared" si="169"/>
        <v>0</v>
      </c>
      <c r="F270" s="104"/>
      <c r="G270" s="270" t="e">
        <f t="shared" si="159"/>
        <v>#DIV/0!</v>
      </c>
      <c r="H270" s="267">
        <v>0</v>
      </c>
      <c r="I270" s="111" t="e">
        <f t="shared" si="154"/>
        <v>#DIV/0!</v>
      </c>
      <c r="J270" s="30">
        <f t="shared" si="155"/>
        <v>45000</v>
      </c>
      <c r="K270" s="153">
        <v>315000</v>
      </c>
      <c r="L270" s="142">
        <f t="shared" si="156"/>
        <v>91.3304</v>
      </c>
      <c r="M270" s="143">
        <f t="shared" si="157"/>
        <v>4109868</v>
      </c>
      <c r="N270" s="179">
        <v>4154868</v>
      </c>
      <c r="O270" s="146" t="e">
        <f t="shared" si="139"/>
        <v>#DIV/0!</v>
      </c>
      <c r="P270" s="146">
        <v>0.075</v>
      </c>
      <c r="Q270" s="178">
        <v>0.08</v>
      </c>
      <c r="R270" s="162">
        <f t="shared" si="146"/>
        <v>4466483.1</v>
      </c>
      <c r="S270" s="162">
        <f t="shared" si="134"/>
        <v>4801469.3325</v>
      </c>
      <c r="T270" s="162">
        <f t="shared" si="162"/>
        <v>5185586.8791</v>
      </c>
      <c r="U270" s="162">
        <f t="shared" si="163"/>
        <v>5600433.829427999</v>
      </c>
      <c r="V270" s="162">
        <f t="shared" si="164"/>
        <v>6048468.535782239</v>
      </c>
      <c r="W270" s="162">
        <f t="shared" si="165"/>
        <v>6532346.018644819</v>
      </c>
      <c r="X270" s="162">
        <f t="shared" si="166"/>
        <v>7054933.7001364045</v>
      </c>
      <c r="Y270" s="162">
        <f t="shared" si="167"/>
        <v>7619328.396147317</v>
      </c>
      <c r="Z270" s="147">
        <f t="shared" si="168"/>
        <v>8228874.667839102</v>
      </c>
    </row>
    <row r="271" spans="1:26" ht="12.75">
      <c r="A271" s="81" t="s">
        <v>938</v>
      </c>
      <c r="B271" s="30">
        <v>0</v>
      </c>
      <c r="C271" s="78"/>
      <c r="D271" s="111" t="e">
        <f t="shared" si="138"/>
        <v>#DIV/0!</v>
      </c>
      <c r="E271" s="30">
        <f t="shared" si="169"/>
        <v>0</v>
      </c>
      <c r="F271" s="104"/>
      <c r="G271" s="270" t="e">
        <f t="shared" si="159"/>
        <v>#DIV/0!</v>
      </c>
      <c r="H271" s="267">
        <v>1817</v>
      </c>
      <c r="I271" s="111" t="e">
        <f t="shared" si="154"/>
        <v>#DIV/0!</v>
      </c>
      <c r="J271" s="30">
        <f t="shared" si="155"/>
        <v>21000</v>
      </c>
      <c r="K271" s="153">
        <v>134000</v>
      </c>
      <c r="L271" s="142">
        <f t="shared" si="156"/>
        <v>-1</v>
      </c>
      <c r="M271" s="143">
        <f t="shared" si="157"/>
        <v>-21000</v>
      </c>
      <c r="N271" s="179">
        <v>0</v>
      </c>
      <c r="O271" s="146" t="e">
        <f t="shared" si="139"/>
        <v>#DIV/0!</v>
      </c>
      <c r="P271" s="146">
        <v>0.075</v>
      </c>
      <c r="Q271" s="178">
        <v>0.08</v>
      </c>
      <c r="R271" s="162">
        <f t="shared" si="146"/>
        <v>0</v>
      </c>
      <c r="S271" s="162">
        <f t="shared" si="134"/>
        <v>0</v>
      </c>
      <c r="T271" s="162">
        <f t="shared" si="162"/>
        <v>0</v>
      </c>
      <c r="U271" s="162">
        <f t="shared" si="163"/>
        <v>0</v>
      </c>
      <c r="V271" s="162">
        <f t="shared" si="164"/>
        <v>0</v>
      </c>
      <c r="W271" s="162">
        <f t="shared" si="165"/>
        <v>0</v>
      </c>
      <c r="X271" s="162">
        <f t="shared" si="166"/>
        <v>0</v>
      </c>
      <c r="Y271" s="162">
        <f t="shared" si="167"/>
        <v>0</v>
      </c>
      <c r="Z271" s="147">
        <f t="shared" si="168"/>
        <v>0</v>
      </c>
    </row>
    <row r="272" spans="1:26" ht="12.75">
      <c r="A272" s="81" t="s">
        <v>939</v>
      </c>
      <c r="B272" s="30">
        <v>0</v>
      </c>
      <c r="C272" s="78"/>
      <c r="D272" s="111" t="e">
        <f t="shared" si="138"/>
        <v>#DIV/0!</v>
      </c>
      <c r="E272" s="30">
        <f t="shared" si="169"/>
        <v>0</v>
      </c>
      <c r="F272" s="104"/>
      <c r="G272" s="270" t="e">
        <f t="shared" si="159"/>
        <v>#DIV/0!</v>
      </c>
      <c r="H272" s="267">
        <v>0</v>
      </c>
      <c r="I272" s="111" t="e">
        <f t="shared" si="154"/>
        <v>#DIV/0!</v>
      </c>
      <c r="J272" s="30">
        <f t="shared" si="155"/>
        <v>23900</v>
      </c>
      <c r="K272" s="153">
        <v>96000</v>
      </c>
      <c r="L272" s="142">
        <f t="shared" si="156"/>
        <v>-1</v>
      </c>
      <c r="M272" s="143">
        <f t="shared" si="157"/>
        <v>-23900</v>
      </c>
      <c r="N272" s="179"/>
      <c r="O272" s="146" t="e">
        <f t="shared" si="139"/>
        <v>#DIV/0!</v>
      </c>
      <c r="P272" s="146">
        <v>0.075</v>
      </c>
      <c r="Q272" s="178">
        <v>0.08</v>
      </c>
      <c r="R272" s="162">
        <f t="shared" si="146"/>
        <v>0</v>
      </c>
      <c r="S272" s="162">
        <f t="shared" si="134"/>
        <v>0</v>
      </c>
      <c r="T272" s="162">
        <f t="shared" si="162"/>
        <v>0</v>
      </c>
      <c r="U272" s="162">
        <f t="shared" si="163"/>
        <v>0</v>
      </c>
      <c r="V272" s="162">
        <f t="shared" si="164"/>
        <v>0</v>
      </c>
      <c r="W272" s="162">
        <f t="shared" si="165"/>
        <v>0</v>
      </c>
      <c r="X272" s="162">
        <f t="shared" si="166"/>
        <v>0</v>
      </c>
      <c r="Y272" s="162">
        <f t="shared" si="167"/>
        <v>0</v>
      </c>
      <c r="Z272" s="147">
        <f t="shared" si="168"/>
        <v>0</v>
      </c>
    </row>
    <row r="273" spans="1:26" ht="13.5" thickBot="1">
      <c r="A273" s="87" t="s">
        <v>940</v>
      </c>
      <c r="B273" s="30">
        <v>0</v>
      </c>
      <c r="C273" s="78"/>
      <c r="D273" s="111" t="e">
        <f t="shared" si="138"/>
        <v>#DIV/0!</v>
      </c>
      <c r="E273" s="30">
        <f t="shared" si="169"/>
        <v>0</v>
      </c>
      <c r="F273" s="104"/>
      <c r="G273" s="270" t="e">
        <f t="shared" si="159"/>
        <v>#DIV/0!</v>
      </c>
      <c r="H273" s="267">
        <v>0</v>
      </c>
      <c r="I273" s="111" t="e">
        <f>K279/F273-1</f>
        <v>#DIV/0!</v>
      </c>
      <c r="J273" s="30">
        <f>K279-F273</f>
        <v>333130</v>
      </c>
      <c r="K273" s="155">
        <v>55000</v>
      </c>
      <c r="L273" s="142">
        <f>N273/K279-1</f>
        <v>-1</v>
      </c>
      <c r="M273" s="143">
        <f>N273-K279</f>
        <v>-333130</v>
      </c>
      <c r="N273" s="179"/>
      <c r="O273" s="146" t="e">
        <f t="shared" si="139"/>
        <v>#DIV/0!</v>
      </c>
      <c r="P273" s="146">
        <v>0.075</v>
      </c>
      <c r="Q273" s="178">
        <v>0.08</v>
      </c>
      <c r="R273" s="162">
        <f t="shared" si="146"/>
        <v>0</v>
      </c>
      <c r="S273" s="162">
        <f t="shared" si="134"/>
        <v>0</v>
      </c>
      <c r="T273" s="162">
        <f t="shared" si="162"/>
        <v>0</v>
      </c>
      <c r="U273" s="162">
        <f t="shared" si="163"/>
        <v>0</v>
      </c>
      <c r="V273" s="162">
        <f t="shared" si="164"/>
        <v>0</v>
      </c>
      <c r="W273" s="162">
        <f t="shared" si="165"/>
        <v>0</v>
      </c>
      <c r="X273" s="162">
        <f t="shared" si="166"/>
        <v>0</v>
      </c>
      <c r="Y273" s="162">
        <f t="shared" si="167"/>
        <v>0</v>
      </c>
      <c r="Z273" s="147">
        <f t="shared" si="168"/>
        <v>0</v>
      </c>
    </row>
    <row r="274" spans="1:26" ht="12.75">
      <c r="A274" s="81" t="s">
        <v>941</v>
      </c>
      <c r="B274" s="30">
        <v>0</v>
      </c>
      <c r="C274" s="78"/>
      <c r="D274" s="111" t="e">
        <f t="shared" si="138"/>
        <v>#DIV/0!</v>
      </c>
      <c r="E274" s="30">
        <f t="shared" si="169"/>
        <v>0</v>
      </c>
      <c r="F274" s="104"/>
      <c r="G274" s="270" t="e">
        <f t="shared" si="159"/>
        <v>#DIV/0!</v>
      </c>
      <c r="H274" s="267">
        <v>0</v>
      </c>
      <c r="I274" s="111" t="e">
        <f>K280/F274-1</f>
        <v>#DIV/0!</v>
      </c>
      <c r="J274" s="30">
        <f>K280-F274</f>
        <v>0</v>
      </c>
      <c r="K274" s="153">
        <v>17000</v>
      </c>
      <c r="L274" s="142" t="e">
        <f>N274/K280-1</f>
        <v>#DIV/0!</v>
      </c>
      <c r="M274" s="143">
        <f>N274-K280</f>
        <v>0</v>
      </c>
      <c r="N274" s="179"/>
      <c r="O274" s="146" t="e">
        <f t="shared" si="139"/>
        <v>#DIV/0!</v>
      </c>
      <c r="P274" s="146">
        <v>0.075</v>
      </c>
      <c r="Q274" s="178">
        <v>0.08</v>
      </c>
      <c r="R274" s="162">
        <f t="shared" si="146"/>
        <v>0</v>
      </c>
      <c r="S274" s="162">
        <f t="shared" si="134"/>
        <v>0</v>
      </c>
      <c r="T274" s="162">
        <f t="shared" si="162"/>
        <v>0</v>
      </c>
      <c r="U274" s="162">
        <f t="shared" si="163"/>
        <v>0</v>
      </c>
      <c r="V274" s="162">
        <f t="shared" si="164"/>
        <v>0</v>
      </c>
      <c r="W274" s="162">
        <f t="shared" si="165"/>
        <v>0</v>
      </c>
      <c r="X274" s="162">
        <f t="shared" si="166"/>
        <v>0</v>
      </c>
      <c r="Y274" s="162">
        <f t="shared" si="167"/>
        <v>0</v>
      </c>
      <c r="Z274" s="147">
        <f t="shared" si="168"/>
        <v>0</v>
      </c>
    </row>
    <row r="275" spans="1:26" ht="12.75">
      <c r="A275" s="81" t="s">
        <v>942</v>
      </c>
      <c r="B275" s="30">
        <v>0</v>
      </c>
      <c r="C275" s="78"/>
      <c r="D275" s="111" t="e">
        <f t="shared" si="138"/>
        <v>#DIV/0!</v>
      </c>
      <c r="E275" s="30">
        <f t="shared" si="169"/>
        <v>0</v>
      </c>
      <c r="F275" s="104"/>
      <c r="G275" s="270" t="e">
        <f t="shared" si="159"/>
        <v>#DIV/0!</v>
      </c>
      <c r="H275" s="267">
        <v>0</v>
      </c>
      <c r="I275" s="111" t="e">
        <f>K281/F275-1</f>
        <v>#DIV/0!</v>
      </c>
      <c r="J275" s="30">
        <f>K281-F275</f>
        <v>0</v>
      </c>
      <c r="K275" s="153">
        <v>45000</v>
      </c>
      <c r="L275" s="142" t="e">
        <f>N275/K281-1</f>
        <v>#DIV/0!</v>
      </c>
      <c r="M275" s="143">
        <f>N275-K281</f>
        <v>0</v>
      </c>
      <c r="N275" s="179"/>
      <c r="O275" s="146" t="e">
        <f t="shared" si="139"/>
        <v>#DIV/0!</v>
      </c>
      <c r="P275" s="146">
        <v>0.075</v>
      </c>
      <c r="Q275" s="178">
        <v>0.08</v>
      </c>
      <c r="R275" s="162">
        <f t="shared" si="146"/>
        <v>0</v>
      </c>
      <c r="S275" s="162">
        <f t="shared" si="134"/>
        <v>0</v>
      </c>
      <c r="T275" s="162">
        <f t="shared" si="162"/>
        <v>0</v>
      </c>
      <c r="U275" s="162">
        <f t="shared" si="163"/>
        <v>0</v>
      </c>
      <c r="V275" s="162">
        <f t="shared" si="164"/>
        <v>0</v>
      </c>
      <c r="W275" s="162">
        <f t="shared" si="165"/>
        <v>0</v>
      </c>
      <c r="X275" s="162">
        <f t="shared" si="166"/>
        <v>0</v>
      </c>
      <c r="Y275" s="162">
        <f t="shared" si="167"/>
        <v>0</v>
      </c>
      <c r="Z275" s="147">
        <f t="shared" si="168"/>
        <v>0</v>
      </c>
    </row>
    <row r="276" spans="1:26" ht="12.75">
      <c r="A276" s="81" t="s">
        <v>943</v>
      </c>
      <c r="B276" s="30">
        <v>0</v>
      </c>
      <c r="C276" s="78"/>
      <c r="D276" s="111" t="e">
        <f t="shared" si="138"/>
        <v>#DIV/0!</v>
      </c>
      <c r="E276" s="30">
        <f t="shared" si="169"/>
        <v>0</v>
      </c>
      <c r="F276" s="104"/>
      <c r="G276" s="270" t="e">
        <f t="shared" si="159"/>
        <v>#DIV/0!</v>
      </c>
      <c r="H276" s="267">
        <v>0</v>
      </c>
      <c r="I276" s="111" t="e">
        <f>K282/F276-1</f>
        <v>#DIV/0!</v>
      </c>
      <c r="J276" s="30">
        <f>K282-F276</f>
        <v>0</v>
      </c>
      <c r="K276" s="153">
        <v>21000</v>
      </c>
      <c r="L276" s="142" t="e">
        <f>N276/K282-1</f>
        <v>#DIV/0!</v>
      </c>
      <c r="M276" s="143">
        <f>N276-K282</f>
        <v>0</v>
      </c>
      <c r="N276" s="179"/>
      <c r="O276" s="146" t="e">
        <f t="shared" si="139"/>
        <v>#DIV/0!</v>
      </c>
      <c r="P276" s="146">
        <v>0.075</v>
      </c>
      <c r="Q276" s="178">
        <v>0.08</v>
      </c>
      <c r="R276" s="162">
        <f t="shared" si="146"/>
        <v>0</v>
      </c>
      <c r="S276" s="162">
        <f t="shared" si="134"/>
        <v>0</v>
      </c>
      <c r="T276" s="162">
        <f t="shared" si="162"/>
        <v>0</v>
      </c>
      <c r="U276" s="162">
        <f t="shared" si="163"/>
        <v>0</v>
      </c>
      <c r="V276" s="162">
        <f t="shared" si="164"/>
        <v>0</v>
      </c>
      <c r="W276" s="162">
        <f t="shared" si="165"/>
        <v>0</v>
      </c>
      <c r="X276" s="162">
        <f t="shared" si="166"/>
        <v>0</v>
      </c>
      <c r="Y276" s="162">
        <f t="shared" si="167"/>
        <v>0</v>
      </c>
      <c r="Z276" s="147">
        <f t="shared" si="168"/>
        <v>0</v>
      </c>
    </row>
    <row r="277" spans="1:26" ht="12.75">
      <c r="A277" s="81" t="s">
        <v>944</v>
      </c>
      <c r="B277" s="30">
        <v>0</v>
      </c>
      <c r="C277" s="78"/>
      <c r="D277" s="111" t="e">
        <f t="shared" si="138"/>
        <v>#DIV/0!</v>
      </c>
      <c r="E277" s="30">
        <f t="shared" si="169"/>
        <v>0</v>
      </c>
      <c r="F277" s="104"/>
      <c r="G277" s="270" t="e">
        <f t="shared" si="159"/>
        <v>#DIV/0!</v>
      </c>
      <c r="H277" s="267">
        <v>23888</v>
      </c>
      <c r="I277" s="111" t="e">
        <f>K283/F277-1</f>
        <v>#DIV/0!</v>
      </c>
      <c r="J277" s="30">
        <f>K283-F277</f>
        <v>13130</v>
      </c>
      <c r="K277" s="153">
        <v>23900</v>
      </c>
      <c r="L277" s="142">
        <f>N277/K283-1</f>
        <v>-1</v>
      </c>
      <c r="M277" s="143">
        <f>N277-K283</f>
        <v>-13130</v>
      </c>
      <c r="N277" s="179">
        <v>0</v>
      </c>
      <c r="O277" s="146" t="e">
        <f t="shared" si="139"/>
        <v>#DIV/0!</v>
      </c>
      <c r="P277" s="146">
        <v>0.075</v>
      </c>
      <c r="Q277" s="178">
        <v>0.08</v>
      </c>
      <c r="R277" s="162">
        <f t="shared" si="146"/>
        <v>0</v>
      </c>
      <c r="S277" s="162">
        <f t="shared" si="134"/>
        <v>0</v>
      </c>
      <c r="T277" s="162">
        <f t="shared" si="162"/>
        <v>0</v>
      </c>
      <c r="U277" s="162">
        <f t="shared" si="163"/>
        <v>0</v>
      </c>
      <c r="V277" s="162">
        <f t="shared" si="164"/>
        <v>0</v>
      </c>
      <c r="W277" s="162">
        <f t="shared" si="165"/>
        <v>0</v>
      </c>
      <c r="X277" s="162">
        <f t="shared" si="166"/>
        <v>0</v>
      </c>
      <c r="Y277" s="162">
        <f t="shared" si="167"/>
        <v>0</v>
      </c>
      <c r="Z277" s="147">
        <f t="shared" si="168"/>
        <v>0</v>
      </c>
    </row>
    <row r="278" spans="1:26" ht="12.75">
      <c r="A278" s="149" t="s">
        <v>1108</v>
      </c>
      <c r="B278" s="30"/>
      <c r="C278" s="78"/>
      <c r="D278" s="111"/>
      <c r="E278" s="30"/>
      <c r="F278" s="104"/>
      <c r="G278" s="270" t="e">
        <f t="shared" si="159"/>
        <v>#DIV/0!</v>
      </c>
      <c r="H278" s="79"/>
      <c r="I278" s="111"/>
      <c r="J278" s="30"/>
      <c r="L278" s="142"/>
      <c r="M278" s="143"/>
      <c r="N278" s="179">
        <v>200000</v>
      </c>
      <c r="O278" s="146"/>
      <c r="P278" s="146">
        <v>0.075</v>
      </c>
      <c r="Q278" s="178">
        <v>0.08</v>
      </c>
      <c r="R278" s="162">
        <f t="shared" si="146"/>
        <v>215000</v>
      </c>
      <c r="S278" s="162">
        <f aca="true" t="shared" si="170" ref="S278:S341">(R278*P278)+R278</f>
        <v>231125</v>
      </c>
      <c r="T278" s="162">
        <f t="shared" si="162"/>
        <v>249615</v>
      </c>
      <c r="U278" s="162">
        <f t="shared" si="163"/>
        <v>269584.2</v>
      </c>
      <c r="V278" s="162">
        <f t="shared" si="164"/>
        <v>291150.936</v>
      </c>
      <c r="W278" s="162">
        <f t="shared" si="165"/>
        <v>314443.01087999996</v>
      </c>
      <c r="X278" s="162">
        <f t="shared" si="166"/>
        <v>339598.45175039995</v>
      </c>
      <c r="Y278" s="162">
        <f t="shared" si="167"/>
        <v>366766.327890432</v>
      </c>
      <c r="Z278" s="147">
        <f t="shared" si="168"/>
        <v>396107.63412166655</v>
      </c>
    </row>
    <row r="279" spans="1:26" ht="12.75">
      <c r="A279" s="86" t="s">
        <v>945</v>
      </c>
      <c r="B279" s="30">
        <v>0</v>
      </c>
      <c r="C279" s="78"/>
      <c r="D279" s="111" t="e">
        <f t="shared" si="138"/>
        <v>#DIV/0!</v>
      </c>
      <c r="E279" s="30">
        <f t="shared" si="169"/>
        <v>1248392.0729999999</v>
      </c>
      <c r="F279" s="84">
        <f>SUM(F280:F285)</f>
        <v>1248392.0729999999</v>
      </c>
      <c r="G279" s="270">
        <f t="shared" si="159"/>
        <v>-0.9906752051284452</v>
      </c>
      <c r="H279" s="267">
        <v>11641</v>
      </c>
      <c r="I279" s="111">
        <f aca="true" t="shared" si="171" ref="I279:I295">K285/F279-1</f>
        <v>-0.9599484800637628</v>
      </c>
      <c r="J279" s="30">
        <f aca="true" t="shared" si="172" ref="J279:J295">K285-F279</f>
        <v>-1198392.0729999999</v>
      </c>
      <c r="K279" s="84">
        <f>SUM(K280:K285)</f>
        <v>333130</v>
      </c>
      <c r="L279" s="142">
        <f aca="true" t="shared" si="173" ref="L279:L295">N279/K285-1</f>
        <v>1</v>
      </c>
      <c r="M279" s="143">
        <f aca="true" t="shared" si="174" ref="M279:M295">N279-K285</f>
        <v>50000</v>
      </c>
      <c r="N279" s="167">
        <f>SUM(N280:N285)</f>
        <v>100000</v>
      </c>
      <c r="O279" s="146" t="e">
        <f t="shared" si="139"/>
        <v>#DIV/0!</v>
      </c>
      <c r="P279" s="146"/>
      <c r="R279" s="167">
        <f aca="true" t="shared" si="175" ref="R279:Z279">SUM(R280:R285)</f>
        <v>107500</v>
      </c>
      <c r="S279" s="167">
        <f t="shared" si="175"/>
        <v>115562.5</v>
      </c>
      <c r="T279" s="167">
        <f t="shared" si="175"/>
        <v>124807.5</v>
      </c>
      <c r="U279" s="167">
        <f t="shared" si="175"/>
        <v>134792.1</v>
      </c>
      <c r="V279" s="167">
        <f t="shared" si="175"/>
        <v>145575.468</v>
      </c>
      <c r="W279" s="167">
        <f t="shared" si="175"/>
        <v>157221.50543999998</v>
      </c>
      <c r="X279" s="167">
        <f t="shared" si="175"/>
        <v>169799.22587519998</v>
      </c>
      <c r="Y279" s="167">
        <f t="shared" si="175"/>
        <v>183383.163945216</v>
      </c>
      <c r="Z279" s="167">
        <f t="shared" si="175"/>
        <v>198053.81706083327</v>
      </c>
    </row>
    <row r="280" spans="1:26" ht="12.75">
      <c r="A280" s="81" t="s">
        <v>946</v>
      </c>
      <c r="B280" s="30">
        <v>0</v>
      </c>
      <c r="C280" s="78"/>
      <c r="D280" s="111" t="e">
        <f t="shared" si="138"/>
        <v>#DIV/0!</v>
      </c>
      <c r="E280" s="30">
        <f t="shared" si="169"/>
        <v>0</v>
      </c>
      <c r="F280" s="104"/>
      <c r="G280" s="270" t="e">
        <f t="shared" si="159"/>
        <v>#DIV/0!</v>
      </c>
      <c r="H280" s="267">
        <v>0</v>
      </c>
      <c r="I280" s="111" t="e">
        <f t="shared" si="171"/>
        <v>#DIV/0!</v>
      </c>
      <c r="J280" s="30">
        <f t="shared" si="172"/>
        <v>1966500</v>
      </c>
      <c r="K280" s="153">
        <v>0</v>
      </c>
      <c r="L280" s="142">
        <f t="shared" si="173"/>
        <v>-1</v>
      </c>
      <c r="M280" s="143">
        <f t="shared" si="174"/>
        <v>-1966500</v>
      </c>
      <c r="N280" s="176"/>
      <c r="O280" s="146" t="e">
        <f t="shared" si="139"/>
        <v>#DIV/0!</v>
      </c>
      <c r="P280" s="146">
        <v>0.075</v>
      </c>
      <c r="Q280" s="178">
        <v>0.08</v>
      </c>
      <c r="R280" s="162">
        <f t="shared" si="146"/>
        <v>0</v>
      </c>
      <c r="S280" s="162">
        <f t="shared" si="170"/>
        <v>0</v>
      </c>
      <c r="T280" s="162">
        <f aca="true" t="shared" si="176" ref="T280:T285">(S280*Q280)+S280</f>
        <v>0</v>
      </c>
      <c r="U280" s="162">
        <f aca="true" t="shared" si="177" ref="U280:U285">(T280*Q280)+T280</f>
        <v>0</v>
      </c>
      <c r="V280" s="162">
        <f aca="true" t="shared" si="178" ref="V280:V285">(U280*Q280)+U280</f>
        <v>0</v>
      </c>
      <c r="W280" s="162">
        <f aca="true" t="shared" si="179" ref="W280:W285">(V280*Q280)+V280</f>
        <v>0</v>
      </c>
      <c r="X280" s="162">
        <f aca="true" t="shared" si="180" ref="X280:X285">(W280*Q280)+W280</f>
        <v>0</v>
      </c>
      <c r="Y280" s="162">
        <f aca="true" t="shared" si="181" ref="Y280:Y285">(X280*Q280)+X280</f>
        <v>0</v>
      </c>
      <c r="Z280" s="147">
        <f aca="true" t="shared" si="182" ref="Z280:Z285">(Y280*Q280)+Y280</f>
        <v>0</v>
      </c>
    </row>
    <row r="281" spans="1:26" ht="12.75">
      <c r="A281" s="81" t="s">
        <v>947</v>
      </c>
      <c r="B281" s="30">
        <v>0</v>
      </c>
      <c r="C281" s="78"/>
      <c r="D281" s="111" t="e">
        <f t="shared" si="138"/>
        <v>#DIV/0!</v>
      </c>
      <c r="E281" s="30">
        <f t="shared" si="169"/>
        <v>0</v>
      </c>
      <c r="F281" s="104"/>
      <c r="G281" s="270" t="e">
        <f t="shared" si="159"/>
        <v>#DIV/0!</v>
      </c>
      <c r="H281" s="267">
        <v>0</v>
      </c>
      <c r="I281" s="111" t="e">
        <f t="shared" si="171"/>
        <v>#DIV/0!</v>
      </c>
      <c r="J281" s="30">
        <f t="shared" si="172"/>
        <v>0</v>
      </c>
      <c r="K281" s="153">
        <v>0</v>
      </c>
      <c r="L281" s="142" t="e">
        <f t="shared" si="173"/>
        <v>#DIV/0!</v>
      </c>
      <c r="M281" s="143">
        <f t="shared" si="174"/>
        <v>100000</v>
      </c>
      <c r="N281" s="179">
        <v>100000</v>
      </c>
      <c r="O281" s="146" t="e">
        <f t="shared" si="139"/>
        <v>#DIV/0!</v>
      </c>
      <c r="P281" s="146">
        <v>0.075</v>
      </c>
      <c r="Q281" s="178">
        <v>0.08</v>
      </c>
      <c r="R281" s="162">
        <f t="shared" si="146"/>
        <v>107500</v>
      </c>
      <c r="S281" s="162">
        <f t="shared" si="170"/>
        <v>115562.5</v>
      </c>
      <c r="T281" s="162">
        <f t="shared" si="176"/>
        <v>124807.5</v>
      </c>
      <c r="U281" s="162">
        <f t="shared" si="177"/>
        <v>134792.1</v>
      </c>
      <c r="V281" s="162">
        <f t="shared" si="178"/>
        <v>145575.468</v>
      </c>
      <c r="W281" s="162">
        <f t="shared" si="179"/>
        <v>157221.50543999998</v>
      </c>
      <c r="X281" s="162">
        <f t="shared" si="180"/>
        <v>169799.22587519998</v>
      </c>
      <c r="Y281" s="162">
        <f t="shared" si="181"/>
        <v>183383.163945216</v>
      </c>
      <c r="Z281" s="147">
        <f t="shared" si="182"/>
        <v>198053.81706083327</v>
      </c>
    </row>
    <row r="282" spans="1:26" ht="12.75">
      <c r="A282" s="81" t="s">
        <v>948</v>
      </c>
      <c r="B282" s="30">
        <v>0</v>
      </c>
      <c r="C282" s="78"/>
      <c r="D282" s="111" t="e">
        <f t="shared" si="138"/>
        <v>#DIV/0!</v>
      </c>
      <c r="E282" s="30">
        <f t="shared" si="169"/>
        <v>0</v>
      </c>
      <c r="F282" s="104"/>
      <c r="G282" s="270" t="e">
        <f t="shared" si="159"/>
        <v>#DIV/0!</v>
      </c>
      <c r="H282" s="267">
        <v>0</v>
      </c>
      <c r="I282" s="111" t="e">
        <f t="shared" si="171"/>
        <v>#DIV/0!</v>
      </c>
      <c r="J282" s="30">
        <f t="shared" si="172"/>
        <v>231000</v>
      </c>
      <c r="K282" s="153">
        <v>0</v>
      </c>
      <c r="L282" s="142">
        <f t="shared" si="173"/>
        <v>-1</v>
      </c>
      <c r="M282" s="143">
        <f t="shared" si="174"/>
        <v>-231000</v>
      </c>
      <c r="N282" s="176"/>
      <c r="O282" s="146" t="e">
        <f t="shared" si="139"/>
        <v>#DIV/0!</v>
      </c>
      <c r="P282" s="146">
        <v>0.075</v>
      </c>
      <c r="Q282" s="178">
        <v>0.08</v>
      </c>
      <c r="R282" s="162">
        <f t="shared" si="146"/>
        <v>0</v>
      </c>
      <c r="S282" s="162">
        <f t="shared" si="170"/>
        <v>0</v>
      </c>
      <c r="T282" s="162">
        <f t="shared" si="176"/>
        <v>0</v>
      </c>
      <c r="U282" s="162">
        <f t="shared" si="177"/>
        <v>0</v>
      </c>
      <c r="V282" s="162">
        <f t="shared" si="178"/>
        <v>0</v>
      </c>
      <c r="W282" s="162">
        <f t="shared" si="179"/>
        <v>0</v>
      </c>
      <c r="X282" s="162">
        <f t="shared" si="180"/>
        <v>0</v>
      </c>
      <c r="Y282" s="162">
        <f t="shared" si="181"/>
        <v>0</v>
      </c>
      <c r="Z282" s="147">
        <f t="shared" si="182"/>
        <v>0</v>
      </c>
    </row>
    <row r="283" spans="1:26" ht="12.75">
      <c r="A283" s="81" t="s">
        <v>949</v>
      </c>
      <c r="B283" s="30">
        <v>0</v>
      </c>
      <c r="C283" s="78"/>
      <c r="D283" s="111" t="e">
        <f aca="true" t="shared" si="183" ref="D283:D346">F283/B283-1</f>
        <v>#DIV/0!</v>
      </c>
      <c r="E283" s="30">
        <f t="shared" si="169"/>
        <v>1248392.0729999999</v>
      </c>
      <c r="F283" s="108">
        <v>1248392.0729999999</v>
      </c>
      <c r="G283" s="270">
        <f t="shared" si="159"/>
        <v>-0.9906752051284452</v>
      </c>
      <c r="H283" s="267">
        <v>11641</v>
      </c>
      <c r="I283" s="111">
        <f t="shared" si="171"/>
        <v>-0.7196393604463395</v>
      </c>
      <c r="J283" s="30">
        <f t="shared" si="172"/>
        <v>-898392.0729999999</v>
      </c>
      <c r="K283" s="153">
        <v>13130</v>
      </c>
      <c r="L283" s="142">
        <f t="shared" si="173"/>
        <v>-1</v>
      </c>
      <c r="M283" s="143">
        <f t="shared" si="174"/>
        <v>-350000</v>
      </c>
      <c r="N283" s="176"/>
      <c r="O283" s="146" t="e">
        <f aca="true" t="shared" si="184" ref="O283:O346">(D283+I283+L283)/3</f>
        <v>#DIV/0!</v>
      </c>
      <c r="P283" s="146">
        <v>0.075</v>
      </c>
      <c r="Q283" s="178">
        <v>0.08</v>
      </c>
      <c r="R283" s="162">
        <f t="shared" si="146"/>
        <v>0</v>
      </c>
      <c r="S283" s="162">
        <f t="shared" si="170"/>
        <v>0</v>
      </c>
      <c r="T283" s="162">
        <f t="shared" si="176"/>
        <v>0</v>
      </c>
      <c r="U283" s="162">
        <f t="shared" si="177"/>
        <v>0</v>
      </c>
      <c r="V283" s="162">
        <f t="shared" si="178"/>
        <v>0</v>
      </c>
      <c r="W283" s="162">
        <f t="shared" si="179"/>
        <v>0</v>
      </c>
      <c r="X283" s="162">
        <f t="shared" si="180"/>
        <v>0</v>
      </c>
      <c r="Y283" s="162">
        <f t="shared" si="181"/>
        <v>0</v>
      </c>
      <c r="Z283" s="147">
        <f t="shared" si="182"/>
        <v>0</v>
      </c>
    </row>
    <row r="284" spans="1:26" ht="12.75">
      <c r="A284" s="81" t="s">
        <v>950</v>
      </c>
      <c r="B284" s="30">
        <v>0</v>
      </c>
      <c r="C284" s="78"/>
      <c r="D284" s="111" t="e">
        <f t="shared" si="183"/>
        <v>#DIV/0!</v>
      </c>
      <c r="E284" s="30">
        <f t="shared" si="169"/>
        <v>0</v>
      </c>
      <c r="F284" s="104"/>
      <c r="G284" s="270" t="e">
        <f t="shared" si="159"/>
        <v>#DIV/0!</v>
      </c>
      <c r="H284" s="267">
        <v>0</v>
      </c>
      <c r="I284" s="111" t="e">
        <f t="shared" si="171"/>
        <v>#DIV/0!</v>
      </c>
      <c r="J284" s="30">
        <f t="shared" si="172"/>
        <v>0</v>
      </c>
      <c r="K284" s="153">
        <v>270000</v>
      </c>
      <c r="L284" s="142" t="e">
        <f t="shared" si="173"/>
        <v>#DIV/0!</v>
      </c>
      <c r="M284" s="143">
        <f t="shared" si="174"/>
        <v>0</v>
      </c>
      <c r="N284" s="176"/>
      <c r="O284" s="146" t="e">
        <f t="shared" si="184"/>
        <v>#DIV/0!</v>
      </c>
      <c r="P284" s="146">
        <v>0.075</v>
      </c>
      <c r="Q284" s="178">
        <v>0.08</v>
      </c>
      <c r="R284" s="162">
        <f t="shared" si="146"/>
        <v>0</v>
      </c>
      <c r="S284" s="162">
        <f t="shared" si="170"/>
        <v>0</v>
      </c>
      <c r="T284" s="162">
        <f t="shared" si="176"/>
        <v>0</v>
      </c>
      <c r="U284" s="162">
        <f t="shared" si="177"/>
        <v>0</v>
      </c>
      <c r="V284" s="162">
        <f t="shared" si="178"/>
        <v>0</v>
      </c>
      <c r="W284" s="162">
        <f t="shared" si="179"/>
        <v>0</v>
      </c>
      <c r="X284" s="162">
        <f t="shared" si="180"/>
        <v>0</v>
      </c>
      <c r="Y284" s="162">
        <f t="shared" si="181"/>
        <v>0</v>
      </c>
      <c r="Z284" s="147">
        <f t="shared" si="182"/>
        <v>0</v>
      </c>
    </row>
    <row r="285" spans="1:26" ht="12.75">
      <c r="A285" s="81" t="s">
        <v>951</v>
      </c>
      <c r="B285" s="30">
        <v>0</v>
      </c>
      <c r="C285" s="78"/>
      <c r="D285" s="111" t="e">
        <f t="shared" si="183"/>
        <v>#DIV/0!</v>
      </c>
      <c r="E285" s="30">
        <f t="shared" si="169"/>
        <v>0</v>
      </c>
      <c r="F285" s="104"/>
      <c r="G285" s="270" t="e">
        <f t="shared" si="159"/>
        <v>#DIV/0!</v>
      </c>
      <c r="H285" s="267">
        <v>0</v>
      </c>
      <c r="I285" s="111" t="e">
        <f t="shared" si="171"/>
        <v>#DIV/0!</v>
      </c>
      <c r="J285" s="30">
        <f t="shared" si="172"/>
        <v>0</v>
      </c>
      <c r="K285" s="153">
        <v>50000</v>
      </c>
      <c r="L285" s="142" t="e">
        <f t="shared" si="173"/>
        <v>#DIV/0!</v>
      </c>
      <c r="M285" s="143">
        <f t="shared" si="174"/>
        <v>0</v>
      </c>
      <c r="N285" s="176"/>
      <c r="O285" s="146" t="e">
        <f t="shared" si="184"/>
        <v>#DIV/0!</v>
      </c>
      <c r="P285" s="146">
        <v>0.075</v>
      </c>
      <c r="Q285" s="178">
        <v>0.08</v>
      </c>
      <c r="R285" s="162">
        <f t="shared" si="146"/>
        <v>0</v>
      </c>
      <c r="S285" s="162">
        <f t="shared" si="170"/>
        <v>0</v>
      </c>
      <c r="T285" s="162">
        <f t="shared" si="176"/>
        <v>0</v>
      </c>
      <c r="U285" s="162">
        <f t="shared" si="177"/>
        <v>0</v>
      </c>
      <c r="V285" s="162">
        <f t="shared" si="178"/>
        <v>0</v>
      </c>
      <c r="W285" s="162">
        <f t="shared" si="179"/>
        <v>0</v>
      </c>
      <c r="X285" s="162">
        <f t="shared" si="180"/>
        <v>0</v>
      </c>
      <c r="Y285" s="162">
        <f t="shared" si="181"/>
        <v>0</v>
      </c>
      <c r="Z285" s="147">
        <f t="shared" si="182"/>
        <v>0</v>
      </c>
    </row>
    <row r="286" spans="1:26" ht="12.75">
      <c r="A286" s="86" t="s">
        <v>803</v>
      </c>
      <c r="B286" s="30">
        <v>0</v>
      </c>
      <c r="C286" s="78"/>
      <c r="D286" s="111" t="e">
        <f t="shared" si="183"/>
        <v>#DIV/0!</v>
      </c>
      <c r="E286" s="30">
        <f t="shared" si="169"/>
        <v>837552.0170000001</v>
      </c>
      <c r="F286" s="84">
        <f>SUM(F287:F301)</f>
        <v>837552.0170000001</v>
      </c>
      <c r="G286" s="270">
        <f t="shared" si="159"/>
        <v>-0.9908363900459689</v>
      </c>
      <c r="H286" s="267">
        <v>7675</v>
      </c>
      <c r="I286" s="111">
        <f t="shared" si="171"/>
        <v>-0.701511076415926</v>
      </c>
      <c r="J286" s="30">
        <f t="shared" si="172"/>
        <v>-587552.0170000001</v>
      </c>
      <c r="K286" s="84">
        <f>SUM(K287:K301)</f>
        <v>1966500</v>
      </c>
      <c r="L286" s="142">
        <f t="shared" si="173"/>
        <v>5.49158</v>
      </c>
      <c r="M286" s="143">
        <f t="shared" si="174"/>
        <v>1372895</v>
      </c>
      <c r="N286" s="167">
        <f>SUM(N287:N301)</f>
        <v>1622895</v>
      </c>
      <c r="O286" s="146" t="e">
        <f t="shared" si="184"/>
        <v>#DIV/0!</v>
      </c>
      <c r="P286" s="146">
        <v>0.075</v>
      </c>
      <c r="Q286" s="178">
        <v>0.08</v>
      </c>
      <c r="R286" s="167">
        <f aca="true" t="shared" si="185" ref="R286:Z286">SUM(R287:R301)</f>
        <v>1744612.125</v>
      </c>
      <c r="S286" s="167">
        <f t="shared" si="185"/>
        <v>1875458.034375</v>
      </c>
      <c r="T286" s="167">
        <f t="shared" si="185"/>
        <v>2025494.677125</v>
      </c>
      <c r="U286" s="167">
        <f t="shared" si="185"/>
        <v>2187534.251295</v>
      </c>
      <c r="V286" s="167">
        <f t="shared" si="185"/>
        <v>2362536.9913986</v>
      </c>
      <c r="W286" s="167">
        <f t="shared" si="185"/>
        <v>2551539.950710488</v>
      </c>
      <c r="X286" s="167">
        <f t="shared" si="185"/>
        <v>2755663.1467673266</v>
      </c>
      <c r="Y286" s="167">
        <f t="shared" si="185"/>
        <v>2976116.1985087134</v>
      </c>
      <c r="Z286" s="167">
        <f t="shared" si="185"/>
        <v>3214205.49438941</v>
      </c>
    </row>
    <row r="287" spans="1:26" ht="12.75">
      <c r="A287" s="81" t="s">
        <v>889</v>
      </c>
      <c r="B287" s="30">
        <v>0</v>
      </c>
      <c r="C287" s="78"/>
      <c r="D287" s="111" t="e">
        <f t="shared" si="183"/>
        <v>#DIV/0!</v>
      </c>
      <c r="E287" s="30">
        <f t="shared" si="169"/>
        <v>0</v>
      </c>
      <c r="F287" s="104"/>
      <c r="G287" s="270" t="e">
        <f t="shared" si="159"/>
        <v>#DIV/0!</v>
      </c>
      <c r="H287" s="267">
        <v>0</v>
      </c>
      <c r="I287" s="111" t="e">
        <f t="shared" si="171"/>
        <v>#DIV/0!</v>
      </c>
      <c r="J287" s="30">
        <f t="shared" si="172"/>
        <v>168000</v>
      </c>
      <c r="K287" s="153">
        <v>0</v>
      </c>
      <c r="L287" s="142">
        <f t="shared" si="173"/>
        <v>0.5476190476190477</v>
      </c>
      <c r="M287" s="143">
        <f t="shared" si="174"/>
        <v>92000</v>
      </c>
      <c r="N287" s="179">
        <v>260000</v>
      </c>
      <c r="O287" s="146" t="e">
        <f t="shared" si="184"/>
        <v>#DIV/0!</v>
      </c>
      <c r="P287" s="146">
        <v>0.075</v>
      </c>
      <c r="Q287" s="178">
        <v>0.08</v>
      </c>
      <c r="R287" s="162">
        <f t="shared" si="146"/>
        <v>279500</v>
      </c>
      <c r="S287" s="162">
        <f t="shared" si="170"/>
        <v>300462.5</v>
      </c>
      <c r="T287" s="162">
        <f aca="true" t="shared" si="186" ref="T287:T302">(S287*Q287)+S287</f>
        <v>324499.5</v>
      </c>
      <c r="U287" s="162">
        <f aca="true" t="shared" si="187" ref="U287:U302">(T287*Q287)+T287</f>
        <v>350459.46</v>
      </c>
      <c r="V287" s="162">
        <f aca="true" t="shared" si="188" ref="V287:V302">(U287*Q287)+U287</f>
        <v>378496.21680000005</v>
      </c>
      <c r="W287" s="162">
        <f aca="true" t="shared" si="189" ref="W287:W302">(V287*Q287)+V287</f>
        <v>408775.91414400004</v>
      </c>
      <c r="X287" s="162">
        <f aca="true" t="shared" si="190" ref="X287:X302">(W287*Q287)+W287</f>
        <v>441477.98727552005</v>
      </c>
      <c r="Y287" s="162">
        <f aca="true" t="shared" si="191" ref="Y287:Y302">(X287*Q287)+X287</f>
        <v>476796.22625756165</v>
      </c>
      <c r="Z287" s="147">
        <f aca="true" t="shared" si="192" ref="Z287:Z302">(Y287*Q287)+Y287</f>
        <v>514939.9243581666</v>
      </c>
    </row>
    <row r="288" spans="1:26" ht="12.75">
      <c r="A288" s="81" t="s">
        <v>952</v>
      </c>
      <c r="B288" s="30">
        <v>0</v>
      </c>
      <c r="C288" s="78"/>
      <c r="D288" s="111" t="e">
        <f t="shared" si="183"/>
        <v>#DIV/0!</v>
      </c>
      <c r="E288" s="30">
        <f t="shared" si="169"/>
        <v>0</v>
      </c>
      <c r="F288" s="104"/>
      <c r="G288" s="270" t="e">
        <f t="shared" si="159"/>
        <v>#DIV/0!</v>
      </c>
      <c r="H288" s="267">
        <v>0</v>
      </c>
      <c r="I288" s="111" t="e">
        <f t="shared" si="171"/>
        <v>#DIV/0!</v>
      </c>
      <c r="J288" s="30">
        <f t="shared" si="172"/>
        <v>147000</v>
      </c>
      <c r="K288" s="153">
        <v>231000</v>
      </c>
      <c r="L288" s="142">
        <f t="shared" si="173"/>
        <v>-1</v>
      </c>
      <c r="M288" s="143">
        <f t="shared" si="174"/>
        <v>-147000</v>
      </c>
      <c r="N288" s="179"/>
      <c r="O288" s="146" t="e">
        <f t="shared" si="184"/>
        <v>#DIV/0!</v>
      </c>
      <c r="P288" s="146">
        <v>0.075</v>
      </c>
      <c r="Q288" s="178">
        <v>0.08</v>
      </c>
      <c r="R288" s="162">
        <f t="shared" si="146"/>
        <v>0</v>
      </c>
      <c r="S288" s="162">
        <f t="shared" si="170"/>
        <v>0</v>
      </c>
      <c r="T288" s="162">
        <f t="shared" si="186"/>
        <v>0</v>
      </c>
      <c r="U288" s="162">
        <f t="shared" si="187"/>
        <v>0</v>
      </c>
      <c r="V288" s="162">
        <f t="shared" si="188"/>
        <v>0</v>
      </c>
      <c r="W288" s="162">
        <f t="shared" si="189"/>
        <v>0</v>
      </c>
      <c r="X288" s="162">
        <f t="shared" si="190"/>
        <v>0</v>
      </c>
      <c r="Y288" s="162">
        <f t="shared" si="191"/>
        <v>0</v>
      </c>
      <c r="Z288" s="147">
        <f t="shared" si="192"/>
        <v>0</v>
      </c>
    </row>
    <row r="289" spans="1:26" ht="12.75">
      <c r="A289" s="81" t="s">
        <v>953</v>
      </c>
      <c r="B289" s="30">
        <v>0</v>
      </c>
      <c r="C289" s="78"/>
      <c r="D289" s="111" t="e">
        <f t="shared" si="183"/>
        <v>#DIV/0!</v>
      </c>
      <c r="E289" s="30">
        <f t="shared" si="169"/>
        <v>0</v>
      </c>
      <c r="F289" s="104"/>
      <c r="G289" s="270" t="e">
        <f t="shared" si="159"/>
        <v>#DIV/0!</v>
      </c>
      <c r="H289" s="267">
        <v>0</v>
      </c>
      <c r="I289" s="111" t="e">
        <f t="shared" si="171"/>
        <v>#DIV/0!</v>
      </c>
      <c r="J289" s="30">
        <f t="shared" si="172"/>
        <v>315000</v>
      </c>
      <c r="K289" s="153">
        <v>350000</v>
      </c>
      <c r="L289" s="142">
        <f t="shared" si="173"/>
        <v>-1</v>
      </c>
      <c r="M289" s="143">
        <f t="shared" si="174"/>
        <v>-315000</v>
      </c>
      <c r="N289" s="179"/>
      <c r="O289" s="146" t="e">
        <f t="shared" si="184"/>
        <v>#DIV/0!</v>
      </c>
      <c r="P289" s="146">
        <v>0.075</v>
      </c>
      <c r="Q289" s="178">
        <v>0.08</v>
      </c>
      <c r="R289" s="162">
        <f t="shared" si="146"/>
        <v>0</v>
      </c>
      <c r="S289" s="162">
        <f t="shared" si="170"/>
        <v>0</v>
      </c>
      <c r="T289" s="162">
        <f t="shared" si="186"/>
        <v>0</v>
      </c>
      <c r="U289" s="162">
        <f t="shared" si="187"/>
        <v>0</v>
      </c>
      <c r="V289" s="162">
        <f t="shared" si="188"/>
        <v>0</v>
      </c>
      <c r="W289" s="162">
        <f t="shared" si="189"/>
        <v>0</v>
      </c>
      <c r="X289" s="162">
        <f t="shared" si="190"/>
        <v>0</v>
      </c>
      <c r="Y289" s="162">
        <f t="shared" si="191"/>
        <v>0</v>
      </c>
      <c r="Z289" s="147">
        <f t="shared" si="192"/>
        <v>0</v>
      </c>
    </row>
    <row r="290" spans="1:26" ht="12.75">
      <c r="A290" s="81" t="s">
        <v>895</v>
      </c>
      <c r="B290" s="30">
        <v>0</v>
      </c>
      <c r="C290" s="78"/>
      <c r="D290" s="111" t="e">
        <f t="shared" si="183"/>
        <v>#DIV/0!</v>
      </c>
      <c r="E290" s="30">
        <f t="shared" si="169"/>
        <v>0</v>
      </c>
      <c r="F290" s="104"/>
      <c r="G290" s="270" t="e">
        <f t="shared" si="159"/>
        <v>#DIV/0!</v>
      </c>
      <c r="H290" s="267">
        <v>0</v>
      </c>
      <c r="I290" s="111" t="e">
        <f t="shared" si="171"/>
        <v>#DIV/0!</v>
      </c>
      <c r="J290" s="30">
        <f t="shared" si="172"/>
        <v>284000</v>
      </c>
      <c r="K290" s="153">
        <v>0</v>
      </c>
      <c r="L290" s="142">
        <f t="shared" si="173"/>
        <v>-1</v>
      </c>
      <c r="M290" s="143">
        <f t="shared" si="174"/>
        <v>-284000</v>
      </c>
      <c r="N290" s="179"/>
      <c r="O290" s="146" t="e">
        <f t="shared" si="184"/>
        <v>#DIV/0!</v>
      </c>
      <c r="P290" s="146">
        <v>0.075</v>
      </c>
      <c r="Q290" s="178">
        <v>0.08</v>
      </c>
      <c r="R290" s="162">
        <f t="shared" si="146"/>
        <v>0</v>
      </c>
      <c r="S290" s="162">
        <f t="shared" si="170"/>
        <v>0</v>
      </c>
      <c r="T290" s="162">
        <f t="shared" si="186"/>
        <v>0</v>
      </c>
      <c r="U290" s="162">
        <f t="shared" si="187"/>
        <v>0</v>
      </c>
      <c r="V290" s="162">
        <f t="shared" si="188"/>
        <v>0</v>
      </c>
      <c r="W290" s="162">
        <f t="shared" si="189"/>
        <v>0</v>
      </c>
      <c r="X290" s="162">
        <f t="shared" si="190"/>
        <v>0</v>
      </c>
      <c r="Y290" s="162">
        <f t="shared" si="191"/>
        <v>0</v>
      </c>
      <c r="Z290" s="147">
        <f t="shared" si="192"/>
        <v>0</v>
      </c>
    </row>
    <row r="291" spans="1:26" ht="12.75">
      <c r="A291" s="81" t="s">
        <v>894</v>
      </c>
      <c r="B291" s="30">
        <v>0</v>
      </c>
      <c r="C291" s="78"/>
      <c r="D291" s="111" t="e">
        <f t="shared" si="183"/>
        <v>#DIV/0!</v>
      </c>
      <c r="E291" s="30">
        <f t="shared" si="169"/>
        <v>0</v>
      </c>
      <c r="F291" s="104"/>
      <c r="G291" s="270" t="e">
        <f t="shared" si="159"/>
        <v>#DIV/0!</v>
      </c>
      <c r="H291" s="267">
        <v>0</v>
      </c>
      <c r="I291" s="111" t="e">
        <f t="shared" si="171"/>
        <v>#DIV/0!</v>
      </c>
      <c r="J291" s="30">
        <f t="shared" si="172"/>
        <v>89000</v>
      </c>
      <c r="K291" s="153">
        <v>0</v>
      </c>
      <c r="L291" s="142">
        <f t="shared" si="173"/>
        <v>-1</v>
      </c>
      <c r="M291" s="143">
        <f t="shared" si="174"/>
        <v>-89000</v>
      </c>
      <c r="N291" s="179"/>
      <c r="O291" s="146" t="e">
        <f t="shared" si="184"/>
        <v>#DIV/0!</v>
      </c>
      <c r="P291" s="146">
        <v>0.075</v>
      </c>
      <c r="Q291" s="178">
        <v>0.08</v>
      </c>
      <c r="R291" s="162">
        <f t="shared" si="146"/>
        <v>0</v>
      </c>
      <c r="S291" s="162">
        <f t="shared" si="170"/>
        <v>0</v>
      </c>
      <c r="T291" s="162">
        <f t="shared" si="186"/>
        <v>0</v>
      </c>
      <c r="U291" s="162">
        <f t="shared" si="187"/>
        <v>0</v>
      </c>
      <c r="V291" s="162">
        <f t="shared" si="188"/>
        <v>0</v>
      </c>
      <c r="W291" s="162">
        <f t="shared" si="189"/>
        <v>0</v>
      </c>
      <c r="X291" s="162">
        <f t="shared" si="190"/>
        <v>0</v>
      </c>
      <c r="Y291" s="162">
        <f t="shared" si="191"/>
        <v>0</v>
      </c>
      <c r="Z291" s="147">
        <f t="shared" si="192"/>
        <v>0</v>
      </c>
    </row>
    <row r="292" spans="1:26" ht="12.75">
      <c r="A292" s="81" t="s">
        <v>954</v>
      </c>
      <c r="B292" s="30">
        <v>0</v>
      </c>
      <c r="C292" s="78"/>
      <c r="D292" s="111" t="e">
        <f t="shared" si="183"/>
        <v>#DIV/0!</v>
      </c>
      <c r="E292" s="30">
        <f t="shared" si="169"/>
        <v>0</v>
      </c>
      <c r="F292" s="104"/>
      <c r="G292" s="270" t="e">
        <f t="shared" si="159"/>
        <v>#DIV/0!</v>
      </c>
      <c r="H292" s="267">
        <v>0</v>
      </c>
      <c r="I292" s="111" t="e">
        <f t="shared" si="171"/>
        <v>#DIV/0!</v>
      </c>
      <c r="J292" s="30">
        <f t="shared" si="172"/>
        <v>14000</v>
      </c>
      <c r="K292" s="153">
        <v>250000</v>
      </c>
      <c r="L292" s="142">
        <f t="shared" si="173"/>
        <v>-1</v>
      </c>
      <c r="M292" s="143">
        <f t="shared" si="174"/>
        <v>-14000</v>
      </c>
      <c r="N292" s="179"/>
      <c r="O292" s="146" t="e">
        <f t="shared" si="184"/>
        <v>#DIV/0!</v>
      </c>
      <c r="P292" s="146">
        <v>0.075</v>
      </c>
      <c r="Q292" s="178">
        <v>0.08</v>
      </c>
      <c r="R292" s="162">
        <f t="shared" si="146"/>
        <v>0</v>
      </c>
      <c r="S292" s="162">
        <f t="shared" si="170"/>
        <v>0</v>
      </c>
      <c r="T292" s="162">
        <f t="shared" si="186"/>
        <v>0</v>
      </c>
      <c r="U292" s="162">
        <f t="shared" si="187"/>
        <v>0</v>
      </c>
      <c r="V292" s="162">
        <f t="shared" si="188"/>
        <v>0</v>
      </c>
      <c r="W292" s="162">
        <f t="shared" si="189"/>
        <v>0</v>
      </c>
      <c r="X292" s="162">
        <f t="shared" si="190"/>
        <v>0</v>
      </c>
      <c r="Y292" s="162">
        <f t="shared" si="191"/>
        <v>0</v>
      </c>
      <c r="Z292" s="147">
        <f t="shared" si="192"/>
        <v>0</v>
      </c>
    </row>
    <row r="293" spans="1:26" ht="12.75">
      <c r="A293" s="81" t="s">
        <v>955</v>
      </c>
      <c r="B293" s="30">
        <v>0</v>
      </c>
      <c r="C293" s="78"/>
      <c r="D293" s="111" t="e">
        <f t="shared" si="183"/>
        <v>#DIV/0!</v>
      </c>
      <c r="E293" s="30">
        <f t="shared" si="169"/>
        <v>0</v>
      </c>
      <c r="F293" s="104"/>
      <c r="G293" s="270" t="e">
        <f t="shared" si="159"/>
        <v>#DIV/0!</v>
      </c>
      <c r="H293" s="267">
        <v>0</v>
      </c>
      <c r="I293" s="111" t="e">
        <f t="shared" si="171"/>
        <v>#DIV/0!</v>
      </c>
      <c r="J293" s="30">
        <f t="shared" si="172"/>
        <v>74000</v>
      </c>
      <c r="K293" s="153">
        <v>168000</v>
      </c>
      <c r="L293" s="142">
        <f t="shared" si="173"/>
        <v>-1</v>
      </c>
      <c r="M293" s="143">
        <f t="shared" si="174"/>
        <v>-74000</v>
      </c>
      <c r="N293" s="179"/>
      <c r="O293" s="146" t="e">
        <f t="shared" si="184"/>
        <v>#DIV/0!</v>
      </c>
      <c r="P293" s="146">
        <v>0.075</v>
      </c>
      <c r="Q293" s="178">
        <v>0.08</v>
      </c>
      <c r="R293" s="162">
        <f t="shared" si="146"/>
        <v>0</v>
      </c>
      <c r="S293" s="162">
        <f t="shared" si="170"/>
        <v>0</v>
      </c>
      <c r="T293" s="162">
        <f t="shared" si="186"/>
        <v>0</v>
      </c>
      <c r="U293" s="162">
        <f t="shared" si="187"/>
        <v>0</v>
      </c>
      <c r="V293" s="162">
        <f t="shared" si="188"/>
        <v>0</v>
      </c>
      <c r="W293" s="162">
        <f t="shared" si="189"/>
        <v>0</v>
      </c>
      <c r="X293" s="162">
        <f t="shared" si="190"/>
        <v>0</v>
      </c>
      <c r="Y293" s="162">
        <f t="shared" si="191"/>
        <v>0</v>
      </c>
      <c r="Z293" s="147">
        <f t="shared" si="192"/>
        <v>0</v>
      </c>
    </row>
    <row r="294" spans="1:26" ht="12.75">
      <c r="A294" s="81" t="s">
        <v>956</v>
      </c>
      <c r="B294" s="30">
        <v>0</v>
      </c>
      <c r="C294" s="78"/>
      <c r="D294" s="111" t="e">
        <f t="shared" si="183"/>
        <v>#DIV/0!</v>
      </c>
      <c r="E294" s="30">
        <f t="shared" si="169"/>
        <v>0</v>
      </c>
      <c r="F294" s="104"/>
      <c r="G294" s="270" t="e">
        <f t="shared" si="159"/>
        <v>#DIV/0!</v>
      </c>
      <c r="H294" s="267">
        <v>7675</v>
      </c>
      <c r="I294" s="111" t="e">
        <f t="shared" si="171"/>
        <v>#DIV/0!</v>
      </c>
      <c r="J294" s="30">
        <f t="shared" si="172"/>
        <v>32000</v>
      </c>
      <c r="K294" s="153">
        <v>147000</v>
      </c>
      <c r="L294" s="142">
        <f t="shared" si="173"/>
        <v>14.71546875</v>
      </c>
      <c r="M294" s="143">
        <f t="shared" si="174"/>
        <v>470895</v>
      </c>
      <c r="N294" s="179">
        <v>502895</v>
      </c>
      <c r="O294" s="146" t="e">
        <f t="shared" si="184"/>
        <v>#DIV/0!</v>
      </c>
      <c r="P294" s="146">
        <v>0.075</v>
      </c>
      <c r="Q294" s="178">
        <v>0.08</v>
      </c>
      <c r="R294" s="162">
        <f t="shared" si="146"/>
        <v>540612.125</v>
      </c>
      <c r="S294" s="162">
        <f t="shared" si="170"/>
        <v>581158.034375</v>
      </c>
      <c r="T294" s="162">
        <f t="shared" si="186"/>
        <v>627650.677125</v>
      </c>
      <c r="U294" s="162">
        <f t="shared" si="187"/>
        <v>677862.7312950001</v>
      </c>
      <c r="V294" s="162">
        <f t="shared" si="188"/>
        <v>732091.7497986001</v>
      </c>
      <c r="W294" s="162">
        <f t="shared" si="189"/>
        <v>790659.0897824881</v>
      </c>
      <c r="X294" s="162">
        <f t="shared" si="190"/>
        <v>853911.8169650871</v>
      </c>
      <c r="Y294" s="162">
        <f t="shared" si="191"/>
        <v>922224.7623222941</v>
      </c>
      <c r="Z294" s="147">
        <f t="shared" si="192"/>
        <v>996002.7433080776</v>
      </c>
    </row>
    <row r="295" spans="1:26" ht="12.75">
      <c r="A295" s="81" t="s">
        <v>957</v>
      </c>
      <c r="B295" s="30">
        <v>0</v>
      </c>
      <c r="C295" s="78"/>
      <c r="D295" s="111" t="e">
        <f t="shared" si="183"/>
        <v>#DIV/0!</v>
      </c>
      <c r="E295" s="30">
        <f t="shared" si="169"/>
        <v>0</v>
      </c>
      <c r="F295" s="104"/>
      <c r="G295" s="270" t="e">
        <f t="shared" si="159"/>
        <v>#DIV/0!</v>
      </c>
      <c r="H295" s="267">
        <v>0</v>
      </c>
      <c r="I295" s="111" t="e">
        <f t="shared" si="171"/>
        <v>#DIV/0!</v>
      </c>
      <c r="J295" s="30">
        <f t="shared" si="172"/>
        <v>12500</v>
      </c>
      <c r="K295" s="153">
        <v>315000</v>
      </c>
      <c r="L295" s="142">
        <f t="shared" si="173"/>
        <v>-1</v>
      </c>
      <c r="M295" s="143">
        <f t="shared" si="174"/>
        <v>-12500</v>
      </c>
      <c r="N295" s="179"/>
      <c r="O295" s="146" t="e">
        <f t="shared" si="184"/>
        <v>#DIV/0!</v>
      </c>
      <c r="P295" s="146">
        <v>0.075</v>
      </c>
      <c r="Q295" s="178">
        <v>0.08</v>
      </c>
      <c r="R295" s="162">
        <f t="shared" si="146"/>
        <v>0</v>
      </c>
      <c r="S295" s="162">
        <f t="shared" si="170"/>
        <v>0</v>
      </c>
      <c r="T295" s="162">
        <f t="shared" si="186"/>
        <v>0</v>
      </c>
      <c r="U295" s="162">
        <f t="shared" si="187"/>
        <v>0</v>
      </c>
      <c r="V295" s="162">
        <f t="shared" si="188"/>
        <v>0</v>
      </c>
      <c r="W295" s="162">
        <f t="shared" si="189"/>
        <v>0</v>
      </c>
      <c r="X295" s="162">
        <f t="shared" si="190"/>
        <v>0</v>
      </c>
      <c r="Y295" s="162">
        <f t="shared" si="191"/>
        <v>0</v>
      </c>
      <c r="Z295" s="147">
        <f t="shared" si="192"/>
        <v>0</v>
      </c>
    </row>
    <row r="296" spans="1:26" ht="12.75">
      <c r="A296" s="81" t="s">
        <v>958</v>
      </c>
      <c r="B296" s="30">
        <v>0</v>
      </c>
      <c r="C296" s="78"/>
      <c r="D296" s="111" t="e">
        <f t="shared" si="183"/>
        <v>#DIV/0!</v>
      </c>
      <c r="E296" s="30">
        <f t="shared" si="169"/>
        <v>837552.0170000001</v>
      </c>
      <c r="F296" s="108">
        <v>837552.0170000001</v>
      </c>
      <c r="G296" s="270">
        <f t="shared" si="159"/>
        <v>-1</v>
      </c>
      <c r="H296" s="267">
        <v>0</v>
      </c>
      <c r="I296" s="111">
        <f aca="true" t="shared" si="193" ref="I296:I318">K303/F296-1</f>
        <v>3.090840843858895</v>
      </c>
      <c r="J296" s="30">
        <f aca="true" t="shared" si="194" ref="J296:J318">K303-F296</f>
        <v>2588739.983</v>
      </c>
      <c r="K296" s="153">
        <v>284000</v>
      </c>
      <c r="L296" s="142">
        <f aca="true" t="shared" si="195" ref="L296:L318">N296/K303-1</f>
        <v>-0.7665114356861586</v>
      </c>
      <c r="M296" s="143">
        <f aca="true" t="shared" si="196" ref="M296:M318">N296-K303</f>
        <v>-2626292</v>
      </c>
      <c r="N296" s="179">
        <v>800000</v>
      </c>
      <c r="O296" s="146" t="e">
        <f t="shared" si="184"/>
        <v>#DIV/0!</v>
      </c>
      <c r="P296" s="146">
        <v>0.075</v>
      </c>
      <c r="Q296" s="178">
        <v>0.08</v>
      </c>
      <c r="R296" s="162">
        <f t="shared" si="146"/>
        <v>860000</v>
      </c>
      <c r="S296" s="162">
        <f t="shared" si="170"/>
        <v>924500</v>
      </c>
      <c r="T296" s="162">
        <f t="shared" si="186"/>
        <v>998460</v>
      </c>
      <c r="U296" s="162">
        <f t="shared" si="187"/>
        <v>1078336.8</v>
      </c>
      <c r="V296" s="162">
        <f t="shared" si="188"/>
        <v>1164603.744</v>
      </c>
      <c r="W296" s="162">
        <f t="shared" si="189"/>
        <v>1257772.0435199998</v>
      </c>
      <c r="X296" s="162">
        <f t="shared" si="190"/>
        <v>1358393.8070015998</v>
      </c>
      <c r="Y296" s="162">
        <f t="shared" si="191"/>
        <v>1467065.311561728</v>
      </c>
      <c r="Z296" s="147">
        <f t="shared" si="192"/>
        <v>1584430.5364866662</v>
      </c>
    </row>
    <row r="297" spans="1:26" ht="12.75">
      <c r="A297" s="81" t="s">
        <v>959</v>
      </c>
      <c r="B297" s="30">
        <v>0</v>
      </c>
      <c r="C297" s="78"/>
      <c r="D297" s="111" t="e">
        <f t="shared" si="183"/>
        <v>#DIV/0!</v>
      </c>
      <c r="E297" s="30">
        <f t="shared" si="169"/>
        <v>0</v>
      </c>
      <c r="F297" s="104"/>
      <c r="G297" s="270" t="e">
        <f t="shared" si="159"/>
        <v>#DIV/0!</v>
      </c>
      <c r="H297" s="267">
        <v>0</v>
      </c>
      <c r="I297" s="111" t="e">
        <f t="shared" si="193"/>
        <v>#DIV/0!</v>
      </c>
      <c r="J297" s="30">
        <f t="shared" si="194"/>
        <v>1888</v>
      </c>
      <c r="K297" s="153">
        <v>89000</v>
      </c>
      <c r="L297" s="142">
        <f t="shared" si="195"/>
        <v>30.779661016949152</v>
      </c>
      <c r="M297" s="143">
        <f t="shared" si="196"/>
        <v>58112</v>
      </c>
      <c r="N297" s="179">
        <v>60000</v>
      </c>
      <c r="O297" s="146" t="e">
        <f t="shared" si="184"/>
        <v>#DIV/0!</v>
      </c>
      <c r="P297" s="146">
        <v>0.075</v>
      </c>
      <c r="Q297" s="178">
        <v>0.08</v>
      </c>
      <c r="R297" s="162">
        <f aca="true" t="shared" si="197" ref="R297:R360">(N297*P297)+N297</f>
        <v>64500</v>
      </c>
      <c r="S297" s="162">
        <f t="shared" si="170"/>
        <v>69337.5</v>
      </c>
      <c r="T297" s="162">
        <f t="shared" si="186"/>
        <v>74884.5</v>
      </c>
      <c r="U297" s="162">
        <f t="shared" si="187"/>
        <v>80875.26</v>
      </c>
      <c r="V297" s="162">
        <f t="shared" si="188"/>
        <v>87345.2808</v>
      </c>
      <c r="W297" s="162">
        <f t="shared" si="189"/>
        <v>94332.903264</v>
      </c>
      <c r="X297" s="162">
        <f t="shared" si="190"/>
        <v>101879.53552512</v>
      </c>
      <c r="Y297" s="162">
        <f t="shared" si="191"/>
        <v>110029.8983671296</v>
      </c>
      <c r="Z297" s="147">
        <f t="shared" si="192"/>
        <v>118832.29023649998</v>
      </c>
    </row>
    <row r="298" spans="1:26" ht="12.75">
      <c r="A298" s="81" t="s">
        <v>960</v>
      </c>
      <c r="B298" s="30">
        <v>0</v>
      </c>
      <c r="C298" s="78"/>
      <c r="D298" s="111" t="e">
        <f t="shared" si="183"/>
        <v>#DIV/0!</v>
      </c>
      <c r="E298" s="30">
        <f t="shared" si="169"/>
        <v>0</v>
      </c>
      <c r="F298" s="104"/>
      <c r="G298" s="270" t="e">
        <f t="shared" si="159"/>
        <v>#DIV/0!</v>
      </c>
      <c r="H298" s="267">
        <v>0</v>
      </c>
      <c r="I298" s="111" t="e">
        <f t="shared" si="193"/>
        <v>#DIV/0!</v>
      </c>
      <c r="J298" s="30">
        <f t="shared" si="194"/>
        <v>1888</v>
      </c>
      <c r="K298" s="153">
        <v>14000</v>
      </c>
      <c r="L298" s="142">
        <f t="shared" si="195"/>
        <v>-1</v>
      </c>
      <c r="M298" s="143">
        <f t="shared" si="196"/>
        <v>-1888</v>
      </c>
      <c r="N298" s="179"/>
      <c r="O298" s="146" t="e">
        <f t="shared" si="184"/>
        <v>#DIV/0!</v>
      </c>
      <c r="P298" s="146">
        <v>0.075</v>
      </c>
      <c r="Q298" s="178">
        <v>0.08</v>
      </c>
      <c r="R298" s="162">
        <f t="shared" si="197"/>
        <v>0</v>
      </c>
      <c r="S298" s="162">
        <f t="shared" si="170"/>
        <v>0</v>
      </c>
      <c r="T298" s="162">
        <f t="shared" si="186"/>
        <v>0</v>
      </c>
      <c r="U298" s="162">
        <f t="shared" si="187"/>
        <v>0</v>
      </c>
      <c r="V298" s="162">
        <f t="shared" si="188"/>
        <v>0</v>
      </c>
      <c r="W298" s="162">
        <f t="shared" si="189"/>
        <v>0</v>
      </c>
      <c r="X298" s="162">
        <f t="shared" si="190"/>
        <v>0</v>
      </c>
      <c r="Y298" s="162">
        <f t="shared" si="191"/>
        <v>0</v>
      </c>
      <c r="Z298" s="147">
        <f t="shared" si="192"/>
        <v>0</v>
      </c>
    </row>
    <row r="299" spans="1:26" ht="12.75">
      <c r="A299" s="81" t="s">
        <v>961</v>
      </c>
      <c r="B299" s="30">
        <v>0</v>
      </c>
      <c r="C299" s="78"/>
      <c r="D299" s="111" t="e">
        <f t="shared" si="183"/>
        <v>#DIV/0!</v>
      </c>
      <c r="E299" s="30">
        <f t="shared" si="169"/>
        <v>0</v>
      </c>
      <c r="F299" s="104"/>
      <c r="G299" s="270" t="e">
        <f t="shared" si="159"/>
        <v>#DIV/0!</v>
      </c>
      <c r="H299" s="267">
        <v>0</v>
      </c>
      <c r="I299" s="111" t="e">
        <f t="shared" si="193"/>
        <v>#DIV/0!</v>
      </c>
      <c r="J299" s="30">
        <f t="shared" si="194"/>
        <v>1888</v>
      </c>
      <c r="K299" s="153">
        <v>74000</v>
      </c>
      <c r="L299" s="142">
        <f t="shared" si="195"/>
        <v>-1</v>
      </c>
      <c r="M299" s="143">
        <f t="shared" si="196"/>
        <v>-1888</v>
      </c>
      <c r="N299" s="179"/>
      <c r="O299" s="146" t="e">
        <f t="shared" si="184"/>
        <v>#DIV/0!</v>
      </c>
      <c r="P299" s="146">
        <v>0.075</v>
      </c>
      <c r="Q299" s="178">
        <v>0.08</v>
      </c>
      <c r="R299" s="162">
        <f t="shared" si="197"/>
        <v>0</v>
      </c>
      <c r="S299" s="162">
        <f t="shared" si="170"/>
        <v>0</v>
      </c>
      <c r="T299" s="162">
        <f t="shared" si="186"/>
        <v>0</v>
      </c>
      <c r="U299" s="162">
        <f t="shared" si="187"/>
        <v>0</v>
      </c>
      <c r="V299" s="162">
        <f t="shared" si="188"/>
        <v>0</v>
      </c>
      <c r="W299" s="162">
        <f t="shared" si="189"/>
        <v>0</v>
      </c>
      <c r="X299" s="162">
        <f t="shared" si="190"/>
        <v>0</v>
      </c>
      <c r="Y299" s="162">
        <f t="shared" si="191"/>
        <v>0</v>
      </c>
      <c r="Z299" s="147">
        <f t="shared" si="192"/>
        <v>0</v>
      </c>
    </row>
    <row r="300" spans="1:26" ht="12.75">
      <c r="A300" s="81" t="s">
        <v>962</v>
      </c>
      <c r="B300" s="30">
        <v>0</v>
      </c>
      <c r="C300" s="78"/>
      <c r="D300" s="111" t="e">
        <f t="shared" si="183"/>
        <v>#DIV/0!</v>
      </c>
      <c r="E300" s="30">
        <f t="shared" si="169"/>
        <v>0</v>
      </c>
      <c r="F300" s="104"/>
      <c r="G300" s="270" t="e">
        <f t="shared" si="159"/>
        <v>#DIV/0!</v>
      </c>
      <c r="H300" s="267">
        <v>0</v>
      </c>
      <c r="I300" s="111" t="e">
        <f t="shared" si="193"/>
        <v>#DIV/0!</v>
      </c>
      <c r="J300" s="30">
        <f t="shared" si="194"/>
        <v>21960</v>
      </c>
      <c r="K300" s="153">
        <v>32000</v>
      </c>
      <c r="L300" s="142">
        <f t="shared" si="195"/>
        <v>-1</v>
      </c>
      <c r="M300" s="143">
        <f t="shared" si="196"/>
        <v>-21960</v>
      </c>
      <c r="N300" s="179"/>
      <c r="O300" s="146" t="e">
        <f t="shared" si="184"/>
        <v>#DIV/0!</v>
      </c>
      <c r="P300" s="146">
        <v>0.075</v>
      </c>
      <c r="Q300" s="178">
        <v>0.08</v>
      </c>
      <c r="R300" s="162">
        <f t="shared" si="197"/>
        <v>0</v>
      </c>
      <c r="S300" s="162">
        <f t="shared" si="170"/>
        <v>0</v>
      </c>
      <c r="T300" s="162">
        <f t="shared" si="186"/>
        <v>0</v>
      </c>
      <c r="U300" s="162">
        <f t="shared" si="187"/>
        <v>0</v>
      </c>
      <c r="V300" s="162">
        <f t="shared" si="188"/>
        <v>0</v>
      </c>
      <c r="W300" s="162">
        <f t="shared" si="189"/>
        <v>0</v>
      </c>
      <c r="X300" s="162">
        <f t="shared" si="190"/>
        <v>0</v>
      </c>
      <c r="Y300" s="162">
        <f t="shared" si="191"/>
        <v>0</v>
      </c>
      <c r="Z300" s="147">
        <f t="shared" si="192"/>
        <v>0</v>
      </c>
    </row>
    <row r="301" spans="1:26" ht="12.75">
      <c r="A301" s="81" t="s">
        <v>963</v>
      </c>
      <c r="B301" s="30">
        <v>0</v>
      </c>
      <c r="C301" s="78"/>
      <c r="D301" s="111" t="e">
        <f t="shared" si="183"/>
        <v>#DIV/0!</v>
      </c>
      <c r="E301" s="30">
        <f t="shared" si="169"/>
        <v>0</v>
      </c>
      <c r="F301" s="104"/>
      <c r="G301" s="270" t="e">
        <f t="shared" si="159"/>
        <v>#DIV/0!</v>
      </c>
      <c r="H301" s="267">
        <v>0</v>
      </c>
      <c r="I301" s="111" t="e">
        <f t="shared" si="193"/>
        <v>#DIV/0!</v>
      </c>
      <c r="J301" s="30">
        <f t="shared" si="194"/>
        <v>21960</v>
      </c>
      <c r="K301" s="153">
        <v>12500</v>
      </c>
      <c r="L301" s="142">
        <f t="shared" si="195"/>
        <v>-1</v>
      </c>
      <c r="M301" s="143">
        <f t="shared" si="196"/>
        <v>-21960</v>
      </c>
      <c r="N301" s="176"/>
      <c r="O301" s="146" t="e">
        <f t="shared" si="184"/>
        <v>#DIV/0!</v>
      </c>
      <c r="P301" s="146">
        <v>0.075</v>
      </c>
      <c r="Q301" s="178">
        <v>0.08</v>
      </c>
      <c r="R301" s="162">
        <f t="shared" si="197"/>
        <v>0</v>
      </c>
      <c r="S301" s="162">
        <f t="shared" si="170"/>
        <v>0</v>
      </c>
      <c r="T301" s="162">
        <f t="shared" si="186"/>
        <v>0</v>
      </c>
      <c r="U301" s="162">
        <f t="shared" si="187"/>
        <v>0</v>
      </c>
      <c r="V301" s="162">
        <f t="shared" si="188"/>
        <v>0</v>
      </c>
      <c r="W301" s="162">
        <f t="shared" si="189"/>
        <v>0</v>
      </c>
      <c r="X301" s="162">
        <f t="shared" si="190"/>
        <v>0</v>
      </c>
      <c r="Y301" s="162">
        <f t="shared" si="191"/>
        <v>0</v>
      </c>
      <c r="Z301" s="147">
        <f t="shared" si="192"/>
        <v>0</v>
      </c>
    </row>
    <row r="302" spans="1:26" ht="12.75">
      <c r="A302" s="110" t="s">
        <v>1102</v>
      </c>
      <c r="B302" s="30"/>
      <c r="C302" s="78"/>
      <c r="D302" s="111" t="e">
        <f t="shared" si="183"/>
        <v>#DIV/0!</v>
      </c>
      <c r="E302" s="30">
        <f t="shared" si="169"/>
        <v>99910.12299999999</v>
      </c>
      <c r="F302" s="105">
        <v>99910.12299999999</v>
      </c>
      <c r="G302" s="270">
        <f t="shared" si="159"/>
        <v>-1</v>
      </c>
      <c r="H302" s="79"/>
      <c r="I302" s="111">
        <f t="shared" si="193"/>
        <v>-0.7802024525582858</v>
      </c>
      <c r="J302" s="30">
        <f t="shared" si="194"/>
        <v>-77950.12299999999</v>
      </c>
      <c r="K302" s="153">
        <v>0</v>
      </c>
      <c r="L302" s="142">
        <f t="shared" si="195"/>
        <v>10.384335154826958</v>
      </c>
      <c r="M302" s="143">
        <f t="shared" si="196"/>
        <v>228040</v>
      </c>
      <c r="N302" s="184">
        <v>250000</v>
      </c>
      <c r="O302" s="146" t="e">
        <f t="shared" si="184"/>
        <v>#DIV/0!</v>
      </c>
      <c r="P302" s="146">
        <v>0.075</v>
      </c>
      <c r="Q302" s="178">
        <v>0.08</v>
      </c>
      <c r="R302" s="162">
        <f t="shared" si="197"/>
        <v>268750</v>
      </c>
      <c r="S302" s="162">
        <f t="shared" si="170"/>
        <v>288906.25</v>
      </c>
      <c r="T302" s="162">
        <f t="shared" si="186"/>
        <v>312018.75</v>
      </c>
      <c r="U302" s="162">
        <f t="shared" si="187"/>
        <v>336980.25</v>
      </c>
      <c r="V302" s="147">
        <f t="shared" si="188"/>
        <v>363938.67</v>
      </c>
      <c r="W302" s="162">
        <f t="shared" si="189"/>
        <v>393053.7636</v>
      </c>
      <c r="X302" s="162">
        <f t="shared" si="190"/>
        <v>424498.064688</v>
      </c>
      <c r="Y302" s="162">
        <f t="shared" si="191"/>
        <v>458457.90986304</v>
      </c>
      <c r="Z302" s="147">
        <f t="shared" si="192"/>
        <v>495134.5426520832</v>
      </c>
    </row>
    <row r="303" spans="1:26" ht="12.75">
      <c r="A303" s="151" t="s">
        <v>413</v>
      </c>
      <c r="B303" s="98">
        <v>1907076.6547625</v>
      </c>
      <c r="C303" s="78"/>
      <c r="D303" s="111">
        <f t="shared" si="183"/>
        <v>0.509338136362677</v>
      </c>
      <c r="E303" s="30">
        <f t="shared" si="169"/>
        <v>971346.8692375002</v>
      </c>
      <c r="F303" s="161">
        <f>F304+F307+F310+F322+F326+F330+F332+F334+F340+F342+F344+F348</f>
        <v>2878423.524</v>
      </c>
      <c r="G303" s="270">
        <f t="shared" si="159"/>
        <v>-0.1311751105602763</v>
      </c>
      <c r="H303" s="267">
        <v>2500846</v>
      </c>
      <c r="I303" s="111">
        <f t="shared" si="193"/>
        <v>-0.9992488944097443</v>
      </c>
      <c r="J303" s="30">
        <f t="shared" si="194"/>
        <v>-2876261.524</v>
      </c>
      <c r="K303" s="161">
        <f>K304+K307+K310+K322+K326+K330+K332+K334+K340+K342+K344+K348</f>
        <v>3426292</v>
      </c>
      <c r="L303" s="142">
        <f t="shared" si="195"/>
        <v>1600.0883441258095</v>
      </c>
      <c r="M303" s="143">
        <f t="shared" si="196"/>
        <v>3459391</v>
      </c>
      <c r="N303" s="172">
        <f>N304+N307+N310+N322+N326+N330+N332+N334+N340+N342+N344+N348</f>
        <v>3461553</v>
      </c>
      <c r="O303" s="146">
        <f t="shared" si="184"/>
        <v>533.1994777892542</v>
      </c>
      <c r="P303" s="146"/>
      <c r="R303" s="172">
        <f>R304+R307+R310+R322+R326+R330+R332+R334+R340+R342+R344+R348</f>
        <v>3721169.4749999996</v>
      </c>
      <c r="S303" s="172">
        <f aca="true" t="shared" si="198" ref="S303:Z303">S304+S307+S310+S322+S326+S330+S332+S334+S340+S342+S344+S348</f>
        <v>4000257.1856250004</v>
      </c>
      <c r="T303" s="172">
        <f t="shared" si="198"/>
        <v>4320277.760474999</v>
      </c>
      <c r="U303" s="172">
        <f t="shared" si="198"/>
        <v>4665899.981313</v>
      </c>
      <c r="V303" s="172">
        <f t="shared" si="198"/>
        <v>5038944.248565092</v>
      </c>
      <c r="W303" s="172">
        <f t="shared" si="198"/>
        <v>5442059.788450297</v>
      </c>
      <c r="X303" s="172">
        <f t="shared" si="198"/>
        <v>5877424.571526321</v>
      </c>
      <c r="Y303" s="172">
        <f t="shared" si="198"/>
        <v>6347618.537248427</v>
      </c>
      <c r="Z303" s="172">
        <f t="shared" si="198"/>
        <v>6855428.020228302</v>
      </c>
    </row>
    <row r="304" spans="1:26" ht="12.75">
      <c r="A304" s="86" t="s">
        <v>477</v>
      </c>
      <c r="B304" s="98">
        <v>4030</v>
      </c>
      <c r="C304" s="78"/>
      <c r="D304" s="111">
        <f t="shared" si="183"/>
        <v>-1</v>
      </c>
      <c r="E304" s="30">
        <f t="shared" si="169"/>
        <v>-4030</v>
      </c>
      <c r="F304" s="104"/>
      <c r="G304" s="270" t="e">
        <f t="shared" si="159"/>
        <v>#DIV/0!</v>
      </c>
      <c r="H304" s="267">
        <v>0</v>
      </c>
      <c r="I304" s="111" t="e">
        <f t="shared" si="193"/>
        <v>#DIV/0!</v>
      </c>
      <c r="J304" s="30">
        <f t="shared" si="194"/>
        <v>0</v>
      </c>
      <c r="K304" s="145">
        <f>K305</f>
        <v>1888</v>
      </c>
      <c r="L304" s="142" t="e">
        <f t="shared" si="195"/>
        <v>#DIV/0!</v>
      </c>
      <c r="M304" s="143">
        <f t="shared" si="196"/>
        <v>0</v>
      </c>
      <c r="N304" s="171">
        <f>N305</f>
        <v>0</v>
      </c>
      <c r="O304" s="146" t="e">
        <f t="shared" si="184"/>
        <v>#DIV/0!</v>
      </c>
      <c r="P304" s="146"/>
      <c r="R304" s="147">
        <f t="shared" si="197"/>
        <v>0</v>
      </c>
      <c r="S304" s="147">
        <f t="shared" si="170"/>
        <v>0</v>
      </c>
      <c r="T304" s="147">
        <f>(S304*P304)+S304</f>
        <v>0</v>
      </c>
      <c r="U304" s="147">
        <f>(T304*P304)+T304</f>
        <v>0</v>
      </c>
      <c r="V304" s="147">
        <f>(U304*P304)+U304</f>
        <v>0</v>
      </c>
      <c r="W304" s="147">
        <f>(V304*P304)+V304</f>
        <v>0</v>
      </c>
      <c r="X304" s="147">
        <f>(W304*P304)+W304</f>
        <v>0</v>
      </c>
      <c r="Y304" s="147">
        <f>(X304*P304)+X304</f>
        <v>0</v>
      </c>
      <c r="Z304" s="147">
        <f>(Y304*P304)+Y304</f>
        <v>0</v>
      </c>
    </row>
    <row r="305" spans="1:26" ht="12.75">
      <c r="A305" s="86" t="s">
        <v>964</v>
      </c>
      <c r="B305" s="98">
        <v>4030</v>
      </c>
      <c r="C305" s="78"/>
      <c r="D305" s="111">
        <f t="shared" si="183"/>
        <v>-1</v>
      </c>
      <c r="E305" s="30">
        <f t="shared" si="169"/>
        <v>-4030</v>
      </c>
      <c r="F305" s="104"/>
      <c r="G305" s="270" t="e">
        <f t="shared" si="159"/>
        <v>#DIV/0!</v>
      </c>
      <c r="H305" s="267">
        <v>0</v>
      </c>
      <c r="I305" s="111" t="e">
        <f t="shared" si="193"/>
        <v>#DIV/0!</v>
      </c>
      <c r="J305" s="30">
        <f t="shared" si="194"/>
        <v>0</v>
      </c>
      <c r="K305" s="145">
        <f>K306</f>
        <v>1888</v>
      </c>
      <c r="L305" s="142" t="e">
        <f t="shared" si="195"/>
        <v>#DIV/0!</v>
      </c>
      <c r="M305" s="143">
        <f t="shared" si="196"/>
        <v>0</v>
      </c>
      <c r="N305" s="171">
        <f>N306</f>
        <v>0</v>
      </c>
      <c r="O305" s="146" t="e">
        <f t="shared" si="184"/>
        <v>#DIV/0!</v>
      </c>
      <c r="P305" s="146"/>
      <c r="R305" s="147">
        <f t="shared" si="197"/>
        <v>0</v>
      </c>
      <c r="S305" s="147">
        <f t="shared" si="170"/>
        <v>0</v>
      </c>
      <c r="T305" s="147">
        <f>(S305*P305)+S305</f>
        <v>0</v>
      </c>
      <c r="U305" s="147">
        <f>(T305*P305)+T305</f>
        <v>0</v>
      </c>
      <c r="V305" s="147">
        <f>(U305*P305)+U305</f>
        <v>0</v>
      </c>
      <c r="W305" s="147">
        <f>(V305*P305)+V305</f>
        <v>0</v>
      </c>
      <c r="X305" s="147">
        <f>(W305*P305)+W305</f>
        <v>0</v>
      </c>
      <c r="Y305" s="147">
        <f>(X305*P305)+X305</f>
        <v>0</v>
      </c>
      <c r="Z305" s="147">
        <f>(Y305*P305)+Y305</f>
        <v>0</v>
      </c>
    </row>
    <row r="306" spans="1:26" ht="12.75">
      <c r="A306" s="81" t="s">
        <v>965</v>
      </c>
      <c r="B306" s="97">
        <v>4030</v>
      </c>
      <c r="C306" s="78"/>
      <c r="D306" s="111">
        <f t="shared" si="183"/>
        <v>-1</v>
      </c>
      <c r="E306" s="30">
        <f t="shared" si="169"/>
        <v>-4030</v>
      </c>
      <c r="F306" s="104"/>
      <c r="G306" s="270" t="e">
        <f t="shared" si="159"/>
        <v>#DIV/0!</v>
      </c>
      <c r="H306" s="267">
        <v>0</v>
      </c>
      <c r="I306" s="111" t="e">
        <f t="shared" si="193"/>
        <v>#DIV/0!</v>
      </c>
      <c r="J306" s="30">
        <f t="shared" si="194"/>
        <v>0</v>
      </c>
      <c r="K306" s="153">
        <v>1888</v>
      </c>
      <c r="L306" s="142" t="e">
        <f t="shared" si="195"/>
        <v>#DIV/0!</v>
      </c>
      <c r="M306" s="143">
        <f t="shared" si="196"/>
        <v>0</v>
      </c>
      <c r="N306" s="147"/>
      <c r="O306" s="146" t="e">
        <f t="shared" si="184"/>
        <v>#DIV/0!</v>
      </c>
      <c r="P306" s="146">
        <v>0.075</v>
      </c>
      <c r="Q306" s="178">
        <v>0.08</v>
      </c>
      <c r="R306" s="147">
        <f t="shared" si="197"/>
        <v>0</v>
      </c>
      <c r="S306" s="147">
        <f t="shared" si="170"/>
        <v>0</v>
      </c>
      <c r="T306" s="147">
        <f>(S306*P306)+S306</f>
        <v>0</v>
      </c>
      <c r="U306" s="147">
        <f>(T306*P306)+T306</f>
        <v>0</v>
      </c>
      <c r="V306" s="147">
        <f>(U306*P306)+U306</f>
        <v>0</v>
      </c>
      <c r="W306" s="147">
        <f>(V306*P306)+V306</f>
        <v>0</v>
      </c>
      <c r="X306" s="147">
        <f>(W306*P306)+W306</f>
        <v>0</v>
      </c>
      <c r="Y306" s="147">
        <f>(X306*P306)+X306</f>
        <v>0</v>
      </c>
      <c r="Z306" s="147">
        <f>(Y306*P306)+Y306</f>
        <v>0</v>
      </c>
    </row>
    <row r="307" spans="1:26" ht="12.75">
      <c r="A307" s="86" t="s">
        <v>966</v>
      </c>
      <c r="B307" s="98">
        <v>52050</v>
      </c>
      <c r="C307" s="78"/>
      <c r="D307" s="111">
        <f t="shared" si="183"/>
        <v>0.5754082612872238</v>
      </c>
      <c r="E307" s="30">
        <f t="shared" si="169"/>
        <v>29950</v>
      </c>
      <c r="F307" s="145">
        <f>F308</f>
        <v>82000</v>
      </c>
      <c r="G307" s="270">
        <f t="shared" si="159"/>
        <v>-1</v>
      </c>
      <c r="H307" s="267">
        <v>0</v>
      </c>
      <c r="I307" s="111">
        <f t="shared" si="193"/>
        <v>-1</v>
      </c>
      <c r="J307" s="30">
        <f t="shared" si="194"/>
        <v>-82000</v>
      </c>
      <c r="K307" s="145">
        <f>K308</f>
        <v>21960</v>
      </c>
      <c r="L307" s="142" t="e">
        <f t="shared" si="195"/>
        <v>#DIV/0!</v>
      </c>
      <c r="M307" s="143">
        <f t="shared" si="196"/>
        <v>120814</v>
      </c>
      <c r="N307" s="171">
        <f>N308</f>
        <v>120814</v>
      </c>
      <c r="O307" s="146" t="e">
        <f t="shared" si="184"/>
        <v>#DIV/0!</v>
      </c>
      <c r="P307" s="146"/>
      <c r="R307" s="171">
        <f aca="true" t="shared" si="199" ref="R307:Z308">R308</f>
        <v>129875.05</v>
      </c>
      <c r="S307" s="171">
        <f t="shared" si="199"/>
        <v>139615.67875</v>
      </c>
      <c r="T307" s="171">
        <f t="shared" si="199"/>
        <v>150784.93305</v>
      </c>
      <c r="U307" s="171">
        <f t="shared" si="199"/>
        <v>162847.727694</v>
      </c>
      <c r="V307" s="171">
        <f t="shared" si="199"/>
        <v>175875.54590952</v>
      </c>
      <c r="W307" s="171">
        <f t="shared" si="199"/>
        <v>189945.5895822816</v>
      </c>
      <c r="X307" s="171">
        <f t="shared" si="199"/>
        <v>205141.23674886412</v>
      </c>
      <c r="Y307" s="171">
        <f t="shared" si="199"/>
        <v>221552.53568877326</v>
      </c>
      <c r="Z307" s="171">
        <f t="shared" si="199"/>
        <v>239276.73854387514</v>
      </c>
    </row>
    <row r="308" spans="1:26" ht="12.75">
      <c r="A308" s="86" t="s">
        <v>967</v>
      </c>
      <c r="B308" s="98">
        <v>52050</v>
      </c>
      <c r="C308" s="78"/>
      <c r="D308" s="111">
        <f t="shared" si="183"/>
        <v>0.5754082612872238</v>
      </c>
      <c r="E308" s="30">
        <f t="shared" si="169"/>
        <v>29950</v>
      </c>
      <c r="F308" s="145">
        <f>F309</f>
        <v>82000</v>
      </c>
      <c r="G308" s="270">
        <f t="shared" si="159"/>
        <v>-1</v>
      </c>
      <c r="H308" s="267">
        <v>0</v>
      </c>
      <c r="I308" s="111">
        <f t="shared" si="193"/>
        <v>-1</v>
      </c>
      <c r="J308" s="30">
        <f t="shared" si="194"/>
        <v>-82000</v>
      </c>
      <c r="K308" s="145">
        <f>K309</f>
        <v>21960</v>
      </c>
      <c r="L308" s="142" t="e">
        <f t="shared" si="195"/>
        <v>#DIV/0!</v>
      </c>
      <c r="M308" s="143">
        <f t="shared" si="196"/>
        <v>120814</v>
      </c>
      <c r="N308" s="171">
        <f>N309</f>
        <v>120814</v>
      </c>
      <c r="O308" s="146" t="e">
        <f t="shared" si="184"/>
        <v>#DIV/0!</v>
      </c>
      <c r="P308" s="146"/>
      <c r="R308" s="171">
        <f t="shared" si="199"/>
        <v>129875.05</v>
      </c>
      <c r="S308" s="171">
        <f t="shared" si="199"/>
        <v>139615.67875</v>
      </c>
      <c r="T308" s="171">
        <f t="shared" si="199"/>
        <v>150784.93305</v>
      </c>
      <c r="U308" s="171">
        <f t="shared" si="199"/>
        <v>162847.727694</v>
      </c>
      <c r="V308" s="171">
        <f t="shared" si="199"/>
        <v>175875.54590952</v>
      </c>
      <c r="W308" s="171">
        <f t="shared" si="199"/>
        <v>189945.5895822816</v>
      </c>
      <c r="X308" s="171">
        <f t="shared" si="199"/>
        <v>205141.23674886412</v>
      </c>
      <c r="Y308" s="171">
        <f t="shared" si="199"/>
        <v>221552.53568877326</v>
      </c>
      <c r="Z308" s="171">
        <f t="shared" si="199"/>
        <v>239276.73854387514</v>
      </c>
    </row>
    <row r="309" spans="1:26" ht="12.75">
      <c r="A309" s="81" t="s">
        <v>968</v>
      </c>
      <c r="B309" s="98">
        <v>52050</v>
      </c>
      <c r="C309" s="78"/>
      <c r="D309" s="111">
        <f t="shared" si="183"/>
        <v>0.5754082612872238</v>
      </c>
      <c r="E309" s="30">
        <f t="shared" si="169"/>
        <v>29950</v>
      </c>
      <c r="F309" s="104">
        <v>82000</v>
      </c>
      <c r="G309" s="270">
        <f t="shared" si="159"/>
        <v>-1</v>
      </c>
      <c r="H309" s="267">
        <v>0</v>
      </c>
      <c r="I309" s="111">
        <f t="shared" si="193"/>
        <v>-0.9736341463414634</v>
      </c>
      <c r="J309" s="30">
        <f t="shared" si="194"/>
        <v>-79838</v>
      </c>
      <c r="K309" s="153">
        <v>21960</v>
      </c>
      <c r="L309" s="142">
        <f t="shared" si="195"/>
        <v>54.880666049953746</v>
      </c>
      <c r="M309" s="143">
        <f t="shared" si="196"/>
        <v>118652</v>
      </c>
      <c r="N309" s="179">
        <v>120814</v>
      </c>
      <c r="O309" s="146">
        <f t="shared" si="184"/>
        <v>18.160813388299836</v>
      </c>
      <c r="P309" s="146">
        <v>0.075</v>
      </c>
      <c r="Q309" s="178">
        <v>0.08</v>
      </c>
      <c r="R309" s="162">
        <f t="shared" si="197"/>
        <v>129875.05</v>
      </c>
      <c r="S309" s="162">
        <f t="shared" si="170"/>
        <v>139615.67875</v>
      </c>
      <c r="T309" s="162">
        <f>(S309*Q309)+S309</f>
        <v>150784.93305</v>
      </c>
      <c r="U309" s="162">
        <f>(T309*Q309)+T309</f>
        <v>162847.727694</v>
      </c>
      <c r="V309" s="147">
        <f>(U309*Q309)+U309</f>
        <v>175875.54590952</v>
      </c>
      <c r="W309" s="162">
        <f>(V309*Q309)+V309</f>
        <v>189945.5895822816</v>
      </c>
      <c r="X309" s="162">
        <f>(W309*Q309)+W309</f>
        <v>205141.23674886412</v>
      </c>
      <c r="Y309" s="162">
        <f>(X309*Q309)+X309</f>
        <v>221552.53568877326</v>
      </c>
      <c r="Z309" s="147">
        <f>(Y309*Q309)+Y309</f>
        <v>239276.73854387514</v>
      </c>
    </row>
    <row r="310" spans="1:26" ht="12.75">
      <c r="A310" s="86" t="s">
        <v>496</v>
      </c>
      <c r="B310" s="98">
        <v>83030</v>
      </c>
      <c r="C310" s="78"/>
      <c r="D310" s="111">
        <f t="shared" si="183"/>
        <v>-0.5599718896784295</v>
      </c>
      <c r="E310" s="30">
        <f t="shared" si="169"/>
        <v>-46494.466</v>
      </c>
      <c r="F310" s="145">
        <f>+F311+F316+F322+F326+F330+F332</f>
        <v>36535.534</v>
      </c>
      <c r="G310" s="270">
        <f t="shared" si="159"/>
        <v>-0.9452587719122978</v>
      </c>
      <c r="H310" s="267">
        <v>2000</v>
      </c>
      <c r="I310" s="111">
        <f t="shared" si="193"/>
        <v>-1</v>
      </c>
      <c r="J310" s="30">
        <f t="shared" si="194"/>
        <v>-36535.534</v>
      </c>
      <c r="K310" s="145">
        <f>+K311+K316+K322+K326+K330+K332</f>
        <v>2162</v>
      </c>
      <c r="L310" s="142" t="e">
        <f t="shared" si="195"/>
        <v>#DIV/0!</v>
      </c>
      <c r="M310" s="143">
        <f t="shared" si="196"/>
        <v>30000</v>
      </c>
      <c r="N310" s="171">
        <f>+N311+N316+N322+N326+N330+N332</f>
        <v>30000</v>
      </c>
      <c r="O310" s="146" t="e">
        <f t="shared" si="184"/>
        <v>#DIV/0!</v>
      </c>
      <c r="P310" s="146"/>
      <c r="R310" s="171">
        <f aca="true" t="shared" si="200" ref="R310:Z310">+R311+R316+R322+R326+R330+R332</f>
        <v>32250</v>
      </c>
      <c r="S310" s="171">
        <f t="shared" si="200"/>
        <v>34668.75</v>
      </c>
      <c r="T310" s="171">
        <f t="shared" si="200"/>
        <v>37442.25</v>
      </c>
      <c r="U310" s="171">
        <f t="shared" si="200"/>
        <v>40437.63</v>
      </c>
      <c r="V310" s="171">
        <f t="shared" si="200"/>
        <v>43672.6404</v>
      </c>
      <c r="W310" s="171">
        <f t="shared" si="200"/>
        <v>47166.451632</v>
      </c>
      <c r="X310" s="171">
        <f t="shared" si="200"/>
        <v>50939.76776256</v>
      </c>
      <c r="Y310" s="171">
        <f t="shared" si="200"/>
        <v>55014.9491835648</v>
      </c>
      <c r="Z310" s="171">
        <f t="shared" si="200"/>
        <v>59416.14511824999</v>
      </c>
    </row>
    <row r="311" spans="1:26" ht="12.75">
      <c r="A311" s="86" t="s">
        <v>964</v>
      </c>
      <c r="B311" s="98">
        <v>152</v>
      </c>
      <c r="C311" s="78"/>
      <c r="D311" s="111">
        <f t="shared" si="183"/>
        <v>30.45394736842105</v>
      </c>
      <c r="E311" s="30">
        <f t="shared" si="169"/>
        <v>4629</v>
      </c>
      <c r="F311" s="145">
        <f>SUM(F312:F315)</f>
        <v>4781</v>
      </c>
      <c r="G311" s="270">
        <f t="shared" si="159"/>
        <v>-1</v>
      </c>
      <c r="H311" s="267">
        <v>0</v>
      </c>
      <c r="I311" s="111">
        <f t="shared" si="193"/>
        <v>-0.547793348671826</v>
      </c>
      <c r="J311" s="30">
        <f t="shared" si="194"/>
        <v>-2619</v>
      </c>
      <c r="K311" s="145">
        <f>SUM(K312:K315)</f>
        <v>0</v>
      </c>
      <c r="L311" s="142">
        <f t="shared" si="195"/>
        <v>-1</v>
      </c>
      <c r="M311" s="143">
        <f t="shared" si="196"/>
        <v>-2162</v>
      </c>
      <c r="N311" s="171">
        <f>SUM(N312:N315)</f>
        <v>0</v>
      </c>
      <c r="O311" s="146">
        <f t="shared" si="184"/>
        <v>9.63538467324974</v>
      </c>
      <c r="P311" s="146"/>
      <c r="R311" s="171">
        <f aca="true" t="shared" si="201" ref="R311:Z311">SUM(R312:R315)</f>
        <v>0</v>
      </c>
      <c r="S311" s="171">
        <f t="shared" si="201"/>
        <v>0</v>
      </c>
      <c r="T311" s="171">
        <f t="shared" si="201"/>
        <v>0</v>
      </c>
      <c r="U311" s="162">
        <f>(T311*Q311)+T311</f>
        <v>0</v>
      </c>
      <c r="V311" s="171">
        <f t="shared" si="201"/>
        <v>0</v>
      </c>
      <c r="W311" s="171">
        <f t="shared" si="201"/>
        <v>0</v>
      </c>
      <c r="X311" s="171">
        <f t="shared" si="201"/>
        <v>0</v>
      </c>
      <c r="Y311" s="171">
        <f t="shared" si="201"/>
        <v>0</v>
      </c>
      <c r="Z311" s="171">
        <f t="shared" si="201"/>
        <v>0</v>
      </c>
    </row>
    <row r="312" spans="1:26" ht="12.75">
      <c r="A312" s="81" t="s">
        <v>969</v>
      </c>
      <c r="B312" s="97">
        <v>152</v>
      </c>
      <c r="C312" s="78"/>
      <c r="D312" s="111">
        <f t="shared" si="183"/>
        <v>30.45394736842105</v>
      </c>
      <c r="E312" s="30">
        <f t="shared" si="169"/>
        <v>4629</v>
      </c>
      <c r="F312" s="104">
        <v>4781</v>
      </c>
      <c r="G312" s="270">
        <f t="shared" si="159"/>
        <v>-1</v>
      </c>
      <c r="H312" s="267">
        <v>0</v>
      </c>
      <c r="I312" s="111">
        <f t="shared" si="193"/>
        <v>-1</v>
      </c>
      <c r="J312" s="30">
        <f t="shared" si="194"/>
        <v>-4781</v>
      </c>
      <c r="K312" s="153">
        <v>0</v>
      </c>
      <c r="L312" s="142" t="e">
        <f t="shared" si="195"/>
        <v>#DIV/0!</v>
      </c>
      <c r="M312" s="143">
        <f t="shared" si="196"/>
        <v>0</v>
      </c>
      <c r="N312" s="147"/>
      <c r="O312" s="146" t="e">
        <f t="shared" si="184"/>
        <v>#DIV/0!</v>
      </c>
      <c r="P312" s="146">
        <v>0.075</v>
      </c>
      <c r="Q312" s="178">
        <v>0.08</v>
      </c>
      <c r="R312" s="147">
        <f t="shared" si="197"/>
        <v>0</v>
      </c>
      <c r="S312" s="147">
        <f t="shared" si="170"/>
        <v>0</v>
      </c>
      <c r="T312" s="147">
        <f>(S312*P312)+S312</f>
        <v>0</v>
      </c>
      <c r="U312" s="162">
        <f>(T312*Q312)+T312</f>
        <v>0</v>
      </c>
      <c r="V312" s="147">
        <f aca="true" t="shared" si="202" ref="V312:W315">(U312*P312)+U312</f>
        <v>0</v>
      </c>
      <c r="W312" s="162">
        <f t="shared" si="202"/>
        <v>0</v>
      </c>
      <c r="X312" s="147">
        <f>(W312*P312)+W312</f>
        <v>0</v>
      </c>
      <c r="Y312" s="147">
        <f>(X312*P312)+X312</f>
        <v>0</v>
      </c>
      <c r="Z312" s="147">
        <f>(Y312*P312)+Y312</f>
        <v>0</v>
      </c>
    </row>
    <row r="313" spans="1:26" ht="12.75">
      <c r="A313" s="81" t="s">
        <v>970</v>
      </c>
      <c r="B313" s="30">
        <v>0</v>
      </c>
      <c r="C313" s="78"/>
      <c r="D313" s="111" t="e">
        <f t="shared" si="183"/>
        <v>#DIV/0!</v>
      </c>
      <c r="E313" s="30">
        <f t="shared" si="169"/>
        <v>0</v>
      </c>
      <c r="F313" s="104"/>
      <c r="G313" s="270" t="e">
        <f t="shared" si="159"/>
        <v>#DIV/0!</v>
      </c>
      <c r="H313" s="267"/>
      <c r="I313" s="111" t="e">
        <f t="shared" si="193"/>
        <v>#DIV/0!</v>
      </c>
      <c r="J313" s="30">
        <f t="shared" si="194"/>
        <v>0</v>
      </c>
      <c r="K313" s="153"/>
      <c r="L313" s="142" t="e">
        <f t="shared" si="195"/>
        <v>#DIV/0!</v>
      </c>
      <c r="M313" s="143">
        <f t="shared" si="196"/>
        <v>0</v>
      </c>
      <c r="N313" s="147"/>
      <c r="O313" s="146" t="e">
        <f t="shared" si="184"/>
        <v>#DIV/0!</v>
      </c>
      <c r="P313" s="146">
        <v>0.075</v>
      </c>
      <c r="Q313" s="178">
        <v>0.08</v>
      </c>
      <c r="R313" s="147">
        <f t="shared" si="197"/>
        <v>0</v>
      </c>
      <c r="S313" s="147">
        <f t="shared" si="170"/>
        <v>0</v>
      </c>
      <c r="T313" s="147">
        <f>(S313*P313)+S313</f>
        <v>0</v>
      </c>
      <c r="U313" s="162">
        <f>(T313*Q313)+T313</f>
        <v>0</v>
      </c>
      <c r="V313" s="147">
        <f t="shared" si="202"/>
        <v>0</v>
      </c>
      <c r="W313" s="162">
        <f t="shared" si="202"/>
        <v>0</v>
      </c>
      <c r="X313" s="147">
        <f>(W313*P313)+W313</f>
        <v>0</v>
      </c>
      <c r="Y313" s="147">
        <f>(X313*P313)+X313</f>
        <v>0</v>
      </c>
      <c r="Z313" s="147">
        <f>(Y313*P313)+Y313</f>
        <v>0</v>
      </c>
    </row>
    <row r="314" spans="1:26" ht="12.75">
      <c r="A314" s="81" t="s">
        <v>971</v>
      </c>
      <c r="B314" s="30">
        <v>0</v>
      </c>
      <c r="C314" s="78"/>
      <c r="D314" s="111" t="e">
        <f t="shared" si="183"/>
        <v>#DIV/0!</v>
      </c>
      <c r="E314" s="30">
        <f t="shared" si="169"/>
        <v>0</v>
      </c>
      <c r="F314" s="104"/>
      <c r="G314" s="270" t="e">
        <f t="shared" si="159"/>
        <v>#DIV/0!</v>
      </c>
      <c r="H314" s="267">
        <v>0</v>
      </c>
      <c r="I314" s="111" t="e">
        <f t="shared" si="193"/>
        <v>#DIV/0!</v>
      </c>
      <c r="J314" s="30">
        <f t="shared" si="194"/>
        <v>0</v>
      </c>
      <c r="K314" s="153">
        <v>0</v>
      </c>
      <c r="L314" s="142" t="e">
        <f t="shared" si="195"/>
        <v>#DIV/0!</v>
      </c>
      <c r="M314" s="143">
        <f t="shared" si="196"/>
        <v>0</v>
      </c>
      <c r="N314" s="147"/>
      <c r="O314" s="146" t="e">
        <f t="shared" si="184"/>
        <v>#DIV/0!</v>
      </c>
      <c r="P314" s="146">
        <v>0.075</v>
      </c>
      <c r="Q314" s="178">
        <v>0.08</v>
      </c>
      <c r="R314" s="147">
        <f t="shared" si="197"/>
        <v>0</v>
      </c>
      <c r="S314" s="147">
        <f t="shared" si="170"/>
        <v>0</v>
      </c>
      <c r="T314" s="147">
        <f>(S314*P314)+S314</f>
        <v>0</v>
      </c>
      <c r="U314" s="162">
        <f>(T314*Q314)+T314</f>
        <v>0</v>
      </c>
      <c r="V314" s="147">
        <f t="shared" si="202"/>
        <v>0</v>
      </c>
      <c r="W314" s="162">
        <f t="shared" si="202"/>
        <v>0</v>
      </c>
      <c r="X314" s="147">
        <f>(W314*P314)+W314</f>
        <v>0</v>
      </c>
      <c r="Y314" s="147">
        <f>(X314*P314)+X314</f>
        <v>0</v>
      </c>
      <c r="Z314" s="147">
        <f>(Y314*P314)+Y314</f>
        <v>0</v>
      </c>
    </row>
    <row r="315" spans="1:26" ht="12.75">
      <c r="A315" s="81" t="s">
        <v>972</v>
      </c>
      <c r="B315" s="30">
        <v>0</v>
      </c>
      <c r="C315" s="78"/>
      <c r="D315" s="111" t="e">
        <f t="shared" si="183"/>
        <v>#DIV/0!</v>
      </c>
      <c r="E315" s="30">
        <f t="shared" si="169"/>
        <v>0</v>
      </c>
      <c r="F315" s="104"/>
      <c r="G315" s="270" t="e">
        <f t="shared" si="159"/>
        <v>#DIV/0!</v>
      </c>
      <c r="H315" s="267">
        <v>0</v>
      </c>
      <c r="I315" s="111" t="e">
        <f t="shared" si="193"/>
        <v>#DIV/0!</v>
      </c>
      <c r="J315" s="30">
        <f t="shared" si="194"/>
        <v>0</v>
      </c>
      <c r="K315" s="153">
        <v>0</v>
      </c>
      <c r="L315" s="142" t="e">
        <f t="shared" si="195"/>
        <v>#DIV/0!</v>
      </c>
      <c r="M315" s="143">
        <f t="shared" si="196"/>
        <v>0</v>
      </c>
      <c r="N315" s="147"/>
      <c r="O315" s="146" t="e">
        <f t="shared" si="184"/>
        <v>#DIV/0!</v>
      </c>
      <c r="P315" s="146">
        <v>0.075</v>
      </c>
      <c r="Q315" s="178">
        <v>0.08</v>
      </c>
      <c r="R315" s="147">
        <f t="shared" si="197"/>
        <v>0</v>
      </c>
      <c r="S315" s="147">
        <f t="shared" si="170"/>
        <v>0</v>
      </c>
      <c r="T315" s="147">
        <f>(S315*P315)+S315</f>
        <v>0</v>
      </c>
      <c r="U315" s="162">
        <f>(T315*Q315)+T315</f>
        <v>0</v>
      </c>
      <c r="V315" s="147">
        <f t="shared" si="202"/>
        <v>0</v>
      </c>
      <c r="W315" s="162">
        <f t="shared" si="202"/>
        <v>0</v>
      </c>
      <c r="X315" s="147">
        <f>(W315*P315)+W315</f>
        <v>0</v>
      </c>
      <c r="Y315" s="147">
        <f>(X315*P315)+X315</f>
        <v>0</v>
      </c>
      <c r="Z315" s="147">
        <f>(Y315*P315)+Y315</f>
        <v>0</v>
      </c>
    </row>
    <row r="316" spans="1:26" ht="12.75">
      <c r="A316" s="86" t="s">
        <v>973</v>
      </c>
      <c r="B316" s="98">
        <v>77533</v>
      </c>
      <c r="C316" s="78"/>
      <c r="D316" s="111">
        <f t="shared" si="183"/>
        <v>-0.6549164355822682</v>
      </c>
      <c r="E316" s="30">
        <f t="shared" si="169"/>
        <v>-50777.636</v>
      </c>
      <c r="F316" s="105">
        <f>SUM(F317:F321)</f>
        <v>26755.364</v>
      </c>
      <c r="G316" s="270">
        <f t="shared" si="159"/>
        <v>-0.9252486342551721</v>
      </c>
      <c r="H316" s="267">
        <v>2000</v>
      </c>
      <c r="I316" s="111">
        <f t="shared" si="193"/>
        <v>-1</v>
      </c>
      <c r="J316" s="30">
        <f t="shared" si="194"/>
        <v>-26755.364</v>
      </c>
      <c r="K316" s="152">
        <v>2162</v>
      </c>
      <c r="L316" s="142" t="e">
        <f t="shared" si="195"/>
        <v>#DIV/0!</v>
      </c>
      <c r="M316" s="143">
        <f t="shared" si="196"/>
        <v>30000</v>
      </c>
      <c r="N316" s="171">
        <f>SUM(N317:N321)</f>
        <v>30000</v>
      </c>
      <c r="O316" s="146" t="e">
        <f t="shared" si="184"/>
        <v>#DIV/0!</v>
      </c>
      <c r="P316" s="146"/>
      <c r="R316" s="171">
        <f aca="true" t="shared" si="203" ref="R316:Z316">SUM(R317:R321)</f>
        <v>32250</v>
      </c>
      <c r="S316" s="171">
        <f t="shared" si="203"/>
        <v>34668.75</v>
      </c>
      <c r="T316" s="171">
        <f t="shared" si="203"/>
        <v>37442.25</v>
      </c>
      <c r="U316" s="171">
        <f t="shared" si="203"/>
        <v>40437.63</v>
      </c>
      <c r="V316" s="171">
        <f t="shared" si="203"/>
        <v>43672.6404</v>
      </c>
      <c r="W316" s="171">
        <f t="shared" si="203"/>
        <v>47166.451632</v>
      </c>
      <c r="X316" s="171">
        <f t="shared" si="203"/>
        <v>50939.76776256</v>
      </c>
      <c r="Y316" s="171">
        <f t="shared" si="203"/>
        <v>55014.9491835648</v>
      </c>
      <c r="Z316" s="171">
        <f t="shared" si="203"/>
        <v>59416.14511824999</v>
      </c>
    </row>
    <row r="317" spans="1:26" ht="12.75">
      <c r="A317" s="81" t="s">
        <v>974</v>
      </c>
      <c r="B317" s="97">
        <v>0</v>
      </c>
      <c r="C317" s="78"/>
      <c r="D317" s="111" t="e">
        <f t="shared" si="183"/>
        <v>#DIV/0!</v>
      </c>
      <c r="E317" s="30">
        <f t="shared" si="169"/>
        <v>0</v>
      </c>
      <c r="F317" s="104">
        <v>0</v>
      </c>
      <c r="G317" s="270" t="e">
        <f t="shared" si="159"/>
        <v>#DIV/0!</v>
      </c>
      <c r="H317" s="267">
        <v>0</v>
      </c>
      <c r="I317" s="111" t="e">
        <f t="shared" si="193"/>
        <v>#DIV/0!</v>
      </c>
      <c r="J317" s="30">
        <f t="shared" si="194"/>
        <v>0</v>
      </c>
      <c r="K317" s="153">
        <v>0</v>
      </c>
      <c r="L317" s="142" t="e">
        <f t="shared" si="195"/>
        <v>#DIV/0!</v>
      </c>
      <c r="M317" s="143">
        <f t="shared" si="196"/>
        <v>0</v>
      </c>
      <c r="N317" s="176"/>
      <c r="O317" s="146" t="e">
        <f t="shared" si="184"/>
        <v>#DIV/0!</v>
      </c>
      <c r="P317" s="146">
        <v>0.075</v>
      </c>
      <c r="Q317" s="178">
        <v>0.08</v>
      </c>
      <c r="R317" s="147">
        <f t="shared" si="197"/>
        <v>0</v>
      </c>
      <c r="S317" s="162">
        <f t="shared" si="170"/>
        <v>0</v>
      </c>
      <c r="T317" s="162">
        <f>(S317*Q317)+S317</f>
        <v>0</v>
      </c>
      <c r="U317" s="162">
        <f>(T317*Q317)+T317</f>
        <v>0</v>
      </c>
      <c r="V317" s="147">
        <f>(U317*Q317)+U317</f>
        <v>0</v>
      </c>
      <c r="W317" s="162">
        <f>(V317*Q317)+V317</f>
        <v>0</v>
      </c>
      <c r="X317" s="162">
        <f>(W317*Q317)+W317</f>
        <v>0</v>
      </c>
      <c r="Y317" s="162">
        <f>(X317*Q317)+X317</f>
        <v>0</v>
      </c>
      <c r="Z317" s="147">
        <f>(Y317*Q317)+Y317</f>
        <v>0</v>
      </c>
    </row>
    <row r="318" spans="1:26" ht="12.75">
      <c r="A318" s="81" t="s">
        <v>975</v>
      </c>
      <c r="B318" s="97">
        <v>58647</v>
      </c>
      <c r="C318" s="78"/>
      <c r="D318" s="111">
        <f t="shared" si="183"/>
        <v>-0.7012743362831858</v>
      </c>
      <c r="E318" s="30">
        <f t="shared" si="169"/>
        <v>-41127.636</v>
      </c>
      <c r="F318" s="104">
        <v>17519.364</v>
      </c>
      <c r="G318" s="270">
        <f t="shared" si="159"/>
        <v>-0.885840604716016</v>
      </c>
      <c r="H318" s="267">
        <v>2000</v>
      </c>
      <c r="I318" s="111">
        <f t="shared" si="193"/>
        <v>-1</v>
      </c>
      <c r="J318" s="30">
        <f t="shared" si="194"/>
        <v>-17519.364</v>
      </c>
      <c r="K318" s="153">
        <v>2162</v>
      </c>
      <c r="L318" s="142" t="e">
        <f t="shared" si="195"/>
        <v>#DIV/0!</v>
      </c>
      <c r="M318" s="143">
        <f t="shared" si="196"/>
        <v>30000</v>
      </c>
      <c r="N318" s="179">
        <v>30000</v>
      </c>
      <c r="O318" s="146" t="e">
        <f t="shared" si="184"/>
        <v>#DIV/0!</v>
      </c>
      <c r="P318" s="146">
        <v>0.075</v>
      </c>
      <c r="Q318" s="178">
        <v>0.08</v>
      </c>
      <c r="R318" s="162">
        <f t="shared" si="197"/>
        <v>32250</v>
      </c>
      <c r="S318" s="162">
        <f t="shared" si="170"/>
        <v>34668.75</v>
      </c>
      <c r="T318" s="162">
        <f>(S318*Q318)+S318</f>
        <v>37442.25</v>
      </c>
      <c r="U318" s="162">
        <f>(T318*Q318)+T318</f>
        <v>40437.63</v>
      </c>
      <c r="V318" s="147">
        <f>(U318*Q318)+U318</f>
        <v>43672.6404</v>
      </c>
      <c r="W318" s="162">
        <f>(V318*Q318)+V318</f>
        <v>47166.451632</v>
      </c>
      <c r="X318" s="162">
        <f>(W318*Q318)+W318</f>
        <v>50939.76776256</v>
      </c>
      <c r="Y318" s="162">
        <f>(X318*Q318)+X318</f>
        <v>55014.9491835648</v>
      </c>
      <c r="Z318" s="147">
        <f>(Y318*Q318)+Y318</f>
        <v>59416.14511824999</v>
      </c>
    </row>
    <row r="319" spans="1:26" ht="13.5" thickBot="1">
      <c r="A319" s="87" t="s">
        <v>976</v>
      </c>
      <c r="B319" s="97">
        <v>9148</v>
      </c>
      <c r="C319" s="78"/>
      <c r="D319" s="111">
        <f t="shared" si="183"/>
        <v>-0.4787931788369042</v>
      </c>
      <c r="E319" s="30">
        <f t="shared" si="169"/>
        <v>-4380</v>
      </c>
      <c r="F319" s="104">
        <v>4768</v>
      </c>
      <c r="G319" s="270">
        <f t="shared" si="159"/>
        <v>-1</v>
      </c>
      <c r="H319" s="267">
        <v>0</v>
      </c>
      <c r="I319" s="111" t="e">
        <f>#REF!/F319-1</f>
        <v>#REF!</v>
      </c>
      <c r="J319" s="30" t="e">
        <f>#REF!-F319</f>
        <v>#REF!</v>
      </c>
      <c r="K319" s="155">
        <v>0</v>
      </c>
      <c r="L319" s="142" t="e">
        <f>N319/#REF!-1</f>
        <v>#REF!</v>
      </c>
      <c r="M319" s="143" t="e">
        <f>N319-#REF!</f>
        <v>#REF!</v>
      </c>
      <c r="N319" s="176"/>
      <c r="O319" s="146" t="e">
        <f t="shared" si="184"/>
        <v>#REF!</v>
      </c>
      <c r="P319" s="146">
        <v>0.075</v>
      </c>
      <c r="Q319" s="178">
        <v>0.08</v>
      </c>
      <c r="R319" s="147">
        <f t="shared" si="197"/>
        <v>0</v>
      </c>
      <c r="S319" s="162">
        <f t="shared" si="170"/>
        <v>0</v>
      </c>
      <c r="T319" s="162">
        <f>(S319*Q319)+S319</f>
        <v>0</v>
      </c>
      <c r="U319" s="162">
        <f>(T319*Q319)+T319</f>
        <v>0</v>
      </c>
      <c r="V319" s="147">
        <f>(U319*Q319)+U319</f>
        <v>0</v>
      </c>
      <c r="W319" s="162">
        <f>(V319*Q319)+V319</f>
        <v>0</v>
      </c>
      <c r="X319" s="162">
        <f>(W319*Q319)+W319</f>
        <v>0</v>
      </c>
      <c r="Y319" s="162">
        <f>(X319*Q319)+X319</f>
        <v>0</v>
      </c>
      <c r="Z319" s="147">
        <f>(Y319*Q319)+Y319</f>
        <v>0</v>
      </c>
    </row>
    <row r="320" spans="1:26" ht="12.75">
      <c r="A320" s="81" t="s">
        <v>977</v>
      </c>
      <c r="B320" s="97">
        <v>9738</v>
      </c>
      <c r="C320" s="78"/>
      <c r="D320" s="111">
        <f t="shared" si="183"/>
        <v>-0.5411788868350791</v>
      </c>
      <c r="E320" s="30">
        <f t="shared" si="169"/>
        <v>-5270</v>
      </c>
      <c r="F320" s="104">
        <v>4468</v>
      </c>
      <c r="G320" s="270">
        <f t="shared" si="159"/>
        <v>-1</v>
      </c>
      <c r="H320" s="267">
        <v>0</v>
      </c>
      <c r="I320" s="111" t="e">
        <f>#REF!/F320-1</f>
        <v>#REF!</v>
      </c>
      <c r="J320" s="30" t="e">
        <f>#REF!-F320</f>
        <v>#REF!</v>
      </c>
      <c r="K320" s="153">
        <v>0</v>
      </c>
      <c r="L320" s="142" t="e">
        <f>N320/#REF!-1</f>
        <v>#REF!</v>
      </c>
      <c r="M320" s="143" t="e">
        <f>N320-#REF!</f>
        <v>#REF!</v>
      </c>
      <c r="N320" s="176"/>
      <c r="O320" s="146" t="e">
        <f t="shared" si="184"/>
        <v>#REF!</v>
      </c>
      <c r="P320" s="146">
        <v>0.075</v>
      </c>
      <c r="Q320" s="178">
        <v>0.08</v>
      </c>
      <c r="R320" s="147">
        <f t="shared" si="197"/>
        <v>0</v>
      </c>
      <c r="S320" s="162">
        <f t="shared" si="170"/>
        <v>0</v>
      </c>
      <c r="T320" s="162">
        <f>(S320*Q320)+S320</f>
        <v>0</v>
      </c>
      <c r="U320" s="162">
        <f>(T320*Q320)+T320</f>
        <v>0</v>
      </c>
      <c r="V320" s="147">
        <f>(U320*Q320)+U320</f>
        <v>0</v>
      </c>
      <c r="W320" s="162">
        <f>(V320*Q320)+V320</f>
        <v>0</v>
      </c>
      <c r="X320" s="162">
        <f>(W320*Q320)+W320</f>
        <v>0</v>
      </c>
      <c r="Y320" s="162">
        <f>(X320*Q320)+X320</f>
        <v>0</v>
      </c>
      <c r="Z320" s="147">
        <f>(Y320*Q320)+Y320</f>
        <v>0</v>
      </c>
    </row>
    <row r="321" spans="1:26" ht="12.75">
      <c r="A321" s="81" t="s">
        <v>978</v>
      </c>
      <c r="B321" s="30">
        <v>0</v>
      </c>
      <c r="C321" s="78"/>
      <c r="D321" s="111" t="e">
        <f t="shared" si="183"/>
        <v>#DIV/0!</v>
      </c>
      <c r="E321" s="30">
        <f t="shared" si="169"/>
        <v>0</v>
      </c>
      <c r="F321" s="104">
        <v>0</v>
      </c>
      <c r="G321" s="270" t="e">
        <f t="shared" si="159"/>
        <v>#DIV/0!</v>
      </c>
      <c r="H321" s="267">
        <v>0</v>
      </c>
      <c r="I321" s="111" t="e">
        <f>#REF!/F321-1</f>
        <v>#REF!</v>
      </c>
      <c r="J321" s="30" t="e">
        <f>#REF!-F321</f>
        <v>#REF!</v>
      </c>
      <c r="K321" s="153">
        <v>0</v>
      </c>
      <c r="L321" s="142" t="e">
        <f>N321/#REF!-1</f>
        <v>#REF!</v>
      </c>
      <c r="M321" s="143" t="e">
        <f>N321-#REF!</f>
        <v>#REF!</v>
      </c>
      <c r="N321" s="176"/>
      <c r="O321" s="146" t="e">
        <f t="shared" si="184"/>
        <v>#DIV/0!</v>
      </c>
      <c r="P321" s="146">
        <v>0.075</v>
      </c>
      <c r="Q321" s="178">
        <v>0.08</v>
      </c>
      <c r="R321" s="147">
        <f t="shared" si="197"/>
        <v>0</v>
      </c>
      <c r="S321" s="162">
        <f t="shared" si="170"/>
        <v>0</v>
      </c>
      <c r="T321" s="162">
        <f>(S321*Q321)+S321</f>
        <v>0</v>
      </c>
      <c r="U321" s="162">
        <f>(T321*Q321)+T321</f>
        <v>0</v>
      </c>
      <c r="V321" s="147">
        <f>(U321*Q321)+U321</f>
        <v>0</v>
      </c>
      <c r="W321" s="162">
        <f>(V321*Q321)+V321</f>
        <v>0</v>
      </c>
      <c r="X321" s="162">
        <f>(W321*Q321)+W321</f>
        <v>0</v>
      </c>
      <c r="Y321" s="162">
        <f>(X321*Q321)+X321</f>
        <v>0</v>
      </c>
      <c r="Z321" s="147">
        <f>(Y321*Q321)+Y321</f>
        <v>0</v>
      </c>
    </row>
    <row r="322" spans="1:26" ht="12.75">
      <c r="A322" s="86" t="s">
        <v>979</v>
      </c>
      <c r="B322" s="32">
        <v>0</v>
      </c>
      <c r="C322" s="78"/>
      <c r="D322" s="111" t="e">
        <f t="shared" si="183"/>
        <v>#DIV/0!</v>
      </c>
      <c r="E322" s="30">
        <f t="shared" si="169"/>
        <v>0</v>
      </c>
      <c r="F322" s="104"/>
      <c r="G322" s="270" t="e">
        <f t="shared" si="159"/>
        <v>#DIV/0!</v>
      </c>
      <c r="H322" s="79"/>
      <c r="I322" s="111" t="e">
        <f aca="true" t="shared" si="204" ref="I322:I353">K329/F322-1</f>
        <v>#DIV/0!</v>
      </c>
      <c r="J322" s="30">
        <f aca="true" t="shared" si="205" ref="J322:J353">K329-F322</f>
        <v>0</v>
      </c>
      <c r="K322" s="145">
        <f>SUM(K323:K325)</f>
        <v>0</v>
      </c>
      <c r="L322" s="142" t="e">
        <f aca="true" t="shared" si="206" ref="L322:L353">N322/K329-1</f>
        <v>#DIV/0!</v>
      </c>
      <c r="M322" s="143">
        <f aca="true" t="shared" si="207" ref="M322:M353">N322-K329</f>
        <v>0</v>
      </c>
      <c r="N322" s="171">
        <f>SUM(N323:N325)</f>
        <v>0</v>
      </c>
      <c r="O322" s="146" t="e">
        <f t="shared" si="184"/>
        <v>#DIV/0!</v>
      </c>
      <c r="P322" s="146"/>
      <c r="R322" s="189">
        <f aca="true" t="shared" si="208" ref="R322:Z322">SUM(R323:R325)</f>
        <v>0</v>
      </c>
      <c r="S322" s="171">
        <f t="shared" si="208"/>
        <v>0</v>
      </c>
      <c r="T322" s="171">
        <f t="shared" si="208"/>
        <v>0</v>
      </c>
      <c r="U322" s="171">
        <f t="shared" si="208"/>
        <v>0</v>
      </c>
      <c r="V322" s="171">
        <f t="shared" si="208"/>
        <v>0</v>
      </c>
      <c r="W322" s="171">
        <f t="shared" si="208"/>
        <v>0</v>
      </c>
      <c r="X322" s="171">
        <f t="shared" si="208"/>
        <v>0</v>
      </c>
      <c r="Y322" s="171">
        <f t="shared" si="208"/>
        <v>0</v>
      </c>
      <c r="Z322" s="171">
        <f t="shared" si="208"/>
        <v>0</v>
      </c>
    </row>
    <row r="323" spans="1:26" ht="12.75">
      <c r="A323" s="81" t="s">
        <v>980</v>
      </c>
      <c r="B323" s="30">
        <v>0</v>
      </c>
      <c r="C323" s="78"/>
      <c r="D323" s="111" t="e">
        <f t="shared" si="183"/>
        <v>#DIV/0!</v>
      </c>
      <c r="E323" s="30">
        <f t="shared" si="169"/>
        <v>0</v>
      </c>
      <c r="F323" s="104"/>
      <c r="G323" s="270" t="e">
        <f t="shared" si="159"/>
        <v>#DIV/0!</v>
      </c>
      <c r="H323" s="79"/>
      <c r="I323" s="111" t="e">
        <f t="shared" si="204"/>
        <v>#DIV/0!</v>
      </c>
      <c r="J323" s="30">
        <f t="shared" si="205"/>
        <v>0</v>
      </c>
      <c r="K323" s="153"/>
      <c r="L323" s="142" t="e">
        <f t="shared" si="206"/>
        <v>#DIV/0!</v>
      </c>
      <c r="M323" s="143">
        <f t="shared" si="207"/>
        <v>0</v>
      </c>
      <c r="N323" s="147"/>
      <c r="O323" s="146" t="e">
        <f t="shared" si="184"/>
        <v>#DIV/0!</v>
      </c>
      <c r="P323" s="146">
        <v>0.075</v>
      </c>
      <c r="Q323" s="178">
        <v>0.08</v>
      </c>
      <c r="R323" s="147">
        <f t="shared" si="197"/>
        <v>0</v>
      </c>
      <c r="S323" s="147">
        <f t="shared" si="170"/>
        <v>0</v>
      </c>
      <c r="T323" s="147">
        <f>(S323*P323)+S323</f>
        <v>0</v>
      </c>
      <c r="U323" s="147">
        <f aca="true" t="shared" si="209" ref="U323:V325">(T323*P323)+T323</f>
        <v>0</v>
      </c>
      <c r="V323" s="147">
        <f t="shared" si="209"/>
        <v>0</v>
      </c>
      <c r="W323" s="147">
        <f>(V323*P323)+V323</f>
        <v>0</v>
      </c>
      <c r="X323" s="147">
        <f>(W323*P323)+W323</f>
        <v>0</v>
      </c>
      <c r="Y323" s="147">
        <f>(X323*P323)+X323</f>
        <v>0</v>
      </c>
      <c r="Z323" s="147">
        <f>(Y323*P323)+Y323</f>
        <v>0</v>
      </c>
    </row>
    <row r="324" spans="1:26" ht="12.75">
      <c r="A324" s="81" t="s">
        <v>981</v>
      </c>
      <c r="B324" s="30">
        <v>0</v>
      </c>
      <c r="C324" s="78"/>
      <c r="D324" s="111" t="e">
        <f t="shared" si="183"/>
        <v>#DIV/0!</v>
      </c>
      <c r="E324" s="30">
        <f t="shared" si="169"/>
        <v>0</v>
      </c>
      <c r="F324" s="104"/>
      <c r="G324" s="270" t="e">
        <f aca="true" t="shared" si="210" ref="G324:G387">H324/F324-1</f>
        <v>#DIV/0!</v>
      </c>
      <c r="H324" s="79"/>
      <c r="I324" s="111" t="e">
        <f t="shared" si="204"/>
        <v>#DIV/0!</v>
      </c>
      <c r="J324" s="30">
        <f t="shared" si="205"/>
        <v>0</v>
      </c>
      <c r="K324" s="153"/>
      <c r="L324" s="142" t="e">
        <f t="shared" si="206"/>
        <v>#DIV/0!</v>
      </c>
      <c r="M324" s="143">
        <f t="shared" si="207"/>
        <v>0</v>
      </c>
      <c r="N324" s="147"/>
      <c r="O324" s="146" t="e">
        <f t="shared" si="184"/>
        <v>#DIV/0!</v>
      </c>
      <c r="P324" s="146">
        <v>0.075</v>
      </c>
      <c r="Q324" s="178">
        <v>0.08</v>
      </c>
      <c r="R324" s="147">
        <f t="shared" si="197"/>
        <v>0</v>
      </c>
      <c r="S324" s="147">
        <f t="shared" si="170"/>
        <v>0</v>
      </c>
      <c r="T324" s="147">
        <f>(S324*P324)+S324</f>
        <v>0</v>
      </c>
      <c r="U324" s="147">
        <f t="shared" si="209"/>
        <v>0</v>
      </c>
      <c r="V324" s="147">
        <f t="shared" si="209"/>
        <v>0</v>
      </c>
      <c r="W324" s="147">
        <f>(V324*P324)+V324</f>
        <v>0</v>
      </c>
      <c r="X324" s="147">
        <f>(W324*P324)+W324</f>
        <v>0</v>
      </c>
      <c r="Y324" s="147">
        <f>(X324*P324)+X324</f>
        <v>0</v>
      </c>
      <c r="Z324" s="147">
        <f>(Y324*P324)+Y324</f>
        <v>0</v>
      </c>
    </row>
    <row r="325" spans="1:26" ht="12.75">
      <c r="A325" s="81" t="s">
        <v>982</v>
      </c>
      <c r="B325" s="30">
        <v>0</v>
      </c>
      <c r="C325" s="78"/>
      <c r="D325" s="111" t="e">
        <f t="shared" si="183"/>
        <v>#DIV/0!</v>
      </c>
      <c r="E325" s="30">
        <f t="shared" si="169"/>
        <v>0</v>
      </c>
      <c r="F325" s="104"/>
      <c r="G325" s="270" t="e">
        <f t="shared" si="210"/>
        <v>#DIV/0!</v>
      </c>
      <c r="H325" s="79"/>
      <c r="I325" s="111" t="e">
        <f t="shared" si="204"/>
        <v>#DIV/0!</v>
      </c>
      <c r="J325" s="30">
        <f t="shared" si="205"/>
        <v>0</v>
      </c>
      <c r="K325" s="153">
        <v>0</v>
      </c>
      <c r="L325" s="142" t="e">
        <f t="shared" si="206"/>
        <v>#DIV/0!</v>
      </c>
      <c r="M325" s="143">
        <f t="shared" si="207"/>
        <v>0</v>
      </c>
      <c r="N325" s="147"/>
      <c r="O325" s="146" t="e">
        <f t="shared" si="184"/>
        <v>#DIV/0!</v>
      </c>
      <c r="P325" s="146">
        <v>0.075</v>
      </c>
      <c r="Q325" s="178">
        <v>0.08</v>
      </c>
      <c r="R325" s="147">
        <f t="shared" si="197"/>
        <v>0</v>
      </c>
      <c r="S325" s="147">
        <f t="shared" si="170"/>
        <v>0</v>
      </c>
      <c r="T325" s="147">
        <f>(S325*P325)+S325</f>
        <v>0</v>
      </c>
      <c r="U325" s="147">
        <f t="shared" si="209"/>
        <v>0</v>
      </c>
      <c r="V325" s="147">
        <f t="shared" si="209"/>
        <v>0</v>
      </c>
      <c r="W325" s="147">
        <f>(V325*P325)+V325</f>
        <v>0</v>
      </c>
      <c r="X325" s="147">
        <f>(W325*P325)+W325</f>
        <v>0</v>
      </c>
      <c r="Y325" s="147">
        <f>(X325*P325)+X325</f>
        <v>0</v>
      </c>
      <c r="Z325" s="147">
        <f>(Y325*P325)+Y325</f>
        <v>0</v>
      </c>
    </row>
    <row r="326" spans="1:26" ht="12.75">
      <c r="A326" s="86" t="s">
        <v>983</v>
      </c>
      <c r="B326" s="30">
        <v>0</v>
      </c>
      <c r="C326" s="78"/>
      <c r="D326" s="111" t="e">
        <f t="shared" si="183"/>
        <v>#DIV/0!</v>
      </c>
      <c r="E326" s="30">
        <f t="shared" si="169"/>
        <v>0</v>
      </c>
      <c r="F326" s="104"/>
      <c r="G326" s="270" t="e">
        <f t="shared" si="210"/>
        <v>#DIV/0!</v>
      </c>
      <c r="H326" s="79"/>
      <c r="I326" s="111" t="e">
        <f t="shared" si="204"/>
        <v>#DIV/0!</v>
      </c>
      <c r="J326" s="30">
        <f t="shared" si="205"/>
        <v>0</v>
      </c>
      <c r="K326" s="145">
        <f>SUM(K327:K329)</f>
        <v>0</v>
      </c>
      <c r="L326" s="142" t="e">
        <f t="shared" si="206"/>
        <v>#DIV/0!</v>
      </c>
      <c r="M326" s="143">
        <f t="shared" si="207"/>
        <v>0</v>
      </c>
      <c r="N326" s="171">
        <f>SUM(N327:N329)</f>
        <v>0</v>
      </c>
      <c r="O326" s="146" t="e">
        <f t="shared" si="184"/>
        <v>#DIV/0!</v>
      </c>
      <c r="P326" s="146"/>
      <c r="R326" s="189">
        <f aca="true" t="shared" si="211" ref="R326:Z326">SUM(R327:R329)</f>
        <v>0</v>
      </c>
      <c r="S326" s="171">
        <f t="shared" si="211"/>
        <v>0</v>
      </c>
      <c r="T326" s="171">
        <f t="shared" si="211"/>
        <v>0</v>
      </c>
      <c r="U326" s="171">
        <f t="shared" si="211"/>
        <v>0</v>
      </c>
      <c r="V326" s="171">
        <f t="shared" si="211"/>
        <v>0</v>
      </c>
      <c r="W326" s="171">
        <f t="shared" si="211"/>
        <v>0</v>
      </c>
      <c r="X326" s="171">
        <f t="shared" si="211"/>
        <v>0</v>
      </c>
      <c r="Y326" s="171">
        <f t="shared" si="211"/>
        <v>0</v>
      </c>
      <c r="Z326" s="171">
        <f t="shared" si="211"/>
        <v>0</v>
      </c>
    </row>
    <row r="327" spans="1:26" ht="12.75">
      <c r="A327" s="81" t="s">
        <v>984</v>
      </c>
      <c r="B327" s="30">
        <v>0</v>
      </c>
      <c r="C327" s="78"/>
      <c r="D327" s="111" t="e">
        <f t="shared" si="183"/>
        <v>#DIV/0!</v>
      </c>
      <c r="E327" s="30">
        <f t="shared" si="169"/>
        <v>0</v>
      </c>
      <c r="F327" s="104"/>
      <c r="G327" s="270" t="e">
        <f t="shared" si="210"/>
        <v>#DIV/0!</v>
      </c>
      <c r="H327" s="79"/>
      <c r="I327" s="111" t="e">
        <f t="shared" si="204"/>
        <v>#DIV/0!</v>
      </c>
      <c r="J327" s="30">
        <f t="shared" si="205"/>
        <v>357166</v>
      </c>
      <c r="L327" s="142">
        <f t="shared" si="206"/>
        <v>-1</v>
      </c>
      <c r="M327" s="143">
        <f t="shared" si="207"/>
        <v>-357166</v>
      </c>
      <c r="N327" s="147"/>
      <c r="O327" s="146" t="e">
        <f t="shared" si="184"/>
        <v>#DIV/0!</v>
      </c>
      <c r="P327" s="146">
        <v>0.075</v>
      </c>
      <c r="Q327" s="178">
        <v>0.08</v>
      </c>
      <c r="R327" s="147">
        <f t="shared" si="197"/>
        <v>0</v>
      </c>
      <c r="S327" s="147">
        <f t="shared" si="170"/>
        <v>0</v>
      </c>
      <c r="T327" s="147">
        <f>(S327*P327)+S327</f>
        <v>0</v>
      </c>
      <c r="U327" s="147">
        <f aca="true" t="shared" si="212" ref="U327:V329">(T327*P327)+T327</f>
        <v>0</v>
      </c>
      <c r="V327" s="147">
        <f t="shared" si="212"/>
        <v>0</v>
      </c>
      <c r="W327" s="147">
        <f>(V327*P327)+V327</f>
        <v>0</v>
      </c>
      <c r="X327" s="147">
        <f>(W327*P327)+W327</f>
        <v>0</v>
      </c>
      <c r="Y327" s="147">
        <f>(X327*P327)+X327</f>
        <v>0</v>
      </c>
      <c r="Z327" s="147">
        <f>(Y327*P327)+Y327</f>
        <v>0</v>
      </c>
    </row>
    <row r="328" spans="1:26" ht="12.75">
      <c r="A328" s="81" t="s">
        <v>985</v>
      </c>
      <c r="B328" s="30">
        <v>0</v>
      </c>
      <c r="C328" s="78"/>
      <c r="D328" s="111" t="e">
        <f t="shared" si="183"/>
        <v>#DIV/0!</v>
      </c>
      <c r="E328" s="30">
        <f t="shared" si="169"/>
        <v>0</v>
      </c>
      <c r="F328" s="104"/>
      <c r="G328" s="270" t="e">
        <f t="shared" si="210"/>
        <v>#DIV/0!</v>
      </c>
      <c r="H328" s="79"/>
      <c r="I328" s="111" t="e">
        <f t="shared" si="204"/>
        <v>#DIV/0!</v>
      </c>
      <c r="J328" s="30">
        <f t="shared" si="205"/>
        <v>302443</v>
      </c>
      <c r="L328" s="142">
        <f t="shared" si="206"/>
        <v>-1</v>
      </c>
      <c r="M328" s="143">
        <f t="shared" si="207"/>
        <v>-302443</v>
      </c>
      <c r="N328" s="147"/>
      <c r="O328" s="146" t="e">
        <f t="shared" si="184"/>
        <v>#DIV/0!</v>
      </c>
      <c r="P328" s="146">
        <v>0.075</v>
      </c>
      <c r="Q328" s="178">
        <v>0.08</v>
      </c>
      <c r="R328" s="147">
        <f t="shared" si="197"/>
        <v>0</v>
      </c>
      <c r="S328" s="147">
        <f t="shared" si="170"/>
        <v>0</v>
      </c>
      <c r="T328" s="147">
        <f>(S328*P328)+S328</f>
        <v>0</v>
      </c>
      <c r="U328" s="147">
        <f t="shared" si="212"/>
        <v>0</v>
      </c>
      <c r="V328" s="147">
        <f t="shared" si="212"/>
        <v>0</v>
      </c>
      <c r="W328" s="147">
        <f>(V328*P328)+V328</f>
        <v>0</v>
      </c>
      <c r="X328" s="147">
        <f>(W328*P328)+W328</f>
        <v>0</v>
      </c>
      <c r="Y328" s="147">
        <f>(X328*P328)+X328</f>
        <v>0</v>
      </c>
      <c r="Z328" s="147">
        <f>(Y328*P328)+Y328</f>
        <v>0</v>
      </c>
    </row>
    <row r="329" spans="1:26" ht="12.75">
      <c r="A329" s="81" t="s">
        <v>986</v>
      </c>
      <c r="B329" s="30">
        <v>0</v>
      </c>
      <c r="C329" s="78"/>
      <c r="D329" s="111" t="e">
        <f t="shared" si="183"/>
        <v>#DIV/0!</v>
      </c>
      <c r="E329" s="30">
        <f t="shared" si="169"/>
        <v>0</v>
      </c>
      <c r="F329" s="104"/>
      <c r="G329" s="270" t="e">
        <f t="shared" si="210"/>
        <v>#DIV/0!</v>
      </c>
      <c r="H329" s="79"/>
      <c r="I329" s="111" t="e">
        <f t="shared" si="204"/>
        <v>#DIV/0!</v>
      </c>
      <c r="J329" s="30">
        <f t="shared" si="205"/>
        <v>302443</v>
      </c>
      <c r="K329" s="153">
        <v>0</v>
      </c>
      <c r="L329" s="142">
        <f t="shared" si="206"/>
        <v>-1</v>
      </c>
      <c r="M329" s="143">
        <f t="shared" si="207"/>
        <v>-302443</v>
      </c>
      <c r="N329" s="147"/>
      <c r="O329" s="146" t="e">
        <f t="shared" si="184"/>
        <v>#DIV/0!</v>
      </c>
      <c r="P329" s="146">
        <v>0.075</v>
      </c>
      <c r="Q329" s="178">
        <v>0.08</v>
      </c>
      <c r="R329" s="147">
        <f t="shared" si="197"/>
        <v>0</v>
      </c>
      <c r="S329" s="147">
        <f t="shared" si="170"/>
        <v>0</v>
      </c>
      <c r="T329" s="147">
        <f>(S329*P329)+S329</f>
        <v>0</v>
      </c>
      <c r="U329" s="147">
        <f t="shared" si="212"/>
        <v>0</v>
      </c>
      <c r="V329" s="147">
        <f t="shared" si="212"/>
        <v>0</v>
      </c>
      <c r="W329" s="147">
        <f>(V329*P329)+V329</f>
        <v>0</v>
      </c>
      <c r="X329" s="147">
        <f>(W329*P329)+W329</f>
        <v>0</v>
      </c>
      <c r="Y329" s="147">
        <f>(X329*P329)+X329</f>
        <v>0</v>
      </c>
      <c r="Z329" s="147">
        <f>(Y329*P329)+Y329</f>
        <v>0</v>
      </c>
    </row>
    <row r="330" spans="1:26" ht="12.75">
      <c r="A330" s="86" t="s">
        <v>967</v>
      </c>
      <c r="B330" s="98">
        <v>5345</v>
      </c>
      <c r="C330" s="78"/>
      <c r="D330" s="111">
        <f t="shared" si="183"/>
        <v>-0.06470159027128153</v>
      </c>
      <c r="E330" s="30">
        <f t="shared" si="169"/>
        <v>-345.8299999999999</v>
      </c>
      <c r="F330" s="145">
        <f>SUM(F331)</f>
        <v>4999.17</v>
      </c>
      <c r="G330" s="270">
        <f t="shared" si="210"/>
        <v>-1</v>
      </c>
      <c r="H330" s="79"/>
      <c r="I330" s="111">
        <f t="shared" si="204"/>
        <v>9.946417105239469</v>
      </c>
      <c r="J330" s="30">
        <f t="shared" si="205"/>
        <v>49723.83</v>
      </c>
      <c r="K330" s="145">
        <f>SUM(K331)</f>
        <v>0</v>
      </c>
      <c r="L330" s="142">
        <f t="shared" si="206"/>
        <v>-1</v>
      </c>
      <c r="M330" s="143">
        <f t="shared" si="207"/>
        <v>-54723</v>
      </c>
      <c r="N330" s="171">
        <f>SUM(N331)</f>
        <v>0</v>
      </c>
      <c r="O330" s="146">
        <f t="shared" si="184"/>
        <v>2.960571838322729</v>
      </c>
      <c r="P330" s="146"/>
      <c r="R330" s="189">
        <f aca="true" t="shared" si="213" ref="R330:Z330">SUM(R331)</f>
        <v>0</v>
      </c>
      <c r="S330" s="171">
        <f t="shared" si="213"/>
        <v>0</v>
      </c>
      <c r="T330" s="171">
        <f t="shared" si="213"/>
        <v>0</v>
      </c>
      <c r="U330" s="171">
        <f t="shared" si="213"/>
        <v>0</v>
      </c>
      <c r="V330" s="171">
        <f t="shared" si="213"/>
        <v>0</v>
      </c>
      <c r="W330" s="171">
        <f t="shared" si="213"/>
        <v>0</v>
      </c>
      <c r="X330" s="171">
        <f t="shared" si="213"/>
        <v>0</v>
      </c>
      <c r="Y330" s="171">
        <f t="shared" si="213"/>
        <v>0</v>
      </c>
      <c r="Z330" s="171">
        <f t="shared" si="213"/>
        <v>0</v>
      </c>
    </row>
    <row r="331" spans="1:26" ht="12.75">
      <c r="A331" s="81" t="s">
        <v>987</v>
      </c>
      <c r="B331" s="97">
        <v>5345</v>
      </c>
      <c r="C331" s="78"/>
      <c r="D331" s="111">
        <f t="shared" si="183"/>
        <v>-0.06470159027128153</v>
      </c>
      <c r="E331" s="30">
        <f t="shared" si="169"/>
        <v>-345.8299999999999</v>
      </c>
      <c r="F331" s="104">
        <v>4999.17</v>
      </c>
      <c r="G331" s="270">
        <f t="shared" si="210"/>
        <v>-1</v>
      </c>
      <c r="H331" s="79"/>
      <c r="I331" s="111">
        <f t="shared" si="204"/>
        <v>-0.1796638241948163</v>
      </c>
      <c r="J331" s="30">
        <f t="shared" si="205"/>
        <v>-898.1700000000001</v>
      </c>
      <c r="K331" s="153">
        <v>0</v>
      </c>
      <c r="L331" s="142">
        <f t="shared" si="206"/>
        <v>-1</v>
      </c>
      <c r="M331" s="143">
        <f t="shared" si="207"/>
        <v>-4101</v>
      </c>
      <c r="N331" s="147"/>
      <c r="O331" s="146">
        <f t="shared" si="184"/>
        <v>-0.4147884714886993</v>
      </c>
      <c r="P331" s="146">
        <v>0.075</v>
      </c>
      <c r="Q331" s="178">
        <v>0.08</v>
      </c>
      <c r="R331" s="147">
        <f t="shared" si="197"/>
        <v>0</v>
      </c>
      <c r="S331" s="147">
        <f t="shared" si="170"/>
        <v>0</v>
      </c>
      <c r="T331" s="147">
        <f>(S331*P331)+S331</f>
        <v>0</v>
      </c>
      <c r="U331" s="147">
        <f>(T331*P331)+T331</f>
        <v>0</v>
      </c>
      <c r="V331" s="147">
        <f>(U331*Q331)+U331</f>
        <v>0</v>
      </c>
      <c r="W331" s="147">
        <f>(V331*P331)+V331</f>
        <v>0</v>
      </c>
      <c r="X331" s="147">
        <f>(W331*P331)+W331</f>
        <v>0</v>
      </c>
      <c r="Y331" s="147">
        <f>(X331*P331)+X331</f>
        <v>0</v>
      </c>
      <c r="Z331" s="147">
        <f>(Y331*P331)+Y331</f>
        <v>0</v>
      </c>
    </row>
    <row r="332" spans="1:26" ht="12.75">
      <c r="A332" s="86" t="s">
        <v>927</v>
      </c>
      <c r="B332" s="32">
        <v>0</v>
      </c>
      <c r="C332" s="78"/>
      <c r="D332" s="111" t="e">
        <f t="shared" si="183"/>
        <v>#DIV/0!</v>
      </c>
      <c r="E332" s="30">
        <f t="shared" si="169"/>
        <v>0</v>
      </c>
      <c r="F332" s="104"/>
      <c r="G332" s="270" t="e">
        <f t="shared" si="210"/>
        <v>#DIV/0!</v>
      </c>
      <c r="H332" s="79"/>
      <c r="I332" s="111" t="e">
        <f t="shared" si="204"/>
        <v>#DIV/0!</v>
      </c>
      <c r="J332" s="30">
        <f t="shared" si="205"/>
        <v>50622</v>
      </c>
      <c r="K332" s="145">
        <f>K333</f>
        <v>0</v>
      </c>
      <c r="L332" s="142">
        <f t="shared" si="206"/>
        <v>-1</v>
      </c>
      <c r="M332" s="143">
        <f t="shared" si="207"/>
        <v>-50622</v>
      </c>
      <c r="N332" s="171">
        <f>N333</f>
        <v>0</v>
      </c>
      <c r="O332" s="146" t="e">
        <f t="shared" si="184"/>
        <v>#DIV/0!</v>
      </c>
      <c r="P332" s="146"/>
      <c r="R332" s="189">
        <f aca="true" t="shared" si="214" ref="R332:Z332">R333</f>
        <v>0</v>
      </c>
      <c r="S332" s="171">
        <f t="shared" si="214"/>
        <v>0</v>
      </c>
      <c r="T332" s="171">
        <f t="shared" si="214"/>
        <v>0</v>
      </c>
      <c r="U332" s="171">
        <f t="shared" si="214"/>
        <v>0</v>
      </c>
      <c r="V332" s="171">
        <f t="shared" si="214"/>
        <v>0</v>
      </c>
      <c r="W332" s="171">
        <f t="shared" si="214"/>
        <v>0</v>
      </c>
      <c r="X332" s="171">
        <f t="shared" si="214"/>
        <v>0</v>
      </c>
      <c r="Y332" s="171">
        <f t="shared" si="214"/>
        <v>0</v>
      </c>
      <c r="Z332" s="171">
        <f t="shared" si="214"/>
        <v>0</v>
      </c>
    </row>
    <row r="333" spans="1:26" ht="12.75">
      <c r="A333" s="81" t="s">
        <v>988</v>
      </c>
      <c r="B333" s="30">
        <v>0</v>
      </c>
      <c r="C333" s="78"/>
      <c r="D333" s="111" t="e">
        <f t="shared" si="183"/>
        <v>#DIV/0!</v>
      </c>
      <c r="E333" s="30">
        <f aca="true" t="shared" si="215" ref="E333:E396">F333-B333</f>
        <v>0</v>
      </c>
      <c r="F333" s="104"/>
      <c r="G333" s="270" t="e">
        <f t="shared" si="210"/>
        <v>#DIV/0!</v>
      </c>
      <c r="H333" s="79"/>
      <c r="I333" s="111" t="e">
        <f t="shared" si="204"/>
        <v>#DIV/0!</v>
      </c>
      <c r="J333" s="30">
        <f t="shared" si="205"/>
        <v>112196</v>
      </c>
      <c r="K333" s="153">
        <v>0</v>
      </c>
      <c r="L333" s="142">
        <f t="shared" si="206"/>
        <v>-1</v>
      </c>
      <c r="M333" s="143">
        <f t="shared" si="207"/>
        <v>-112196</v>
      </c>
      <c r="N333" s="147"/>
      <c r="O333" s="146" t="e">
        <f t="shared" si="184"/>
        <v>#DIV/0!</v>
      </c>
      <c r="P333" s="146">
        <v>0.075</v>
      </c>
      <c r="Q333" s="178">
        <v>0.08</v>
      </c>
      <c r="R333" s="147">
        <f t="shared" si="197"/>
        <v>0</v>
      </c>
      <c r="S333" s="147">
        <f t="shared" si="170"/>
        <v>0</v>
      </c>
      <c r="T333" s="147">
        <f>(S333*P333)+S333</f>
        <v>0</v>
      </c>
      <c r="U333" s="147">
        <f>(T333*P333)+T333</f>
        <v>0</v>
      </c>
      <c r="V333" s="147">
        <f>(U333*Q333)+U333</f>
        <v>0</v>
      </c>
      <c r="W333" s="147">
        <f>(V333*P333)+V333</f>
        <v>0</v>
      </c>
      <c r="X333" s="147">
        <f>(W333*P333)+W333</f>
        <v>0</v>
      </c>
      <c r="Y333" s="147">
        <f>(X333*P333)+X333</f>
        <v>0</v>
      </c>
      <c r="Z333" s="147">
        <f>(Y333*P333)+Y333</f>
        <v>0</v>
      </c>
    </row>
    <row r="334" spans="1:26" ht="12.75">
      <c r="A334" s="86" t="s">
        <v>989</v>
      </c>
      <c r="B334" s="98">
        <v>46903.489</v>
      </c>
      <c r="C334" s="78"/>
      <c r="D334" s="111">
        <f t="shared" si="183"/>
        <v>5.877617718374852</v>
      </c>
      <c r="E334" s="30">
        <f t="shared" si="215"/>
        <v>275680.778</v>
      </c>
      <c r="F334" s="145">
        <f>F335+F337</f>
        <v>322584.267</v>
      </c>
      <c r="G334" s="270">
        <f t="shared" si="210"/>
        <v>-0.8547170311935889</v>
      </c>
      <c r="H334" s="267">
        <v>46866</v>
      </c>
      <c r="I334" s="111">
        <f t="shared" si="204"/>
        <v>-0.6521963050355459</v>
      </c>
      <c r="J334" s="30">
        <f t="shared" si="205"/>
        <v>-210388.267</v>
      </c>
      <c r="K334" s="145">
        <f>K335+K337</f>
        <v>357166</v>
      </c>
      <c r="L334" s="142">
        <f t="shared" si="206"/>
        <v>2.503591928410995</v>
      </c>
      <c r="M334" s="143">
        <f t="shared" si="207"/>
        <v>280893</v>
      </c>
      <c r="N334" s="171">
        <f>N335+N337</f>
        <v>393089</v>
      </c>
      <c r="O334" s="146">
        <f t="shared" si="184"/>
        <v>2.5763377805834335</v>
      </c>
      <c r="P334" s="146"/>
      <c r="R334" s="171">
        <f aca="true" t="shared" si="216" ref="R334:Z334">R335+R337</f>
        <v>422570.675</v>
      </c>
      <c r="S334" s="171">
        <f t="shared" si="216"/>
        <v>454263.47562499996</v>
      </c>
      <c r="T334" s="171">
        <f t="shared" si="216"/>
        <v>490604.553675</v>
      </c>
      <c r="U334" s="171">
        <f t="shared" si="216"/>
        <v>529852.9179690001</v>
      </c>
      <c r="V334" s="171">
        <f t="shared" si="216"/>
        <v>572241.15140652</v>
      </c>
      <c r="W334" s="171">
        <f t="shared" si="216"/>
        <v>618020.4435190415</v>
      </c>
      <c r="X334" s="171">
        <f t="shared" si="216"/>
        <v>667462.0790005648</v>
      </c>
      <c r="Y334" s="171">
        <f t="shared" si="216"/>
        <v>720859.04532061</v>
      </c>
      <c r="Z334" s="171">
        <f t="shared" si="216"/>
        <v>778527.7689462588</v>
      </c>
    </row>
    <row r="335" spans="1:26" ht="12.75">
      <c r="A335" s="86" t="s">
        <v>964</v>
      </c>
      <c r="B335" s="98">
        <v>46903.489</v>
      </c>
      <c r="C335" s="78"/>
      <c r="D335" s="111">
        <f t="shared" si="183"/>
        <v>-1</v>
      </c>
      <c r="E335" s="30">
        <f t="shared" si="215"/>
        <v>-46903.489</v>
      </c>
      <c r="F335" s="145">
        <f>F336</f>
        <v>0</v>
      </c>
      <c r="G335" s="270" t="e">
        <f t="shared" si="210"/>
        <v>#DIV/0!</v>
      </c>
      <c r="H335" s="267">
        <v>0</v>
      </c>
      <c r="I335" s="111" t="e">
        <f t="shared" si="204"/>
        <v>#DIV/0!</v>
      </c>
      <c r="J335" s="30">
        <f t="shared" si="205"/>
        <v>0</v>
      </c>
      <c r="K335" s="145">
        <f>K336</f>
        <v>302443</v>
      </c>
      <c r="L335" s="142" t="e">
        <f t="shared" si="206"/>
        <v>#DIV/0!</v>
      </c>
      <c r="M335" s="143">
        <f t="shared" si="207"/>
        <v>188089</v>
      </c>
      <c r="N335" s="171">
        <f>N336</f>
        <v>188089</v>
      </c>
      <c r="O335" s="146" t="e">
        <f t="shared" si="184"/>
        <v>#DIV/0!</v>
      </c>
      <c r="P335" s="146"/>
      <c r="R335" s="171">
        <f aca="true" t="shared" si="217" ref="R335:Z335">R336</f>
        <v>202195.675</v>
      </c>
      <c r="S335" s="171">
        <f t="shared" si="217"/>
        <v>217360.350625</v>
      </c>
      <c r="T335" s="171">
        <f t="shared" si="217"/>
        <v>234749.178675</v>
      </c>
      <c r="U335" s="171">
        <f t="shared" si="217"/>
        <v>253529.112969</v>
      </c>
      <c r="V335" s="171">
        <f t="shared" si="217"/>
        <v>273811.44200652</v>
      </c>
      <c r="W335" s="171">
        <f t="shared" si="217"/>
        <v>295716.3573670416</v>
      </c>
      <c r="X335" s="171">
        <f t="shared" si="217"/>
        <v>319373.6659564049</v>
      </c>
      <c r="Y335" s="171">
        <f t="shared" si="217"/>
        <v>344923.55923291727</v>
      </c>
      <c r="Z335" s="171">
        <f t="shared" si="217"/>
        <v>372517.4439715507</v>
      </c>
    </row>
    <row r="336" spans="1:26" ht="12.75">
      <c r="A336" s="81" t="s">
        <v>990</v>
      </c>
      <c r="B336" s="97">
        <v>46903.489</v>
      </c>
      <c r="C336" s="78"/>
      <c r="D336" s="111">
        <f t="shared" si="183"/>
        <v>-1</v>
      </c>
      <c r="E336" s="30">
        <f t="shared" si="215"/>
        <v>-46903.489</v>
      </c>
      <c r="F336" s="104">
        <v>0</v>
      </c>
      <c r="G336" s="270" t="e">
        <f t="shared" si="210"/>
        <v>#DIV/0!</v>
      </c>
      <c r="H336" s="267">
        <v>0</v>
      </c>
      <c r="I336" s="111" t="e">
        <f t="shared" si="204"/>
        <v>#DIV/0!</v>
      </c>
      <c r="J336" s="30">
        <f t="shared" si="205"/>
        <v>0</v>
      </c>
      <c r="K336" s="153">
        <v>302443</v>
      </c>
      <c r="L336" s="142" t="e">
        <f t="shared" si="206"/>
        <v>#DIV/0!</v>
      </c>
      <c r="M336" s="143">
        <f t="shared" si="207"/>
        <v>188089</v>
      </c>
      <c r="N336" s="179">
        <v>188089</v>
      </c>
      <c r="O336" s="146" t="e">
        <f t="shared" si="184"/>
        <v>#DIV/0!</v>
      </c>
      <c r="P336" s="146">
        <v>0.075</v>
      </c>
      <c r="Q336" s="178">
        <v>0.08</v>
      </c>
      <c r="R336" s="162">
        <f t="shared" si="197"/>
        <v>202195.675</v>
      </c>
      <c r="S336" s="162">
        <f t="shared" si="170"/>
        <v>217360.350625</v>
      </c>
      <c r="T336" s="162">
        <f>(S336*Q336)+S336</f>
        <v>234749.178675</v>
      </c>
      <c r="U336" s="162">
        <f>(T336*Q336)+T336</f>
        <v>253529.112969</v>
      </c>
      <c r="V336" s="147">
        <f>(U336*Q336)+U336</f>
        <v>273811.44200652</v>
      </c>
      <c r="W336" s="162">
        <f>(V336*Q336)+V336</f>
        <v>295716.3573670416</v>
      </c>
      <c r="X336" s="162">
        <f>(W336*Q336)+W336</f>
        <v>319373.6659564049</v>
      </c>
      <c r="Y336" s="162">
        <f>(X336*Q336)+X336</f>
        <v>344923.55923291727</v>
      </c>
      <c r="Z336" s="147">
        <f>(Y336*Q336)+Y336</f>
        <v>372517.4439715507</v>
      </c>
    </row>
    <row r="337" spans="1:26" ht="12.75">
      <c r="A337" s="86" t="s">
        <v>991</v>
      </c>
      <c r="B337" s="32">
        <v>0</v>
      </c>
      <c r="C337" s="78"/>
      <c r="D337" s="111" t="e">
        <f t="shared" si="183"/>
        <v>#DIV/0!</v>
      </c>
      <c r="E337" s="30">
        <f t="shared" si="215"/>
        <v>322584.267</v>
      </c>
      <c r="F337" s="145">
        <f>SUM(F338:F339)</f>
        <v>322584.267</v>
      </c>
      <c r="G337" s="270">
        <f t="shared" si="210"/>
        <v>-0.8547170311935889</v>
      </c>
      <c r="H337" s="267">
        <v>46866</v>
      </c>
      <c r="I337" s="111">
        <f t="shared" si="204"/>
        <v>-0.7797629727552708</v>
      </c>
      <c r="J337" s="30">
        <f t="shared" si="205"/>
        <v>-251539.267</v>
      </c>
      <c r="K337" s="145">
        <f>SUM(K338:K339)</f>
        <v>54723</v>
      </c>
      <c r="L337" s="142">
        <f t="shared" si="206"/>
        <v>1.8854951087339011</v>
      </c>
      <c r="M337" s="143">
        <f t="shared" si="207"/>
        <v>133955</v>
      </c>
      <c r="N337" s="171">
        <f>SUM(N338:N339)</f>
        <v>205000</v>
      </c>
      <c r="O337" s="146" t="e">
        <f t="shared" si="184"/>
        <v>#DIV/0!</v>
      </c>
      <c r="P337" s="146"/>
      <c r="R337" s="171">
        <f aca="true" t="shared" si="218" ref="R337:Z337">SUM(R338:R339)</f>
        <v>220375</v>
      </c>
      <c r="S337" s="171">
        <f t="shared" si="218"/>
        <v>236903.125</v>
      </c>
      <c r="T337" s="171">
        <f t="shared" si="218"/>
        <v>255855.375</v>
      </c>
      <c r="U337" s="171">
        <f t="shared" si="218"/>
        <v>276323.805</v>
      </c>
      <c r="V337" s="171">
        <f t="shared" si="218"/>
        <v>298429.7094</v>
      </c>
      <c r="W337" s="171">
        <f t="shared" si="218"/>
        <v>322304.08615199995</v>
      </c>
      <c r="X337" s="171">
        <f t="shared" si="218"/>
        <v>348088.41304415994</v>
      </c>
      <c r="Y337" s="171">
        <f t="shared" si="218"/>
        <v>375935.4860876928</v>
      </c>
      <c r="Z337" s="171">
        <f t="shared" si="218"/>
        <v>406010.3249747082</v>
      </c>
    </row>
    <row r="338" spans="1:26" ht="12.75">
      <c r="A338" s="81" t="s">
        <v>992</v>
      </c>
      <c r="B338" s="30">
        <v>0</v>
      </c>
      <c r="C338" s="78"/>
      <c r="D338" s="111" t="e">
        <f t="shared" si="183"/>
        <v>#DIV/0!</v>
      </c>
      <c r="E338" s="30">
        <f t="shared" si="215"/>
        <v>17647.894</v>
      </c>
      <c r="F338" s="104">
        <v>17647.894</v>
      </c>
      <c r="G338" s="270">
        <f t="shared" si="210"/>
        <v>-0.9184038616732398</v>
      </c>
      <c r="H338" s="267">
        <v>1440</v>
      </c>
      <c r="I338" s="111">
        <f t="shared" si="204"/>
        <v>3.025692810711578</v>
      </c>
      <c r="J338" s="30">
        <f t="shared" si="205"/>
        <v>53397.106</v>
      </c>
      <c r="K338" s="153">
        <v>4101</v>
      </c>
      <c r="L338" s="142">
        <f t="shared" si="206"/>
        <v>-0.9296220705186853</v>
      </c>
      <c r="M338" s="143">
        <f t="shared" si="207"/>
        <v>-66045</v>
      </c>
      <c r="N338" s="179">
        <f>5000</f>
        <v>5000</v>
      </c>
      <c r="O338" s="146" t="e">
        <f t="shared" si="184"/>
        <v>#DIV/0!</v>
      </c>
      <c r="P338" s="146">
        <v>0.075</v>
      </c>
      <c r="Q338" s="178">
        <v>0.08</v>
      </c>
      <c r="R338" s="162">
        <f t="shared" si="197"/>
        <v>5375</v>
      </c>
      <c r="S338" s="162">
        <f t="shared" si="170"/>
        <v>5778.125</v>
      </c>
      <c r="T338" s="162">
        <f>(S338*Q338)+S338</f>
        <v>6240.375</v>
      </c>
      <c r="U338" s="162">
        <f>(T338*Q338)+T338</f>
        <v>6739.605</v>
      </c>
      <c r="V338" s="147">
        <f>(U338*Q338)+U338</f>
        <v>7278.7734</v>
      </c>
      <c r="W338" s="162">
        <f>(V338*Q338)+V338</f>
        <v>7861.075272</v>
      </c>
      <c r="X338" s="162">
        <f>(W338*Q338)+W338</f>
        <v>8489.96129376</v>
      </c>
      <c r="Y338" s="162">
        <f>(X338*Q338)+X338</f>
        <v>9169.1581972608</v>
      </c>
      <c r="Z338" s="147">
        <f>(Y338*Q338)+Y338</f>
        <v>9902.690853041664</v>
      </c>
    </row>
    <row r="339" spans="1:26" ht="12.75">
      <c r="A339" s="81" t="s">
        <v>993</v>
      </c>
      <c r="B339" s="30">
        <v>0</v>
      </c>
      <c r="C339" s="78"/>
      <c r="D339" s="111" t="e">
        <f t="shared" si="183"/>
        <v>#DIV/0!</v>
      </c>
      <c r="E339" s="30">
        <f t="shared" si="215"/>
        <v>304936.373</v>
      </c>
      <c r="F339" s="104">
        <v>304936.373</v>
      </c>
      <c r="G339" s="270">
        <f t="shared" si="210"/>
        <v>-0.8510312182404032</v>
      </c>
      <c r="H339" s="267">
        <v>45426</v>
      </c>
      <c r="I339" s="111">
        <f t="shared" si="204"/>
        <v>-0.7739462848533324</v>
      </c>
      <c r="J339" s="30">
        <f t="shared" si="205"/>
        <v>-236004.37300000002</v>
      </c>
      <c r="K339" s="153">
        <v>50622</v>
      </c>
      <c r="L339" s="142">
        <f t="shared" si="206"/>
        <v>1.9014100853014564</v>
      </c>
      <c r="M339" s="143">
        <f t="shared" si="207"/>
        <v>131068</v>
      </c>
      <c r="N339" s="179">
        <v>200000</v>
      </c>
      <c r="O339" s="146" t="e">
        <f t="shared" si="184"/>
        <v>#DIV/0!</v>
      </c>
      <c r="P339" s="146">
        <v>0.075</v>
      </c>
      <c r="Q339" s="178">
        <v>0.08</v>
      </c>
      <c r="R339" s="162">
        <f t="shared" si="197"/>
        <v>215000</v>
      </c>
      <c r="S339" s="162">
        <f t="shared" si="170"/>
        <v>231125</v>
      </c>
      <c r="T339" s="162">
        <f>(S339*Q339)+S339</f>
        <v>249615</v>
      </c>
      <c r="U339" s="162">
        <f>(T339*Q339)+T339</f>
        <v>269584.2</v>
      </c>
      <c r="V339" s="147">
        <f>(U339*Q339)+U339</f>
        <v>291150.936</v>
      </c>
      <c r="W339" s="162">
        <f>(V339*Q339)+V339</f>
        <v>314443.01087999996</v>
      </c>
      <c r="X339" s="162">
        <f>(W339*Q339)+W339</f>
        <v>339598.45175039995</v>
      </c>
      <c r="Y339" s="162">
        <f>(X339*Q339)+X339</f>
        <v>366766.327890432</v>
      </c>
      <c r="Z339" s="147">
        <f>(Y339*Q339)+Y339</f>
        <v>396107.63412166655</v>
      </c>
    </row>
    <row r="340" spans="1:26" ht="12.75">
      <c r="A340" s="86" t="s">
        <v>994</v>
      </c>
      <c r="B340" s="98">
        <v>86713</v>
      </c>
      <c r="C340" s="78"/>
      <c r="D340" s="111">
        <f t="shared" si="183"/>
        <v>0.2134775869823442</v>
      </c>
      <c r="E340" s="30">
        <f t="shared" si="215"/>
        <v>18511.282000000007</v>
      </c>
      <c r="F340" s="145">
        <f>F341</f>
        <v>105224.282</v>
      </c>
      <c r="G340" s="270">
        <f t="shared" si="210"/>
        <v>0.048341674595603346</v>
      </c>
      <c r="H340" s="267">
        <v>110311</v>
      </c>
      <c r="I340" s="111">
        <f t="shared" si="204"/>
        <v>-0.9799190836959096</v>
      </c>
      <c r="J340" s="30">
        <f t="shared" si="205"/>
        <v>-103111.282</v>
      </c>
      <c r="K340" s="145">
        <f>K341</f>
        <v>112196</v>
      </c>
      <c r="L340" s="142">
        <f t="shared" si="206"/>
        <v>47.248935163274965</v>
      </c>
      <c r="M340" s="143">
        <f t="shared" si="207"/>
        <v>99837</v>
      </c>
      <c r="N340" s="171">
        <f>N341</f>
        <v>101950</v>
      </c>
      <c r="O340" s="146">
        <f t="shared" si="184"/>
        <v>15.494164555520465</v>
      </c>
      <c r="P340" s="146"/>
      <c r="R340" s="171">
        <f aca="true" t="shared" si="219" ref="R340:Z340">R341</f>
        <v>109596.25</v>
      </c>
      <c r="S340" s="171">
        <f t="shared" si="219"/>
        <v>117815.96875</v>
      </c>
      <c r="T340" s="171">
        <f t="shared" si="219"/>
        <v>127241.24625</v>
      </c>
      <c r="U340" s="171">
        <f t="shared" si="219"/>
        <v>137420.54595</v>
      </c>
      <c r="V340" s="171">
        <f t="shared" si="219"/>
        <v>148414.189626</v>
      </c>
      <c r="W340" s="171">
        <f t="shared" si="219"/>
        <v>160287.32479608</v>
      </c>
      <c r="X340" s="171">
        <f t="shared" si="219"/>
        <v>173110.3107797664</v>
      </c>
      <c r="Y340" s="171">
        <f t="shared" si="219"/>
        <v>186959.13564214774</v>
      </c>
      <c r="Z340" s="171">
        <f t="shared" si="219"/>
        <v>201915.86649351957</v>
      </c>
    </row>
    <row r="341" spans="1:26" ht="12.75">
      <c r="A341" s="81" t="s">
        <v>995</v>
      </c>
      <c r="B341" s="97">
        <v>86713</v>
      </c>
      <c r="C341" s="78"/>
      <c r="D341" s="111">
        <f t="shared" si="183"/>
        <v>0.2134775869823442</v>
      </c>
      <c r="E341" s="30">
        <f t="shared" si="215"/>
        <v>18511.282000000007</v>
      </c>
      <c r="F341" s="104">
        <v>105224.282</v>
      </c>
      <c r="G341" s="270">
        <f t="shared" si="210"/>
        <v>0.048341674595603346</v>
      </c>
      <c r="H341" s="267">
        <v>110311</v>
      </c>
      <c r="I341" s="111">
        <f t="shared" si="204"/>
        <v>26.178850220142152</v>
      </c>
      <c r="J341" s="30">
        <f t="shared" si="205"/>
        <v>2754650.718</v>
      </c>
      <c r="K341" s="153">
        <v>112196</v>
      </c>
      <c r="L341" s="142">
        <f t="shared" si="206"/>
        <v>-0.9643515887932165</v>
      </c>
      <c r="M341" s="143">
        <f t="shared" si="207"/>
        <v>-2757925</v>
      </c>
      <c r="N341" s="179">
        <v>101950</v>
      </c>
      <c r="O341" s="146">
        <f t="shared" si="184"/>
        <v>8.475992072777093</v>
      </c>
      <c r="P341" s="146">
        <v>0.075</v>
      </c>
      <c r="Q341" s="178">
        <v>0.08</v>
      </c>
      <c r="R341" s="162">
        <f t="shared" si="197"/>
        <v>109596.25</v>
      </c>
      <c r="S341" s="162">
        <f t="shared" si="170"/>
        <v>117815.96875</v>
      </c>
      <c r="T341" s="162">
        <f>(S341*Q341)+S341</f>
        <v>127241.24625</v>
      </c>
      <c r="U341" s="162">
        <f>(T341*Q341)+T341</f>
        <v>137420.54595</v>
      </c>
      <c r="V341" s="147">
        <f>(U341*Q341)+U341</f>
        <v>148414.189626</v>
      </c>
      <c r="W341" s="162">
        <f>(V341*Q341)+V341</f>
        <v>160287.32479608</v>
      </c>
      <c r="X341" s="162">
        <f>(W341*Q341)+W341</f>
        <v>173110.3107797664</v>
      </c>
      <c r="Y341" s="162">
        <f>(X341*Q341)+X341</f>
        <v>186959.13564214774</v>
      </c>
      <c r="Z341" s="147">
        <f>(Y341*Q341)+Y341</f>
        <v>201915.86649351957</v>
      </c>
    </row>
    <row r="342" spans="1:26" ht="12.75">
      <c r="A342" s="86" t="s">
        <v>481</v>
      </c>
      <c r="B342" s="98">
        <v>4731</v>
      </c>
      <c r="C342" s="78"/>
      <c r="D342" s="111">
        <f t="shared" si="183"/>
        <v>-1</v>
      </c>
      <c r="E342" s="30">
        <f t="shared" si="215"/>
        <v>-4731</v>
      </c>
      <c r="F342" s="104">
        <v>0</v>
      </c>
      <c r="G342" s="270" t="e">
        <f t="shared" si="210"/>
        <v>#DIV/0!</v>
      </c>
      <c r="H342" s="79"/>
      <c r="I342" s="111" t="e">
        <f t="shared" si="204"/>
        <v>#DIV/0!</v>
      </c>
      <c r="J342" s="30">
        <f t="shared" si="205"/>
        <v>2579218</v>
      </c>
      <c r="K342" s="145">
        <f>K343</f>
        <v>0</v>
      </c>
      <c r="L342" s="142">
        <f t="shared" si="206"/>
        <v>-0.9767204633342355</v>
      </c>
      <c r="M342" s="143">
        <f t="shared" si="207"/>
        <v>-2519175</v>
      </c>
      <c r="N342" s="171">
        <f>N343</f>
        <v>60043</v>
      </c>
      <c r="O342" s="146" t="e">
        <f t="shared" si="184"/>
        <v>#DIV/0!</v>
      </c>
      <c r="P342" s="146"/>
      <c r="R342" s="171">
        <f aca="true" t="shared" si="220" ref="R342:Z342">R343</f>
        <v>64546.225</v>
      </c>
      <c r="S342" s="171">
        <f t="shared" si="220"/>
        <v>69387.191875</v>
      </c>
      <c r="T342" s="171">
        <f t="shared" si="220"/>
        <v>74938.16722500001</v>
      </c>
      <c r="U342" s="171">
        <f t="shared" si="220"/>
        <v>80933.22060300001</v>
      </c>
      <c r="V342" s="171">
        <f t="shared" si="220"/>
        <v>87407.87825124</v>
      </c>
      <c r="W342" s="171">
        <f t="shared" si="220"/>
        <v>94400.50851133921</v>
      </c>
      <c r="X342" s="171">
        <f t="shared" si="220"/>
        <v>101952.54919224636</v>
      </c>
      <c r="Y342" s="171">
        <f t="shared" si="220"/>
        <v>110108.75312762607</v>
      </c>
      <c r="Z342" s="171">
        <f t="shared" si="220"/>
        <v>118917.45337783615</v>
      </c>
    </row>
    <row r="343" spans="1:26" ht="12.75">
      <c r="A343" s="81" t="s">
        <v>964</v>
      </c>
      <c r="B343" s="97">
        <v>4731</v>
      </c>
      <c r="C343" s="78"/>
      <c r="D343" s="111">
        <f t="shared" si="183"/>
        <v>-1</v>
      </c>
      <c r="E343" s="30">
        <f t="shared" si="215"/>
        <v>-4731</v>
      </c>
      <c r="F343" s="104">
        <v>0</v>
      </c>
      <c r="G343" s="270" t="e">
        <f t="shared" si="210"/>
        <v>#DIV/0!</v>
      </c>
      <c r="H343" s="79"/>
      <c r="I343" s="111" t="e">
        <f t="shared" si="204"/>
        <v>#DIV/0!</v>
      </c>
      <c r="J343" s="30">
        <f t="shared" si="205"/>
        <v>137435</v>
      </c>
      <c r="K343" s="153">
        <v>0</v>
      </c>
      <c r="L343" s="142">
        <f t="shared" si="206"/>
        <v>-0.5631171099065013</v>
      </c>
      <c r="M343" s="143">
        <f t="shared" si="207"/>
        <v>-77392</v>
      </c>
      <c r="N343" s="179">
        <v>60043</v>
      </c>
      <c r="O343" s="146" t="e">
        <f t="shared" si="184"/>
        <v>#DIV/0!</v>
      </c>
      <c r="P343" s="146">
        <v>0.075</v>
      </c>
      <c r="Q343" s="178">
        <v>0.08</v>
      </c>
      <c r="R343" s="162">
        <f t="shared" si="197"/>
        <v>64546.225</v>
      </c>
      <c r="S343" s="162">
        <f aca="true" t="shared" si="221" ref="S343:S402">(R343*P343)+R343</f>
        <v>69387.191875</v>
      </c>
      <c r="T343" s="162">
        <f>(S343*Q343)+S343</f>
        <v>74938.16722500001</v>
      </c>
      <c r="U343" s="162">
        <f>(T343*Q343)+T343</f>
        <v>80933.22060300001</v>
      </c>
      <c r="V343" s="147">
        <f>(U343*Q343)+U343</f>
        <v>87407.87825124</v>
      </c>
      <c r="W343" s="162">
        <f>(V343*Q343)+V343</f>
        <v>94400.50851133921</v>
      </c>
      <c r="X343" s="162">
        <f>(W343*Q343)+W343</f>
        <v>101952.54919224636</v>
      </c>
      <c r="Y343" s="162">
        <f>(X343*Q343)+X343</f>
        <v>110108.75312762607</v>
      </c>
      <c r="Z343" s="147">
        <f>(Y343*Q343)+Y343</f>
        <v>118917.45337783615</v>
      </c>
    </row>
    <row r="344" spans="1:26" ht="12.75">
      <c r="A344" s="86" t="s">
        <v>996</v>
      </c>
      <c r="B344" s="30">
        <v>0</v>
      </c>
      <c r="C344" s="78"/>
      <c r="D344" s="111" t="e">
        <f t="shared" si="183"/>
        <v>#DIV/0!</v>
      </c>
      <c r="E344" s="30">
        <f t="shared" si="215"/>
        <v>0</v>
      </c>
      <c r="F344" s="145">
        <f>F345</f>
        <v>0</v>
      </c>
      <c r="G344" s="270" t="e">
        <f t="shared" si="210"/>
        <v>#DIV/0!</v>
      </c>
      <c r="H344" s="79"/>
      <c r="I344" s="111" t="e">
        <f t="shared" si="204"/>
        <v>#DIV/0!</v>
      </c>
      <c r="J344" s="30">
        <f t="shared" si="205"/>
        <v>137435</v>
      </c>
      <c r="K344" s="145">
        <f>K345</f>
        <v>71045</v>
      </c>
      <c r="L344" s="142">
        <f t="shared" si="206"/>
        <v>-0.42796230945537894</v>
      </c>
      <c r="M344" s="143">
        <f t="shared" si="207"/>
        <v>-58817</v>
      </c>
      <c r="N344" s="171">
        <f>N345</f>
        <v>78618</v>
      </c>
      <c r="O344" s="146" t="e">
        <f t="shared" si="184"/>
        <v>#DIV/0!</v>
      </c>
      <c r="P344" s="146"/>
      <c r="R344" s="171">
        <f aca="true" t="shared" si="222" ref="R344:Z344">R345</f>
        <v>84514.35</v>
      </c>
      <c r="S344" s="171">
        <f t="shared" si="222"/>
        <v>90852.92625</v>
      </c>
      <c r="T344" s="171">
        <f t="shared" si="222"/>
        <v>98121.16035</v>
      </c>
      <c r="U344" s="171">
        <f t="shared" si="222"/>
        <v>105970.853178</v>
      </c>
      <c r="V344" s="171">
        <f t="shared" si="222"/>
        <v>114448.52143224</v>
      </c>
      <c r="W344" s="171">
        <f t="shared" si="222"/>
        <v>123604.4031468192</v>
      </c>
      <c r="X344" s="171">
        <f t="shared" si="222"/>
        <v>133492.75539856474</v>
      </c>
      <c r="Y344" s="171">
        <f t="shared" si="222"/>
        <v>144172.1758304499</v>
      </c>
      <c r="Z344" s="171">
        <f t="shared" si="222"/>
        <v>155705.9498968859</v>
      </c>
    </row>
    <row r="345" spans="1:26" ht="12.75">
      <c r="A345" s="86" t="s">
        <v>997</v>
      </c>
      <c r="B345" s="30">
        <v>0</v>
      </c>
      <c r="C345" s="78"/>
      <c r="D345" s="111" t="e">
        <f t="shared" si="183"/>
        <v>#DIV/0!</v>
      </c>
      <c r="E345" s="30">
        <f t="shared" si="215"/>
        <v>0</v>
      </c>
      <c r="F345" s="145">
        <f>SUM(F346:F347)</f>
        <v>0</v>
      </c>
      <c r="G345" s="270" t="e">
        <f t="shared" si="210"/>
        <v>#DIV/0!</v>
      </c>
      <c r="H345" s="79"/>
      <c r="I345" s="111" t="e">
        <f t="shared" si="204"/>
        <v>#DIV/0!</v>
      </c>
      <c r="J345" s="30">
        <f t="shared" si="205"/>
        <v>1061657</v>
      </c>
      <c r="K345" s="145">
        <f>SUM(K346:K347)</f>
        <v>71045</v>
      </c>
      <c r="L345" s="142">
        <f t="shared" si="206"/>
        <v>-0.925947834375886</v>
      </c>
      <c r="M345" s="143">
        <f t="shared" si="207"/>
        <v>-983039</v>
      </c>
      <c r="N345" s="171">
        <f>SUM(N346:N347)</f>
        <v>78618</v>
      </c>
      <c r="O345" s="146" t="e">
        <f t="shared" si="184"/>
        <v>#DIV/0!</v>
      </c>
      <c r="P345" s="146"/>
      <c r="R345" s="171">
        <f aca="true" t="shared" si="223" ref="R345:Z345">SUM(R346:R347)</f>
        <v>84514.35</v>
      </c>
      <c r="S345" s="171">
        <f t="shared" si="223"/>
        <v>90852.92625</v>
      </c>
      <c r="T345" s="171">
        <f t="shared" si="223"/>
        <v>98121.16035</v>
      </c>
      <c r="U345" s="171">
        <f t="shared" si="223"/>
        <v>105970.853178</v>
      </c>
      <c r="V345" s="171">
        <f t="shared" si="223"/>
        <v>114448.52143224</v>
      </c>
      <c r="W345" s="171">
        <f t="shared" si="223"/>
        <v>123604.4031468192</v>
      </c>
      <c r="X345" s="171">
        <f t="shared" si="223"/>
        <v>133492.75539856474</v>
      </c>
      <c r="Y345" s="171">
        <f t="shared" si="223"/>
        <v>144172.1758304499</v>
      </c>
      <c r="Z345" s="171">
        <f t="shared" si="223"/>
        <v>155705.9498968859</v>
      </c>
    </row>
    <row r="346" spans="1:26" ht="12.75">
      <c r="A346" s="81" t="s">
        <v>998</v>
      </c>
      <c r="B346" s="30">
        <v>0</v>
      </c>
      <c r="C346" s="78"/>
      <c r="D346" s="111" t="e">
        <f t="shared" si="183"/>
        <v>#DIV/0!</v>
      </c>
      <c r="E346" s="30">
        <f t="shared" si="215"/>
        <v>0</v>
      </c>
      <c r="F346" s="104">
        <v>0</v>
      </c>
      <c r="G346" s="270" t="e">
        <f t="shared" si="210"/>
        <v>#DIV/0!</v>
      </c>
      <c r="H346" s="79"/>
      <c r="I346" s="111" t="e">
        <f t="shared" si="204"/>
        <v>#DIV/0!</v>
      </c>
      <c r="J346" s="30">
        <f t="shared" si="205"/>
        <v>1027867</v>
      </c>
      <c r="K346" s="153">
        <v>68932</v>
      </c>
      <c r="L346" s="142">
        <f t="shared" si="206"/>
        <v>-0.9235134506701742</v>
      </c>
      <c r="M346" s="143">
        <f t="shared" si="207"/>
        <v>-949249</v>
      </c>
      <c r="N346" s="179">
        <v>78618</v>
      </c>
      <c r="O346" s="146" t="e">
        <f t="shared" si="184"/>
        <v>#DIV/0!</v>
      </c>
      <c r="P346" s="146">
        <v>0.075</v>
      </c>
      <c r="Q346" s="178">
        <v>0.08</v>
      </c>
      <c r="R346" s="162">
        <f t="shared" si="197"/>
        <v>84514.35</v>
      </c>
      <c r="S346" s="162">
        <f t="shared" si="221"/>
        <v>90852.92625</v>
      </c>
      <c r="T346" s="162">
        <f>(S346*Q346)+S346</f>
        <v>98121.16035</v>
      </c>
      <c r="U346" s="162">
        <f>(T346*Q346)+T346</f>
        <v>105970.853178</v>
      </c>
      <c r="V346" s="147">
        <f>(U346*Q346)+U346</f>
        <v>114448.52143224</v>
      </c>
      <c r="W346" s="162">
        <f>(V346*Q346)+V346</f>
        <v>123604.4031468192</v>
      </c>
      <c r="X346" s="162">
        <f>(W346*Q346)+W346</f>
        <v>133492.75539856474</v>
      </c>
      <c r="Y346" s="162">
        <f>(X346*Q346)+X346</f>
        <v>144172.1758304499</v>
      </c>
      <c r="Z346" s="147">
        <f>(Y346*Q346)+Y346</f>
        <v>155705.9498968859</v>
      </c>
    </row>
    <row r="347" spans="1:26" ht="12.75">
      <c r="A347" s="81" t="s">
        <v>999</v>
      </c>
      <c r="B347" s="30">
        <v>0</v>
      </c>
      <c r="C347" s="78"/>
      <c r="D347" s="111" t="e">
        <f aca="true" t="shared" si="224" ref="D347:D410">F347/B347-1</f>
        <v>#DIV/0!</v>
      </c>
      <c r="E347" s="30">
        <f t="shared" si="215"/>
        <v>0</v>
      </c>
      <c r="F347" s="104">
        <v>0</v>
      </c>
      <c r="G347" s="270" t="e">
        <f t="shared" si="210"/>
        <v>#DIV/0!</v>
      </c>
      <c r="H347" s="79"/>
      <c r="I347" s="111" t="e">
        <f t="shared" si="204"/>
        <v>#DIV/0!</v>
      </c>
      <c r="J347" s="30">
        <f t="shared" si="205"/>
        <v>33790</v>
      </c>
      <c r="K347" s="153">
        <v>2113</v>
      </c>
      <c r="L347" s="142">
        <f t="shared" si="206"/>
        <v>-1</v>
      </c>
      <c r="M347" s="143">
        <f t="shared" si="207"/>
        <v>-33790</v>
      </c>
      <c r="N347" s="147"/>
      <c r="O347" s="146" t="e">
        <f aca="true" t="shared" si="225" ref="O347:O410">(D347+I347+L347)/3</f>
        <v>#DIV/0!</v>
      </c>
      <c r="P347" s="146">
        <v>0.075</v>
      </c>
      <c r="Q347" s="178">
        <v>0.08</v>
      </c>
      <c r="R347" s="147">
        <f t="shared" si="197"/>
        <v>0</v>
      </c>
      <c r="S347" s="162">
        <f t="shared" si="221"/>
        <v>0</v>
      </c>
      <c r="T347" s="162">
        <f>(S347*Q347)+S347</f>
        <v>0</v>
      </c>
      <c r="U347" s="162">
        <f>(T347*Q347)+T347</f>
        <v>0</v>
      </c>
      <c r="V347" s="147">
        <f>(U347*Q347)+U347</f>
        <v>0</v>
      </c>
      <c r="W347" s="162">
        <f>(V347*Q347)+V347</f>
        <v>0</v>
      </c>
      <c r="X347" s="162">
        <f>(W347*Q347)+W347</f>
        <v>0</v>
      </c>
      <c r="Y347" s="162">
        <f>(X347*Q347)+X347</f>
        <v>0</v>
      </c>
      <c r="Z347" s="147">
        <f>(Y347*Q347)+Y347</f>
        <v>0</v>
      </c>
    </row>
    <row r="348" spans="1:26" ht="12.75">
      <c r="A348" s="86" t="s">
        <v>415</v>
      </c>
      <c r="B348" s="98">
        <v>1629619.1657625</v>
      </c>
      <c r="C348" s="78"/>
      <c r="D348" s="111">
        <f t="shared" si="224"/>
        <v>0.42799024452511136</v>
      </c>
      <c r="E348" s="30">
        <f t="shared" si="215"/>
        <v>697461.1052375003</v>
      </c>
      <c r="F348" s="173">
        <f>+F349+F400+F403</f>
        <v>2327080.271</v>
      </c>
      <c r="G348" s="270">
        <f t="shared" si="210"/>
        <v>0.0062691129230925124</v>
      </c>
      <c r="H348" s="267">
        <v>2341669</v>
      </c>
      <c r="I348" s="111">
        <f t="shared" si="204"/>
        <v>-0.8657721420732203</v>
      </c>
      <c r="J348" s="30">
        <f t="shared" si="205"/>
        <v>-2014721.2710000002</v>
      </c>
      <c r="K348" s="173">
        <f>+K349+K400+K403</f>
        <v>2859875</v>
      </c>
      <c r="L348" s="142">
        <f t="shared" si="206"/>
        <v>7.5703917607624565</v>
      </c>
      <c r="M348" s="143">
        <f t="shared" si="207"/>
        <v>2364680</v>
      </c>
      <c r="N348" s="173">
        <f>+N349+N400+N403</f>
        <v>2677039</v>
      </c>
      <c r="O348" s="146">
        <f t="shared" si="225"/>
        <v>2.377536621071449</v>
      </c>
      <c r="P348" s="146"/>
      <c r="R348" s="173">
        <f aca="true" t="shared" si="226" ref="R348:Z348">+R349+R400+R403</f>
        <v>2877816.925</v>
      </c>
      <c r="S348" s="173">
        <f t="shared" si="226"/>
        <v>3093653.1943750004</v>
      </c>
      <c r="T348" s="173">
        <f t="shared" si="226"/>
        <v>3341145.449925</v>
      </c>
      <c r="U348" s="173">
        <f t="shared" si="226"/>
        <v>3608437.085919</v>
      </c>
      <c r="V348" s="173">
        <f t="shared" si="226"/>
        <v>3896884.3215395715</v>
      </c>
      <c r="W348" s="173">
        <f t="shared" si="226"/>
        <v>4208635.067262735</v>
      </c>
      <c r="X348" s="173">
        <f t="shared" si="226"/>
        <v>4545325.872643754</v>
      </c>
      <c r="Y348" s="173">
        <f t="shared" si="226"/>
        <v>4908951.942455255</v>
      </c>
      <c r="Z348" s="173">
        <f t="shared" si="226"/>
        <v>5301668.097851676</v>
      </c>
    </row>
    <row r="349" spans="1:26" ht="12.75">
      <c r="A349" s="86" t="s">
        <v>356</v>
      </c>
      <c r="B349" s="98">
        <v>228311.04726249998</v>
      </c>
      <c r="C349" s="78"/>
      <c r="D349" s="111">
        <f t="shared" si="224"/>
        <v>8.937290806569958</v>
      </c>
      <c r="E349" s="30">
        <f t="shared" si="215"/>
        <v>2040482.2237375001</v>
      </c>
      <c r="F349" s="152">
        <f>+F350+F352+F355+F358+F371+F377+F384+F394</f>
        <v>2268793.271</v>
      </c>
      <c r="G349" s="270">
        <f t="shared" si="210"/>
        <v>-0.016354187697165568</v>
      </c>
      <c r="H349" s="267">
        <v>2231689</v>
      </c>
      <c r="I349" s="111">
        <f t="shared" si="204"/>
        <v>-0.9033790328973521</v>
      </c>
      <c r="J349" s="30">
        <f t="shared" si="205"/>
        <v>-2049580.2710000002</v>
      </c>
      <c r="K349" s="152">
        <f>+K350+K352+K355+K358+K371+K377+K384+K394</f>
        <v>2579218</v>
      </c>
      <c r="L349" s="142">
        <f t="shared" si="206"/>
        <v>9.513984115905535</v>
      </c>
      <c r="M349" s="143">
        <f t="shared" si="207"/>
        <v>2085589</v>
      </c>
      <c r="N349" s="173">
        <f>+N350+N352+N355+N358+N371+N377+N384+N394</f>
        <v>2304802</v>
      </c>
      <c r="O349" s="146">
        <f t="shared" si="225"/>
        <v>5.849298629859381</v>
      </c>
      <c r="P349" s="146"/>
      <c r="R349" s="173">
        <f aca="true" t="shared" si="227" ref="R349:Z349">+R350+R352+R355+R358+R371+R377+R384+R394</f>
        <v>2477662.15</v>
      </c>
      <c r="S349" s="173">
        <f t="shared" si="227"/>
        <v>2663486.8112500003</v>
      </c>
      <c r="T349" s="173">
        <f t="shared" si="227"/>
        <v>2876565.75615</v>
      </c>
      <c r="U349" s="173">
        <f t="shared" si="227"/>
        <v>3106691.016642</v>
      </c>
      <c r="V349" s="173">
        <f t="shared" si="227"/>
        <v>3354998.566720411</v>
      </c>
      <c r="W349" s="173">
        <f t="shared" si="227"/>
        <v>3623398.452058043</v>
      </c>
      <c r="X349" s="173">
        <f t="shared" si="227"/>
        <v>3913270.328222686</v>
      </c>
      <c r="Y349" s="173">
        <f t="shared" si="227"/>
        <v>4226331.954480502</v>
      </c>
      <c r="Z349" s="173">
        <f t="shared" si="227"/>
        <v>4564438.510838942</v>
      </c>
    </row>
    <row r="350" spans="1:26" ht="12.75">
      <c r="A350" s="86" t="s">
        <v>1000</v>
      </c>
      <c r="B350" s="30"/>
      <c r="C350" s="78"/>
      <c r="D350" s="111" t="e">
        <f t="shared" si="224"/>
        <v>#DIV/0!</v>
      </c>
      <c r="E350" s="30">
        <f t="shared" si="215"/>
        <v>104496.59</v>
      </c>
      <c r="F350" s="84">
        <f>F351</f>
        <v>104496.59</v>
      </c>
      <c r="G350" s="270">
        <f t="shared" si="210"/>
        <v>0.2995926469945096</v>
      </c>
      <c r="H350" s="267">
        <v>135803</v>
      </c>
      <c r="I350" s="111">
        <f t="shared" si="204"/>
        <v>-0.10862163061971686</v>
      </c>
      <c r="J350" s="30">
        <f t="shared" si="205"/>
        <v>-11350.589999999997</v>
      </c>
      <c r="K350" s="84">
        <f>K351</f>
        <v>137435</v>
      </c>
      <c r="L350" s="142">
        <f t="shared" si="206"/>
        <v>0.07307882249371955</v>
      </c>
      <c r="M350" s="143">
        <f t="shared" si="207"/>
        <v>6807</v>
      </c>
      <c r="N350" s="167">
        <f>N351</f>
        <v>99953</v>
      </c>
      <c r="O350" s="146" t="e">
        <f t="shared" si="225"/>
        <v>#DIV/0!</v>
      </c>
      <c r="P350" s="146"/>
      <c r="R350" s="167">
        <f aca="true" t="shared" si="228" ref="R350:Z350">R351</f>
        <v>107449.475</v>
      </c>
      <c r="S350" s="167">
        <f t="shared" si="228"/>
        <v>115508.18562500001</v>
      </c>
      <c r="T350" s="167">
        <f t="shared" si="228"/>
        <v>124748.84047500002</v>
      </c>
      <c r="U350" s="167">
        <f t="shared" si="228"/>
        <v>134728.74771300002</v>
      </c>
      <c r="V350" s="167">
        <f t="shared" si="228"/>
        <v>145507.04753004003</v>
      </c>
      <c r="W350" s="167">
        <f t="shared" si="228"/>
        <v>157147.61133244322</v>
      </c>
      <c r="X350" s="167">
        <f t="shared" si="228"/>
        <v>169719.42023903868</v>
      </c>
      <c r="Y350" s="167">
        <f t="shared" si="228"/>
        <v>183296.97385816177</v>
      </c>
      <c r="Z350" s="167">
        <f t="shared" si="228"/>
        <v>197960.73176681472</v>
      </c>
    </row>
    <row r="351" spans="1:26" ht="12.75">
      <c r="A351" s="81" t="s">
        <v>1001</v>
      </c>
      <c r="B351" s="30"/>
      <c r="C351" s="78"/>
      <c r="D351" s="111" t="e">
        <f t="shared" si="224"/>
        <v>#DIV/0!</v>
      </c>
      <c r="E351" s="30">
        <f t="shared" si="215"/>
        <v>104496.59</v>
      </c>
      <c r="F351" s="104">
        <v>104496.59</v>
      </c>
      <c r="G351" s="270">
        <f t="shared" si="210"/>
        <v>0.2995926469945096</v>
      </c>
      <c r="H351" s="267">
        <v>135803</v>
      </c>
      <c r="I351" s="111">
        <f t="shared" si="204"/>
        <v>5.895947513693987</v>
      </c>
      <c r="J351" s="30">
        <f t="shared" si="205"/>
        <v>616106.41</v>
      </c>
      <c r="K351" s="153">
        <v>137435</v>
      </c>
      <c r="L351" s="142">
        <f t="shared" si="206"/>
        <v>-0.8612925563729266</v>
      </c>
      <c r="M351" s="143">
        <f t="shared" si="207"/>
        <v>-620650</v>
      </c>
      <c r="N351" s="179">
        <v>99953</v>
      </c>
      <c r="O351" s="146" t="e">
        <f t="shared" si="225"/>
        <v>#DIV/0!</v>
      </c>
      <c r="P351" s="146">
        <v>0.075</v>
      </c>
      <c r="Q351" s="178">
        <v>0.08</v>
      </c>
      <c r="R351" s="162">
        <f t="shared" si="197"/>
        <v>107449.475</v>
      </c>
      <c r="S351" s="162">
        <f t="shared" si="221"/>
        <v>115508.18562500001</v>
      </c>
      <c r="T351" s="162">
        <f>(S351*Q351)+S351</f>
        <v>124748.84047500002</v>
      </c>
      <c r="U351" s="162">
        <f>(T351*Q351)+T351</f>
        <v>134728.74771300002</v>
      </c>
      <c r="V351" s="162">
        <f>(U351*Q351)+U351</f>
        <v>145507.04753004003</v>
      </c>
      <c r="W351" s="162">
        <f>(V351*Q351)+V351</f>
        <v>157147.61133244322</v>
      </c>
      <c r="X351" s="162">
        <f>(W351*Q351)+W351</f>
        <v>169719.42023903868</v>
      </c>
      <c r="Y351" s="162">
        <f>(X351*Q351)+X351</f>
        <v>183296.97385816177</v>
      </c>
      <c r="Z351" s="147">
        <f>(Y351*Q351)+Y351</f>
        <v>197960.73176681472</v>
      </c>
    </row>
    <row r="352" spans="1:26" ht="12.75">
      <c r="A352" s="86" t="s">
        <v>421</v>
      </c>
      <c r="B352" s="30"/>
      <c r="C352" s="78"/>
      <c r="D352" s="111" t="e">
        <f t="shared" si="224"/>
        <v>#DIV/0!</v>
      </c>
      <c r="E352" s="30">
        <f t="shared" si="215"/>
        <v>1048960.4679999999</v>
      </c>
      <c r="F352" s="84">
        <f>F353+F354</f>
        <v>1048960.4679999999</v>
      </c>
      <c r="G352" s="270">
        <f t="shared" si="210"/>
        <v>-0.00035984959539947514</v>
      </c>
      <c r="H352" s="267">
        <v>1048583</v>
      </c>
      <c r="I352" s="111">
        <f t="shared" si="204"/>
        <v>-0.3130313086307843</v>
      </c>
      <c r="J352" s="30">
        <f t="shared" si="205"/>
        <v>-328357.4679999999</v>
      </c>
      <c r="K352" s="84">
        <f>K353+K354</f>
        <v>1061657</v>
      </c>
      <c r="L352" s="142">
        <f t="shared" si="206"/>
        <v>0.5161108127498775</v>
      </c>
      <c r="M352" s="143">
        <f t="shared" si="207"/>
        <v>371911</v>
      </c>
      <c r="N352" s="167">
        <f>N353+N354</f>
        <v>1092514</v>
      </c>
      <c r="O352" s="146" t="e">
        <f t="shared" si="225"/>
        <v>#DIV/0!</v>
      </c>
      <c r="P352" s="146"/>
      <c r="R352" s="167">
        <f aca="true" t="shared" si="229" ref="R352:Z352">R353+R354</f>
        <v>1174452.55</v>
      </c>
      <c r="S352" s="167">
        <f t="shared" si="229"/>
        <v>1262536.4912500002</v>
      </c>
      <c r="T352" s="167">
        <f t="shared" si="229"/>
        <v>1363539.4105500001</v>
      </c>
      <c r="U352" s="167">
        <f t="shared" si="229"/>
        <v>1472622.5633940003</v>
      </c>
      <c r="V352" s="167">
        <f t="shared" si="229"/>
        <v>1590204.6372125703</v>
      </c>
      <c r="W352" s="167">
        <f t="shared" si="229"/>
        <v>1717421.0081895757</v>
      </c>
      <c r="X352" s="167">
        <f t="shared" si="229"/>
        <v>1854814.6888447418</v>
      </c>
      <c r="Y352" s="167">
        <f t="shared" si="229"/>
        <v>2003199.8639523215</v>
      </c>
      <c r="Z352" s="167">
        <f t="shared" si="229"/>
        <v>2163455.8530685073</v>
      </c>
    </row>
    <row r="353" spans="1:26" ht="12.75">
      <c r="A353" s="81" t="s">
        <v>1002</v>
      </c>
      <c r="B353" s="30"/>
      <c r="C353" s="78"/>
      <c r="D353" s="111" t="e">
        <f t="shared" si="224"/>
        <v>#DIV/0!</v>
      </c>
      <c r="E353" s="30">
        <f t="shared" si="215"/>
        <v>1016451.468</v>
      </c>
      <c r="F353" s="104">
        <v>1016451.468</v>
      </c>
      <c r="G353" s="270">
        <f t="shared" si="210"/>
        <v>-0.00017951471933930208</v>
      </c>
      <c r="H353" s="267">
        <v>1016269</v>
      </c>
      <c r="I353" s="111">
        <f t="shared" si="204"/>
        <v>-1</v>
      </c>
      <c r="J353" s="30">
        <f t="shared" si="205"/>
        <v>-1016451.468</v>
      </c>
      <c r="K353" s="153">
        <v>1027867</v>
      </c>
      <c r="L353" s="142" t="e">
        <f t="shared" si="206"/>
        <v>#DIV/0!</v>
      </c>
      <c r="M353" s="143">
        <f t="shared" si="207"/>
        <v>1058724</v>
      </c>
      <c r="N353" s="179">
        <v>1058724</v>
      </c>
      <c r="O353" s="146" t="e">
        <f t="shared" si="225"/>
        <v>#DIV/0!</v>
      </c>
      <c r="P353" s="146">
        <v>0.075</v>
      </c>
      <c r="Q353" s="178">
        <v>0.08</v>
      </c>
      <c r="R353" s="162">
        <f t="shared" si="197"/>
        <v>1138128.3</v>
      </c>
      <c r="S353" s="162">
        <f t="shared" si="221"/>
        <v>1223487.9225</v>
      </c>
      <c r="T353" s="162">
        <f>(S353*Q353)+S353</f>
        <v>1321366.9563000002</v>
      </c>
      <c r="U353" s="162">
        <f>(T353*Q353)+T353</f>
        <v>1427076.3128040002</v>
      </c>
      <c r="V353" s="162">
        <f>(U353*Q353)+U353</f>
        <v>1541242.4178283203</v>
      </c>
      <c r="W353" s="162">
        <f>(V353*Q353)+V353</f>
        <v>1664541.8112545859</v>
      </c>
      <c r="X353" s="162">
        <f>(W353*Q353)+W353</f>
        <v>1797705.1561549527</v>
      </c>
      <c r="Y353" s="162">
        <f>(X353*Q353)+X353</f>
        <v>1941521.568647349</v>
      </c>
      <c r="Z353" s="147">
        <f>(Y353*Q353)+Y353</f>
        <v>2096843.294139137</v>
      </c>
    </row>
    <row r="354" spans="1:26" ht="12.75">
      <c r="A354" s="81" t="s">
        <v>1003</v>
      </c>
      <c r="B354" s="30"/>
      <c r="C354" s="78"/>
      <c r="D354" s="111" t="e">
        <f t="shared" si="224"/>
        <v>#DIV/0!</v>
      </c>
      <c r="E354" s="30">
        <f t="shared" si="215"/>
        <v>32509</v>
      </c>
      <c r="F354" s="104">
        <v>32509</v>
      </c>
      <c r="G354" s="270">
        <f t="shared" si="210"/>
        <v>-0.005998338921529456</v>
      </c>
      <c r="H354" s="267">
        <v>32314</v>
      </c>
      <c r="I354" s="111">
        <f aca="true" t="shared" si="230" ref="I354:I385">K361/F354-1</f>
        <v>19.6160755483097</v>
      </c>
      <c r="J354" s="30">
        <f aca="true" t="shared" si="231" ref="J354:J385">K361-F354</f>
        <v>637699</v>
      </c>
      <c r="K354" s="153">
        <v>33790</v>
      </c>
      <c r="L354" s="142">
        <f aca="true" t="shared" si="232" ref="L354:L385">N354/K361-1</f>
        <v>-0.9495828160809778</v>
      </c>
      <c r="M354" s="143">
        <f aca="true" t="shared" si="233" ref="M354:M385">N354-K361</f>
        <v>-636418</v>
      </c>
      <c r="N354" s="179">
        <v>33790</v>
      </c>
      <c r="O354" s="146" t="e">
        <f t="shared" si="225"/>
        <v>#DIV/0!</v>
      </c>
      <c r="P354" s="146">
        <v>0.075</v>
      </c>
      <c r="Q354" s="178">
        <v>0.08</v>
      </c>
      <c r="R354" s="162">
        <f t="shared" si="197"/>
        <v>36324.25</v>
      </c>
      <c r="S354" s="162">
        <f t="shared" si="221"/>
        <v>39048.56875</v>
      </c>
      <c r="T354" s="162">
        <f>(S354*Q354)+S354</f>
        <v>42172.454249999995</v>
      </c>
      <c r="U354" s="162">
        <f>(T354*Q354)+T354</f>
        <v>45546.250589999996</v>
      </c>
      <c r="V354" s="162">
        <f>(U354*P354)+U354</f>
        <v>48962.21938425</v>
      </c>
      <c r="W354" s="162">
        <f>(V354*Q354)+V354</f>
        <v>52879.196934989995</v>
      </c>
      <c r="X354" s="162">
        <f>(W354*Q354)+W354</f>
        <v>57109.532689789194</v>
      </c>
      <c r="Y354" s="162">
        <f>(X354*Q354)+X354</f>
        <v>61678.29530497233</v>
      </c>
      <c r="Z354" s="147">
        <f>(Y354*Q354)+Y354</f>
        <v>66612.55892937012</v>
      </c>
    </row>
    <row r="355" spans="1:26" ht="12.75">
      <c r="A355" s="86" t="s">
        <v>427</v>
      </c>
      <c r="B355" s="30"/>
      <c r="C355" s="78"/>
      <c r="D355" s="111" t="e">
        <f t="shared" si="224"/>
        <v>#DIV/0!</v>
      </c>
      <c r="E355" s="30">
        <f t="shared" si="215"/>
        <v>325255.60099999997</v>
      </c>
      <c r="F355" s="145">
        <f>F356+F357</f>
        <v>325255.60099999997</v>
      </c>
      <c r="G355" s="270">
        <f t="shared" si="210"/>
        <v>-0.03965066538546702</v>
      </c>
      <c r="H355" s="267">
        <v>312359</v>
      </c>
      <c r="I355" s="111">
        <f t="shared" si="230"/>
        <v>-0.42335812381598303</v>
      </c>
      <c r="J355" s="30">
        <f t="shared" si="231"/>
        <v>-137699.60099999997</v>
      </c>
      <c r="K355" s="145">
        <f>K356+K357</f>
        <v>312359</v>
      </c>
      <c r="L355" s="142">
        <f t="shared" si="232"/>
        <v>0.6654172620444028</v>
      </c>
      <c r="M355" s="143">
        <f t="shared" si="233"/>
        <v>124803</v>
      </c>
      <c r="N355" s="171">
        <f>N356+N357</f>
        <v>312359</v>
      </c>
      <c r="O355" s="146" t="e">
        <f t="shared" si="225"/>
        <v>#DIV/0!</v>
      </c>
      <c r="P355" s="146"/>
      <c r="R355" s="171">
        <f aca="true" t="shared" si="234" ref="R355:Z355">R356+R357</f>
        <v>335785.925</v>
      </c>
      <c r="S355" s="171">
        <f t="shared" si="234"/>
        <v>360969.869375</v>
      </c>
      <c r="T355" s="171">
        <f t="shared" si="234"/>
        <v>389847.458925</v>
      </c>
      <c r="U355" s="171">
        <f t="shared" si="234"/>
        <v>421035.25563900004</v>
      </c>
      <c r="V355" s="171">
        <f t="shared" si="234"/>
        <v>454718.07609012</v>
      </c>
      <c r="W355" s="171">
        <f t="shared" si="234"/>
        <v>491095.52217732964</v>
      </c>
      <c r="X355" s="171">
        <f t="shared" si="234"/>
        <v>530383.1639515159</v>
      </c>
      <c r="Y355" s="171">
        <f t="shared" si="234"/>
        <v>572813.8170676373</v>
      </c>
      <c r="Z355" s="171">
        <f t="shared" si="234"/>
        <v>618638.9224330483</v>
      </c>
    </row>
    <row r="356" spans="1:26" ht="12.75">
      <c r="A356" s="81" t="s">
        <v>1004</v>
      </c>
      <c r="B356" s="30"/>
      <c r="C356" s="78"/>
      <c r="D356" s="111" t="e">
        <f t="shared" si="224"/>
        <v>#DIV/0!</v>
      </c>
      <c r="E356" s="30">
        <f t="shared" si="215"/>
        <v>320134.60099999997</v>
      </c>
      <c r="F356" s="107">
        <v>320134.60099999997</v>
      </c>
      <c r="G356" s="270">
        <f t="shared" si="210"/>
        <v>-0.31524740120172134</v>
      </c>
      <c r="H356" s="267">
        <v>219213</v>
      </c>
      <c r="I356" s="111">
        <f t="shared" si="230"/>
        <v>0.4271028454059549</v>
      </c>
      <c r="J356" s="30">
        <f t="shared" si="231"/>
        <v>136730.39900000003</v>
      </c>
      <c r="K356" s="153">
        <v>219213</v>
      </c>
      <c r="L356" s="142">
        <f t="shared" si="232"/>
        <v>-0.5201799218587548</v>
      </c>
      <c r="M356" s="143">
        <f t="shared" si="233"/>
        <v>-237652</v>
      </c>
      <c r="N356" s="179">
        <v>219213</v>
      </c>
      <c r="O356" s="146" t="e">
        <f t="shared" si="225"/>
        <v>#DIV/0!</v>
      </c>
      <c r="P356" s="146">
        <v>0.075</v>
      </c>
      <c r="Q356" s="178">
        <v>0.08</v>
      </c>
      <c r="R356" s="162">
        <f t="shared" si="197"/>
        <v>235653.975</v>
      </c>
      <c r="S356" s="162">
        <f t="shared" si="221"/>
        <v>253328.023125</v>
      </c>
      <c r="T356" s="162">
        <f>(S356*Q356)+S356</f>
        <v>273594.264975</v>
      </c>
      <c r="U356" s="162">
        <f>(T356*Q356)+T356</f>
        <v>295481.806173</v>
      </c>
      <c r="V356" s="162">
        <f>(U356*Q356)+U356</f>
        <v>319120.35066684004</v>
      </c>
      <c r="W356" s="162">
        <f>(V356*Q356)+V356</f>
        <v>344649.9787201872</v>
      </c>
      <c r="X356" s="162">
        <f>(W356*Q356)+W356</f>
        <v>372221.9770178022</v>
      </c>
      <c r="Y356" s="162">
        <f>(X356*Q356)+X356</f>
        <v>401999.7351792264</v>
      </c>
      <c r="Z356" s="147">
        <f>(Y356*Q356)+Y356</f>
        <v>434159.7139935645</v>
      </c>
    </row>
    <row r="357" spans="1:26" ht="12.75">
      <c r="A357" s="81" t="s">
        <v>1005</v>
      </c>
      <c r="B357" s="30"/>
      <c r="C357" s="78"/>
      <c r="D357" s="111" t="e">
        <f t="shared" si="224"/>
        <v>#DIV/0!</v>
      </c>
      <c r="E357" s="30">
        <f t="shared" si="215"/>
        <v>5121</v>
      </c>
      <c r="F357" s="104">
        <v>5121</v>
      </c>
      <c r="G357" s="270">
        <f t="shared" si="210"/>
        <v>17.189025580941223</v>
      </c>
      <c r="H357" s="267">
        <v>93146</v>
      </c>
      <c r="I357" s="111">
        <f t="shared" si="230"/>
        <v>4.035539933606717</v>
      </c>
      <c r="J357" s="30">
        <f t="shared" si="231"/>
        <v>20666</v>
      </c>
      <c r="K357" s="153">
        <v>93146</v>
      </c>
      <c r="L357" s="142">
        <f t="shared" si="232"/>
        <v>2.6121301430953583</v>
      </c>
      <c r="M357" s="143">
        <f t="shared" si="233"/>
        <v>67359</v>
      </c>
      <c r="N357" s="179">
        <v>93146</v>
      </c>
      <c r="O357" s="146" t="e">
        <f t="shared" si="225"/>
        <v>#DIV/0!</v>
      </c>
      <c r="P357" s="146">
        <v>0.075</v>
      </c>
      <c r="Q357" s="178">
        <v>0.08</v>
      </c>
      <c r="R357" s="162">
        <f t="shared" si="197"/>
        <v>100131.95</v>
      </c>
      <c r="S357" s="162">
        <f t="shared" si="221"/>
        <v>107641.84625</v>
      </c>
      <c r="T357" s="162">
        <f>(S357*Q357)+S357</f>
        <v>116253.19395</v>
      </c>
      <c r="U357" s="162">
        <f>(T357*Q357)+T357</f>
        <v>125553.449466</v>
      </c>
      <c r="V357" s="162">
        <f>(U357*Q357)+U357</f>
        <v>135597.72542328</v>
      </c>
      <c r="W357" s="162">
        <f>(V357*Q357)+V357</f>
        <v>146445.5434571424</v>
      </c>
      <c r="X357" s="162">
        <f>(W357*Q357)+W357</f>
        <v>158161.1869337138</v>
      </c>
      <c r="Y357" s="162">
        <f>(X357*Q357)+X357</f>
        <v>170814.0818884109</v>
      </c>
      <c r="Z357" s="147">
        <f>(Y357*Q357)+Y357</f>
        <v>184479.20843948377</v>
      </c>
    </row>
    <row r="358" spans="1:26" ht="12.75">
      <c r="A358" s="86" t="s">
        <v>1103</v>
      </c>
      <c r="B358" s="98">
        <v>667710.9475</v>
      </c>
      <c r="C358" s="78"/>
      <c r="D358" s="111">
        <f t="shared" si="224"/>
        <v>-0.09119415478806403</v>
      </c>
      <c r="E358" s="30">
        <f t="shared" si="215"/>
        <v>-60891.33549999993</v>
      </c>
      <c r="F358" s="152">
        <f>F359</f>
        <v>606819.6120000001</v>
      </c>
      <c r="G358" s="270">
        <f t="shared" si="210"/>
        <v>-0.1862276857327414</v>
      </c>
      <c r="H358" s="267">
        <v>493813</v>
      </c>
      <c r="I358" s="111">
        <f t="shared" si="230"/>
        <v>-1</v>
      </c>
      <c r="J358" s="30">
        <f t="shared" si="231"/>
        <v>-606819.6120000001</v>
      </c>
      <c r="K358" s="152">
        <f>K359</f>
        <v>720603</v>
      </c>
      <c r="L358" s="142" t="e">
        <f t="shared" si="232"/>
        <v>#DIV/0!</v>
      </c>
      <c r="M358" s="143">
        <f t="shared" si="233"/>
        <v>644892</v>
      </c>
      <c r="N358" s="173">
        <f>N359</f>
        <v>644892</v>
      </c>
      <c r="O358" s="146" t="e">
        <f t="shared" si="225"/>
        <v>#DIV/0!</v>
      </c>
      <c r="P358" s="146"/>
      <c r="R358" s="173">
        <f aca="true" t="shared" si="235" ref="R358:Z358">R359</f>
        <v>693258.8999999999</v>
      </c>
      <c r="S358" s="173">
        <f t="shared" si="235"/>
        <v>745253.3174999999</v>
      </c>
      <c r="T358" s="173">
        <f t="shared" si="235"/>
        <v>804873.5828999999</v>
      </c>
      <c r="U358" s="173">
        <f t="shared" si="235"/>
        <v>869263.4695319999</v>
      </c>
      <c r="V358" s="173">
        <f t="shared" si="235"/>
        <v>938804.54709456</v>
      </c>
      <c r="W358" s="173">
        <f t="shared" si="235"/>
        <v>1013908.9108621248</v>
      </c>
      <c r="X358" s="173">
        <f t="shared" si="235"/>
        <v>1095021.6237310946</v>
      </c>
      <c r="Y358" s="173">
        <f t="shared" si="235"/>
        <v>1182623.3536295823</v>
      </c>
      <c r="Z358" s="173">
        <f t="shared" si="235"/>
        <v>1277233.221919949</v>
      </c>
    </row>
    <row r="359" spans="1:26" ht="12.75">
      <c r="A359" s="86" t="s">
        <v>421</v>
      </c>
      <c r="B359" s="98">
        <v>532781.9475</v>
      </c>
      <c r="C359" s="78"/>
      <c r="D359" s="111">
        <f t="shared" si="224"/>
        <v>0.13896428895049984</v>
      </c>
      <c r="E359" s="30">
        <f t="shared" si="215"/>
        <v>74037.66450000007</v>
      </c>
      <c r="F359" s="152">
        <f>+F361+F366</f>
        <v>606819.6120000001</v>
      </c>
      <c r="G359" s="270">
        <f t="shared" si="210"/>
        <v>-0.1862276857327414</v>
      </c>
      <c r="H359" s="267">
        <v>493813</v>
      </c>
      <c r="I359" s="111">
        <f t="shared" si="230"/>
        <v>-0.9169522556564965</v>
      </c>
      <c r="J359" s="30">
        <f t="shared" si="231"/>
        <v>-556424.6120000001</v>
      </c>
      <c r="K359" s="152">
        <f>+K361+K366</f>
        <v>720603</v>
      </c>
      <c r="L359" s="142">
        <f t="shared" si="232"/>
        <v>11.796745708899692</v>
      </c>
      <c r="M359" s="143">
        <f t="shared" si="233"/>
        <v>594497</v>
      </c>
      <c r="N359" s="173">
        <f>+N361+N366</f>
        <v>644892</v>
      </c>
      <c r="O359" s="146">
        <f t="shared" si="225"/>
        <v>3.6729192473978984</v>
      </c>
      <c r="P359" s="146"/>
      <c r="R359" s="173">
        <f aca="true" t="shared" si="236" ref="R359:Z359">+R361+R366</f>
        <v>693258.8999999999</v>
      </c>
      <c r="S359" s="173">
        <f t="shared" si="236"/>
        <v>745253.3174999999</v>
      </c>
      <c r="T359" s="173">
        <f t="shared" si="236"/>
        <v>804873.5828999999</v>
      </c>
      <c r="U359" s="173">
        <f t="shared" si="236"/>
        <v>869263.4695319999</v>
      </c>
      <c r="V359" s="173">
        <f t="shared" si="236"/>
        <v>938804.54709456</v>
      </c>
      <c r="W359" s="173">
        <f t="shared" si="236"/>
        <v>1013908.9108621248</v>
      </c>
      <c r="X359" s="173">
        <f t="shared" si="236"/>
        <v>1095021.6237310946</v>
      </c>
      <c r="Y359" s="173">
        <f t="shared" si="236"/>
        <v>1182623.3536295823</v>
      </c>
      <c r="Z359" s="173">
        <f t="shared" si="236"/>
        <v>1277233.221919949</v>
      </c>
    </row>
    <row r="360" spans="1:26" ht="12.75">
      <c r="A360" s="81" t="s">
        <v>1006</v>
      </c>
      <c r="B360" s="97">
        <v>22521.6</v>
      </c>
      <c r="C360" s="78"/>
      <c r="D360" s="111">
        <f t="shared" si="224"/>
        <v>-1</v>
      </c>
      <c r="E360" s="30">
        <f t="shared" si="215"/>
        <v>-22521.6</v>
      </c>
      <c r="F360" s="104">
        <v>0</v>
      </c>
      <c r="G360" s="270" t="e">
        <f t="shared" si="210"/>
        <v>#DIV/0!</v>
      </c>
      <c r="H360" s="267">
        <v>0</v>
      </c>
      <c r="I360" s="111" t="e">
        <f t="shared" si="230"/>
        <v>#DIV/0!</v>
      </c>
      <c r="J360" s="30">
        <f t="shared" si="231"/>
        <v>8906</v>
      </c>
      <c r="K360" s="153">
        <v>0</v>
      </c>
      <c r="L360" s="142">
        <f t="shared" si="232"/>
        <v>-1</v>
      </c>
      <c r="M360" s="143">
        <f t="shared" si="233"/>
        <v>-8906</v>
      </c>
      <c r="N360" s="147"/>
      <c r="O360" s="146" t="e">
        <f t="shared" si="225"/>
        <v>#DIV/0!</v>
      </c>
      <c r="P360" s="146">
        <v>0.075</v>
      </c>
      <c r="Q360" s="178">
        <v>0.08</v>
      </c>
      <c r="R360" s="147">
        <f t="shared" si="197"/>
        <v>0</v>
      </c>
      <c r="S360" s="147">
        <f t="shared" si="221"/>
        <v>0</v>
      </c>
      <c r="T360" s="147">
        <f>(S360*P360)+S360</f>
        <v>0</v>
      </c>
      <c r="U360" s="162">
        <f>(T360*Q360)+T360</f>
        <v>0</v>
      </c>
      <c r="V360" s="147">
        <f>(U360*P360)+U360</f>
        <v>0</v>
      </c>
      <c r="W360" s="162">
        <f>(V360*Q360)+V360</f>
        <v>0</v>
      </c>
      <c r="X360" s="162">
        <f>(W360*P360)+W360</f>
        <v>0</v>
      </c>
      <c r="Y360" s="147">
        <f>(X360*P360)+X360</f>
        <v>0</v>
      </c>
      <c r="Z360" s="147">
        <f>(Y360*P360)+Y360</f>
        <v>0</v>
      </c>
    </row>
    <row r="361" spans="1:26" ht="12.75">
      <c r="A361" s="81" t="s">
        <v>434</v>
      </c>
      <c r="B361" s="97">
        <v>505496</v>
      </c>
      <c r="C361" s="78"/>
      <c r="D361" s="111">
        <f t="shared" si="224"/>
        <v>-0.19079763835915609</v>
      </c>
      <c r="E361" s="30">
        <f t="shared" si="215"/>
        <v>-96447.44299999997</v>
      </c>
      <c r="F361" s="152">
        <f>SUM(F362:F365)</f>
        <v>409048.55700000003</v>
      </c>
      <c r="G361" s="270">
        <f t="shared" si="210"/>
        <v>0.20350015071682548</v>
      </c>
      <c r="H361" s="267">
        <v>492290</v>
      </c>
      <c r="I361" s="111">
        <f t="shared" si="230"/>
        <v>-0.9962767256504464</v>
      </c>
      <c r="J361" s="30">
        <f t="shared" si="231"/>
        <v>-407525.55700000003</v>
      </c>
      <c r="K361" s="152">
        <f>SUM(K362:K365)</f>
        <v>670208</v>
      </c>
      <c r="L361" s="142">
        <f t="shared" si="232"/>
        <v>385.99868680236375</v>
      </c>
      <c r="M361" s="143">
        <f t="shared" si="233"/>
        <v>587876</v>
      </c>
      <c r="N361" s="173">
        <f>SUM(N362:N365)</f>
        <v>589399</v>
      </c>
      <c r="O361" s="146">
        <f t="shared" si="225"/>
        <v>128.27053747945138</v>
      </c>
      <c r="P361" s="146">
        <v>0.075</v>
      </c>
      <c r="Q361" s="178">
        <v>0.08</v>
      </c>
      <c r="R361" s="173">
        <f aca="true" t="shared" si="237" ref="R361:Z361">SUM(R362:R365)</f>
        <v>633603.9249999999</v>
      </c>
      <c r="S361" s="173">
        <f t="shared" si="237"/>
        <v>681124.2193749999</v>
      </c>
      <c r="T361" s="173">
        <f t="shared" si="237"/>
        <v>735614.1569249999</v>
      </c>
      <c r="U361" s="173">
        <f t="shared" si="237"/>
        <v>794463.2894789999</v>
      </c>
      <c r="V361" s="173">
        <f t="shared" si="237"/>
        <v>858020.35263732</v>
      </c>
      <c r="W361" s="173">
        <f t="shared" si="237"/>
        <v>926661.9808483055</v>
      </c>
      <c r="X361" s="173">
        <f t="shared" si="237"/>
        <v>1000794.9393161699</v>
      </c>
      <c r="Y361" s="173">
        <f t="shared" si="237"/>
        <v>1080858.5344614636</v>
      </c>
      <c r="Z361" s="173">
        <f t="shared" si="237"/>
        <v>1167327.2172183807</v>
      </c>
    </row>
    <row r="362" spans="1:26" ht="12.75">
      <c r="A362" s="81" t="s">
        <v>1007</v>
      </c>
      <c r="B362" s="30">
        <v>0</v>
      </c>
      <c r="C362" s="78"/>
      <c r="D362" s="111" t="e">
        <f t="shared" si="224"/>
        <v>#DIV/0!</v>
      </c>
      <c r="E362" s="30">
        <f t="shared" si="215"/>
        <v>0</v>
      </c>
      <c r="F362" s="104">
        <v>0</v>
      </c>
      <c r="G362" s="270" t="e">
        <f t="shared" si="210"/>
        <v>#DIV/0!</v>
      </c>
      <c r="H362" s="267">
        <v>14401</v>
      </c>
      <c r="I362" s="111" t="e">
        <f t="shared" si="230"/>
        <v>#DIV/0!</v>
      </c>
      <c r="J362" s="30">
        <f t="shared" si="231"/>
        <v>34379</v>
      </c>
      <c r="K362" s="153">
        <v>187556</v>
      </c>
      <c r="L362" s="142">
        <f t="shared" si="232"/>
        <v>-1</v>
      </c>
      <c r="M362" s="143">
        <f t="shared" si="233"/>
        <v>-34379</v>
      </c>
      <c r="N362" s="176">
        <v>0</v>
      </c>
      <c r="O362" s="146" t="e">
        <f t="shared" si="225"/>
        <v>#DIV/0!</v>
      </c>
      <c r="P362" s="146">
        <v>0.075</v>
      </c>
      <c r="Q362" s="178">
        <v>0.08</v>
      </c>
      <c r="R362" s="162">
        <f aca="true" t="shared" si="238" ref="R362:R422">(N362*P362)+N362</f>
        <v>0</v>
      </c>
      <c r="S362" s="162">
        <f t="shared" si="221"/>
        <v>0</v>
      </c>
      <c r="T362" s="162">
        <f>(S362*Q362)+S362</f>
        <v>0</v>
      </c>
      <c r="U362" s="162">
        <f>(T362*Q362)+T362</f>
        <v>0</v>
      </c>
      <c r="V362" s="162">
        <f>(U362*Q362)+U362</f>
        <v>0</v>
      </c>
      <c r="W362" s="162">
        <f>(V362*Q362)+V362</f>
        <v>0</v>
      </c>
      <c r="X362" s="162">
        <f>(W362*Q362)+W362</f>
        <v>0</v>
      </c>
      <c r="Y362" s="162">
        <f>(X362*Q362)+X362</f>
        <v>0</v>
      </c>
      <c r="Z362" s="147">
        <f>(Y362*Q362)+Y362</f>
        <v>0</v>
      </c>
    </row>
    <row r="363" spans="1:26" ht="13.5" thickBot="1">
      <c r="A363" s="87" t="s">
        <v>1008</v>
      </c>
      <c r="B363" s="30">
        <v>0</v>
      </c>
      <c r="C363" s="78"/>
      <c r="D363" s="111" t="e">
        <f t="shared" si="224"/>
        <v>#DIV/0!</v>
      </c>
      <c r="E363" s="30">
        <f t="shared" si="215"/>
        <v>409048.55700000003</v>
      </c>
      <c r="F363" s="104">
        <v>409048.55700000003</v>
      </c>
      <c r="G363" s="270">
        <f t="shared" si="210"/>
        <v>0.10525264608133056</v>
      </c>
      <c r="H363" s="267">
        <v>452102</v>
      </c>
      <c r="I363" s="111">
        <f t="shared" si="230"/>
        <v>-0.9863414748582037</v>
      </c>
      <c r="J363" s="30">
        <f t="shared" si="231"/>
        <v>-403461.55700000003</v>
      </c>
      <c r="K363" s="155">
        <v>456865</v>
      </c>
      <c r="L363" s="142">
        <f t="shared" si="232"/>
        <v>99.68659387864686</v>
      </c>
      <c r="M363" s="143">
        <f t="shared" si="233"/>
        <v>556949</v>
      </c>
      <c r="N363" s="179">
        <v>562536</v>
      </c>
      <c r="O363" s="146" t="e">
        <f t="shared" si="225"/>
        <v>#DIV/0!</v>
      </c>
      <c r="P363" s="146">
        <v>0.075</v>
      </c>
      <c r="Q363" s="178">
        <v>0.08</v>
      </c>
      <c r="R363" s="162">
        <f t="shared" si="238"/>
        <v>604726.2</v>
      </c>
      <c r="S363" s="162">
        <f t="shared" si="221"/>
        <v>650080.6649999999</v>
      </c>
      <c r="T363" s="162">
        <f>(S363*Q363)+S363</f>
        <v>702087.1181999999</v>
      </c>
      <c r="U363" s="162">
        <f>(T363*Q363)+T363</f>
        <v>758254.0876559999</v>
      </c>
      <c r="V363" s="162">
        <f>(U363*Q363)+U363</f>
        <v>818914.4146684799</v>
      </c>
      <c r="W363" s="162">
        <f>(V363*Q363)+V363</f>
        <v>884427.5678419584</v>
      </c>
      <c r="X363" s="162">
        <f>(W363*Q363)+W363</f>
        <v>955181.773269315</v>
      </c>
      <c r="Y363" s="162">
        <f>(X363*Q363)+X363</f>
        <v>1031596.3151308602</v>
      </c>
      <c r="Z363" s="147">
        <f>(Y363*Q363)+Y363</f>
        <v>1114124.020341329</v>
      </c>
    </row>
    <row r="364" spans="1:26" ht="12.75">
      <c r="A364" s="81" t="s">
        <v>1009</v>
      </c>
      <c r="B364" s="30">
        <v>0</v>
      </c>
      <c r="C364" s="78"/>
      <c r="D364" s="111" t="e">
        <f t="shared" si="224"/>
        <v>#DIV/0!</v>
      </c>
      <c r="E364" s="30">
        <f t="shared" si="215"/>
        <v>0</v>
      </c>
      <c r="F364" s="104">
        <v>0</v>
      </c>
      <c r="G364" s="270" t="e">
        <f t="shared" si="210"/>
        <v>#DIV/0!</v>
      </c>
      <c r="H364" s="267">
        <v>25787</v>
      </c>
      <c r="I364" s="111" t="e">
        <f t="shared" si="230"/>
        <v>#DIV/0!</v>
      </c>
      <c r="J364" s="30">
        <f t="shared" si="231"/>
        <v>123919</v>
      </c>
      <c r="K364" s="153">
        <v>25787</v>
      </c>
      <c r="L364" s="142">
        <f t="shared" si="232"/>
        <v>-0.7832212977832294</v>
      </c>
      <c r="M364" s="143">
        <f t="shared" si="233"/>
        <v>-97056</v>
      </c>
      <c r="N364" s="179">
        <v>26863</v>
      </c>
      <c r="O364" s="146" t="e">
        <f t="shared" si="225"/>
        <v>#DIV/0!</v>
      </c>
      <c r="P364" s="146">
        <v>0.075</v>
      </c>
      <c r="Q364" s="178">
        <v>0.08</v>
      </c>
      <c r="R364" s="162">
        <f t="shared" si="238"/>
        <v>28877.725</v>
      </c>
      <c r="S364" s="162">
        <f t="shared" si="221"/>
        <v>31043.554375</v>
      </c>
      <c r="T364" s="162">
        <f>(S364*Q364)+S364</f>
        <v>33527.038725</v>
      </c>
      <c r="U364" s="162">
        <f>(T364*Q364)+T364</f>
        <v>36209.201822999996</v>
      </c>
      <c r="V364" s="162">
        <f>(U364*Q364)+U364</f>
        <v>39105.93796883999</v>
      </c>
      <c r="W364" s="162">
        <f>(V364*Q364)+V364</f>
        <v>42234.41300634719</v>
      </c>
      <c r="X364" s="162">
        <f>(W364*Q364)+W364</f>
        <v>45613.16604685497</v>
      </c>
      <c r="Y364" s="162">
        <f>(X364*Q364)+X364</f>
        <v>49262.219330603366</v>
      </c>
      <c r="Z364" s="147">
        <f>(Y364*Q364)+Y364</f>
        <v>53203.19687705163</v>
      </c>
    </row>
    <row r="365" spans="1:26" ht="12.75">
      <c r="A365" s="81" t="s">
        <v>1010</v>
      </c>
      <c r="B365" s="97">
        <v>4764.3475</v>
      </c>
      <c r="C365" s="78"/>
      <c r="D365" s="111">
        <f t="shared" si="224"/>
        <v>-1</v>
      </c>
      <c r="E365" s="30">
        <f t="shared" si="215"/>
        <v>-4764.3475</v>
      </c>
      <c r="F365" s="104">
        <v>0</v>
      </c>
      <c r="G365" s="270" t="e">
        <f t="shared" si="210"/>
        <v>#DIV/0!</v>
      </c>
      <c r="H365" s="267">
        <v>0</v>
      </c>
      <c r="I365" s="111" t="e">
        <f t="shared" si="230"/>
        <v>#DIV/0!</v>
      </c>
      <c r="J365" s="30">
        <f t="shared" si="231"/>
        <v>8834</v>
      </c>
      <c r="K365" s="153">
        <v>0</v>
      </c>
      <c r="L365" s="142">
        <f t="shared" si="232"/>
        <v>-1</v>
      </c>
      <c r="M365" s="143">
        <f t="shared" si="233"/>
        <v>-8834</v>
      </c>
      <c r="N365" s="176"/>
      <c r="O365" s="146" t="e">
        <f t="shared" si="225"/>
        <v>#DIV/0!</v>
      </c>
      <c r="P365" s="146">
        <v>0.075</v>
      </c>
      <c r="Q365" s="178">
        <v>0.08</v>
      </c>
      <c r="R365" s="162">
        <f t="shared" si="238"/>
        <v>0</v>
      </c>
      <c r="S365" s="147">
        <f t="shared" si="221"/>
        <v>0</v>
      </c>
      <c r="T365" s="162">
        <f>(S365*Q365)+S365</f>
        <v>0</v>
      </c>
      <c r="U365" s="162">
        <f>(T365*Q365)+T365</f>
        <v>0</v>
      </c>
      <c r="V365" s="162">
        <f>(U365*Q365)+U365</f>
        <v>0</v>
      </c>
      <c r="W365" s="162">
        <f>(V365*Q365)+V365</f>
        <v>0</v>
      </c>
      <c r="X365" s="162">
        <f>(W365*Q365)+W365</f>
        <v>0</v>
      </c>
      <c r="Y365" s="162">
        <f>(X365*Q365)+X365</f>
        <v>0</v>
      </c>
      <c r="Z365" s="147">
        <f>(Y365*Q365)+Y365</f>
        <v>0</v>
      </c>
    </row>
    <row r="366" spans="1:26" ht="12.75">
      <c r="A366" s="86" t="s">
        <v>442</v>
      </c>
      <c r="B366" s="30"/>
      <c r="C366" s="78"/>
      <c r="D366" s="111" t="e">
        <f t="shared" si="224"/>
        <v>#DIV/0!</v>
      </c>
      <c r="E366" s="30">
        <f t="shared" si="215"/>
        <v>197771.05500000002</v>
      </c>
      <c r="F366" s="145">
        <f>SUM(F367:F370)</f>
        <v>197771.05500000002</v>
      </c>
      <c r="G366" s="270">
        <f t="shared" si="210"/>
        <v>-0.9922991764391407</v>
      </c>
      <c r="H366" s="267">
        <v>1523</v>
      </c>
      <c r="I366" s="111">
        <f t="shared" si="230"/>
        <v>-0.5588383750089214</v>
      </c>
      <c r="J366" s="30">
        <f t="shared" si="231"/>
        <v>-110522.05500000002</v>
      </c>
      <c r="K366" s="145">
        <f>SUM(K367:K370)</f>
        <v>50395</v>
      </c>
      <c r="L366" s="142">
        <f t="shared" si="232"/>
        <v>-0.3639697876193423</v>
      </c>
      <c r="M366" s="143">
        <f t="shared" si="233"/>
        <v>-31756</v>
      </c>
      <c r="N366" s="171">
        <f>SUM(N367:N370)</f>
        <v>55493</v>
      </c>
      <c r="O366" s="146" t="e">
        <f t="shared" si="225"/>
        <v>#DIV/0!</v>
      </c>
      <c r="P366" s="146"/>
      <c r="R366" s="171">
        <f aca="true" t="shared" si="239" ref="R366:Z366">SUM(R367:R370)</f>
        <v>59654.975</v>
      </c>
      <c r="S366" s="171">
        <f t="shared" si="239"/>
        <v>64129.098125</v>
      </c>
      <c r="T366" s="171">
        <f t="shared" si="239"/>
        <v>69259.425975</v>
      </c>
      <c r="U366" s="171">
        <f t="shared" si="239"/>
        <v>74800.180053</v>
      </c>
      <c r="V366" s="171">
        <f t="shared" si="239"/>
        <v>80784.19445724001</v>
      </c>
      <c r="W366" s="171">
        <f t="shared" si="239"/>
        <v>87246.9300138192</v>
      </c>
      <c r="X366" s="171">
        <f t="shared" si="239"/>
        <v>94226.68441492475</v>
      </c>
      <c r="Y366" s="171">
        <f t="shared" si="239"/>
        <v>101764.8191681187</v>
      </c>
      <c r="Z366" s="171">
        <f t="shared" si="239"/>
        <v>109906.00470156822</v>
      </c>
    </row>
    <row r="367" spans="1:26" ht="12.75">
      <c r="A367" s="81" t="s">
        <v>1011</v>
      </c>
      <c r="B367" s="30"/>
      <c r="C367" s="78"/>
      <c r="D367" s="111" t="e">
        <f t="shared" si="224"/>
        <v>#DIV/0!</v>
      </c>
      <c r="E367" s="30">
        <f t="shared" si="215"/>
        <v>0</v>
      </c>
      <c r="F367" s="104">
        <v>0</v>
      </c>
      <c r="G367" s="270" t="e">
        <f t="shared" si="210"/>
        <v>#DIV/0!</v>
      </c>
      <c r="H367" s="267">
        <v>0</v>
      </c>
      <c r="I367" s="111" t="e">
        <f t="shared" si="230"/>
        <v>#DIV/0!</v>
      </c>
      <c r="J367" s="30">
        <f t="shared" si="231"/>
        <v>83823</v>
      </c>
      <c r="K367" s="153">
        <v>8906</v>
      </c>
      <c r="L367" s="142">
        <f t="shared" si="232"/>
        <v>-0.8748195602638894</v>
      </c>
      <c r="M367" s="143">
        <f t="shared" si="233"/>
        <v>-73330</v>
      </c>
      <c r="N367" s="179">
        <v>10493</v>
      </c>
      <c r="O367" s="146" t="e">
        <f t="shared" si="225"/>
        <v>#DIV/0!</v>
      </c>
      <c r="P367" s="146">
        <v>0.075</v>
      </c>
      <c r="Q367" s="178">
        <v>0.08</v>
      </c>
      <c r="R367" s="162">
        <f t="shared" si="238"/>
        <v>11279.975</v>
      </c>
      <c r="S367" s="162">
        <f t="shared" si="221"/>
        <v>12125.973125</v>
      </c>
      <c r="T367" s="162">
        <f>(S367*Q367)+S367</f>
        <v>13096.050975</v>
      </c>
      <c r="U367" s="162">
        <f>(T367*Q367)+T367</f>
        <v>14143.735053</v>
      </c>
      <c r="V367" s="162">
        <f>(U367*Q367)+U367</f>
        <v>15275.23385724</v>
      </c>
      <c r="W367" s="162">
        <f>(V367*Q367)+V367</f>
        <v>16497.2525658192</v>
      </c>
      <c r="X367" s="162">
        <f>(W367*Q367)+W367</f>
        <v>17817.032771084734</v>
      </c>
      <c r="Y367" s="162">
        <f>(X367*Q367)+X367</f>
        <v>19242.395392771512</v>
      </c>
      <c r="Z367" s="147">
        <f>(Y367*Q367)+Y367</f>
        <v>20781.787024193232</v>
      </c>
    </row>
    <row r="368" spans="1:26" ht="12.75">
      <c r="A368" s="81" t="s">
        <v>1012</v>
      </c>
      <c r="B368" s="30"/>
      <c r="C368" s="78"/>
      <c r="D368" s="111" t="e">
        <f t="shared" si="224"/>
        <v>#DIV/0!</v>
      </c>
      <c r="E368" s="30">
        <f t="shared" si="215"/>
        <v>0</v>
      </c>
      <c r="F368" s="104">
        <v>0</v>
      </c>
      <c r="G368" s="270" t="e">
        <f t="shared" si="210"/>
        <v>#DIV/0!</v>
      </c>
      <c r="H368" s="267">
        <v>1523</v>
      </c>
      <c r="I368" s="111" t="e">
        <f t="shared" si="230"/>
        <v>#DIV/0!</v>
      </c>
      <c r="J368" s="30">
        <f t="shared" si="231"/>
        <v>3426</v>
      </c>
      <c r="K368" s="153">
        <v>1523</v>
      </c>
      <c r="L368" s="142">
        <f t="shared" si="232"/>
        <v>-0.5554582603619381</v>
      </c>
      <c r="M368" s="143">
        <f t="shared" si="233"/>
        <v>-1903</v>
      </c>
      <c r="N368" s="179">
        <v>1523</v>
      </c>
      <c r="O368" s="146" t="e">
        <f t="shared" si="225"/>
        <v>#DIV/0!</v>
      </c>
      <c r="P368" s="146">
        <v>0.075</v>
      </c>
      <c r="Q368" s="178">
        <v>0.08</v>
      </c>
      <c r="R368" s="162">
        <f t="shared" si="238"/>
        <v>1637.225</v>
      </c>
      <c r="S368" s="162">
        <f t="shared" si="221"/>
        <v>1760.0168749999998</v>
      </c>
      <c r="T368" s="162">
        <f>(S368*Q368)+S368</f>
        <v>1900.8182249999998</v>
      </c>
      <c r="U368" s="162">
        <f>(T368*Q368)+T368</f>
        <v>2052.8836829999996</v>
      </c>
      <c r="V368" s="162">
        <f>(U368*Q368)+U368</f>
        <v>2217.1143776399995</v>
      </c>
      <c r="W368" s="162">
        <f>(V368*Q368)+V368</f>
        <v>2394.4835278511996</v>
      </c>
      <c r="X368" s="162">
        <f>(W368*Q368)+W368</f>
        <v>2586.0422100792957</v>
      </c>
      <c r="Y368" s="162">
        <f>(X368*Q368)+X368</f>
        <v>2792.9255868856394</v>
      </c>
      <c r="Z368" s="147">
        <f>(Y368*Q368)+Y368</f>
        <v>3016.3596338364905</v>
      </c>
    </row>
    <row r="369" spans="1:26" ht="12.75">
      <c r="A369" s="81" t="s">
        <v>1013</v>
      </c>
      <c r="B369" s="30"/>
      <c r="C369" s="78"/>
      <c r="D369" s="111" t="e">
        <f t="shared" si="224"/>
        <v>#DIV/0!</v>
      </c>
      <c r="E369" s="30">
        <f t="shared" si="215"/>
        <v>197771.05500000002</v>
      </c>
      <c r="F369" s="104">
        <v>197771.05500000002</v>
      </c>
      <c r="G369" s="270">
        <f t="shared" si="210"/>
        <v>-1</v>
      </c>
      <c r="H369" s="267">
        <v>0</v>
      </c>
      <c r="I369" s="111">
        <f t="shared" si="230"/>
        <v>-0.8592513955088119</v>
      </c>
      <c r="J369" s="30">
        <f t="shared" si="231"/>
        <v>-169935.05500000002</v>
      </c>
      <c r="K369" s="153">
        <v>34379</v>
      </c>
      <c r="L369" s="142">
        <f t="shared" si="232"/>
        <v>0.3611869521482971</v>
      </c>
      <c r="M369" s="143">
        <f t="shared" si="233"/>
        <v>10054</v>
      </c>
      <c r="N369" s="179">
        <v>37890</v>
      </c>
      <c r="O369" s="146" t="e">
        <f t="shared" si="225"/>
        <v>#DIV/0!</v>
      </c>
      <c r="P369" s="146">
        <v>0.075</v>
      </c>
      <c r="Q369" s="178">
        <v>0.08</v>
      </c>
      <c r="R369" s="162">
        <f t="shared" si="238"/>
        <v>40731.75</v>
      </c>
      <c r="S369" s="162">
        <f t="shared" si="221"/>
        <v>43786.63125</v>
      </c>
      <c r="T369" s="162">
        <f>(S369*Q369)+S369</f>
        <v>47289.56175</v>
      </c>
      <c r="U369" s="162">
        <f>(T369*Q369)+T369</f>
        <v>51072.72669</v>
      </c>
      <c r="V369" s="162">
        <f>(U369*Q369)+U369</f>
        <v>55158.544825200006</v>
      </c>
      <c r="W369" s="162">
        <f>(V369*Q369)+V369</f>
        <v>59571.228411216005</v>
      </c>
      <c r="X369" s="162">
        <f>(W369*Q369)+W369</f>
        <v>64336.926684113285</v>
      </c>
      <c r="Y369" s="162">
        <f>(X369*Q369)+X369</f>
        <v>69483.88081884234</v>
      </c>
      <c r="Z369" s="147">
        <f>(Y369*Q369)+Y369</f>
        <v>75042.59128434974</v>
      </c>
    </row>
    <row r="370" spans="1:26" ht="12.75">
      <c r="A370" s="81" t="s">
        <v>1014</v>
      </c>
      <c r="B370" s="30"/>
      <c r="C370" s="78"/>
      <c r="D370" s="111" t="e">
        <f t="shared" si="224"/>
        <v>#DIV/0!</v>
      </c>
      <c r="E370" s="30">
        <f t="shared" si="215"/>
        <v>0</v>
      </c>
      <c r="F370" s="104">
        <v>0</v>
      </c>
      <c r="G370" s="270" t="e">
        <f t="shared" si="210"/>
        <v>#DIV/0!</v>
      </c>
      <c r="H370" s="267">
        <v>0</v>
      </c>
      <c r="I370" s="111" t="e">
        <f t="shared" si="230"/>
        <v>#DIV/0!</v>
      </c>
      <c r="J370" s="30">
        <f t="shared" si="231"/>
        <v>126099</v>
      </c>
      <c r="K370" s="153">
        <v>5587</v>
      </c>
      <c r="L370" s="142">
        <f t="shared" si="232"/>
        <v>-0.9556935423754351</v>
      </c>
      <c r="M370" s="143">
        <f t="shared" si="233"/>
        <v>-120512</v>
      </c>
      <c r="N370" s="179">
        <v>5587</v>
      </c>
      <c r="O370" s="146" t="e">
        <f t="shared" si="225"/>
        <v>#DIV/0!</v>
      </c>
      <c r="P370" s="146">
        <v>0.075</v>
      </c>
      <c r="Q370" s="178">
        <v>0.08</v>
      </c>
      <c r="R370" s="162">
        <f t="shared" si="238"/>
        <v>6006.025</v>
      </c>
      <c r="S370" s="162">
        <f t="shared" si="221"/>
        <v>6456.476874999999</v>
      </c>
      <c r="T370" s="162">
        <f>(S370*Q370)+S370</f>
        <v>6972.995024999999</v>
      </c>
      <c r="U370" s="162">
        <f>(T370*Q370)+T370</f>
        <v>7530.834626999999</v>
      </c>
      <c r="V370" s="162">
        <f>(U370*Q370)+U370</f>
        <v>8133.301397159999</v>
      </c>
      <c r="W370" s="162">
        <f>(V370*Q370)+V370</f>
        <v>8783.965508932799</v>
      </c>
      <c r="X370" s="162">
        <f>(W370*Q370)+W370</f>
        <v>9486.682749647423</v>
      </c>
      <c r="Y370" s="162">
        <f>(X370*Q370)+X370</f>
        <v>10245.617369619216</v>
      </c>
      <c r="Z370" s="147">
        <f>(Y370*Q370)+Y370</f>
        <v>11065.266759188753</v>
      </c>
    </row>
    <row r="371" spans="1:26" ht="12.75">
      <c r="A371" s="86" t="s">
        <v>1015</v>
      </c>
      <c r="B371" s="30"/>
      <c r="C371" s="78"/>
      <c r="D371" s="111" t="e">
        <f t="shared" si="224"/>
        <v>#DIV/0!</v>
      </c>
      <c r="E371" s="30">
        <f t="shared" si="215"/>
        <v>0</v>
      </c>
      <c r="F371" s="104">
        <v>0</v>
      </c>
      <c r="G371" s="270" t="e">
        <f t="shared" si="210"/>
        <v>#DIV/0!</v>
      </c>
      <c r="H371" s="267">
        <v>120294</v>
      </c>
      <c r="I371" s="111" t="e">
        <f t="shared" si="230"/>
        <v>#DIV/0!</v>
      </c>
      <c r="J371" s="30">
        <f t="shared" si="231"/>
        <v>49297</v>
      </c>
      <c r="K371" s="152">
        <f>SUM(K372:K373)+K376</f>
        <v>123919</v>
      </c>
      <c r="L371" s="142">
        <f t="shared" si="232"/>
        <v>2.145911515913747</v>
      </c>
      <c r="M371" s="143">
        <f t="shared" si="233"/>
        <v>105787</v>
      </c>
      <c r="N371" s="173">
        <f>SUM(N372:N373)+N376</f>
        <v>155084</v>
      </c>
      <c r="O371" s="146" t="e">
        <f t="shared" si="225"/>
        <v>#DIV/0!</v>
      </c>
      <c r="P371" s="146"/>
      <c r="R371" s="173">
        <f aca="true" t="shared" si="240" ref="R371:Z371">SUM(R372:R373)+R376</f>
        <v>166715.3</v>
      </c>
      <c r="S371" s="173">
        <f t="shared" si="240"/>
        <v>179218.9475</v>
      </c>
      <c r="T371" s="173">
        <f t="shared" si="240"/>
        <v>193556.4633</v>
      </c>
      <c r="U371" s="173">
        <f t="shared" si="240"/>
        <v>209040.98036400002</v>
      </c>
      <c r="V371" s="173">
        <f t="shared" si="240"/>
        <v>225764.25879312004</v>
      </c>
      <c r="W371" s="173">
        <f t="shared" si="240"/>
        <v>243825.39949656965</v>
      </c>
      <c r="X371" s="173">
        <f t="shared" si="240"/>
        <v>263331.4314562952</v>
      </c>
      <c r="Y371" s="173">
        <f t="shared" si="240"/>
        <v>284397.9459727988</v>
      </c>
      <c r="Z371" s="173">
        <f t="shared" si="240"/>
        <v>307149.7816506227</v>
      </c>
    </row>
    <row r="372" spans="1:26" ht="12.75">
      <c r="A372" s="81" t="s">
        <v>1001</v>
      </c>
      <c r="B372" s="30"/>
      <c r="C372" s="78"/>
      <c r="D372" s="111" t="e">
        <f t="shared" si="224"/>
        <v>#DIV/0!</v>
      </c>
      <c r="E372" s="30">
        <f t="shared" si="215"/>
        <v>0</v>
      </c>
      <c r="F372" s="104">
        <v>0</v>
      </c>
      <c r="G372" s="270" t="e">
        <f t="shared" si="210"/>
        <v>#DIV/0!</v>
      </c>
      <c r="H372" s="267">
        <v>8635</v>
      </c>
      <c r="I372" s="111" t="e">
        <f t="shared" si="230"/>
        <v>#DIV/0!</v>
      </c>
      <c r="J372" s="30">
        <f t="shared" si="231"/>
        <v>6613</v>
      </c>
      <c r="K372" s="153">
        <v>8834</v>
      </c>
      <c r="L372" s="142">
        <f t="shared" si="232"/>
        <v>0.8893089369423861</v>
      </c>
      <c r="M372" s="143">
        <f t="shared" si="233"/>
        <v>5881</v>
      </c>
      <c r="N372" s="179">
        <v>12494</v>
      </c>
      <c r="O372" s="146" t="e">
        <f t="shared" si="225"/>
        <v>#DIV/0!</v>
      </c>
      <c r="P372" s="146">
        <v>0.075</v>
      </c>
      <c r="Q372" s="178">
        <v>0.08</v>
      </c>
      <c r="R372" s="162">
        <f t="shared" si="238"/>
        <v>13431.05</v>
      </c>
      <c r="S372" s="162">
        <f t="shared" si="221"/>
        <v>14438.37875</v>
      </c>
      <c r="T372" s="162">
        <f>(S372*Q372)+S372</f>
        <v>15593.44905</v>
      </c>
      <c r="U372" s="162">
        <f>(T372*Q372)+T372</f>
        <v>16840.924973999998</v>
      </c>
      <c r="V372" s="162">
        <f>(U372*Q372)+U372</f>
        <v>18188.19897192</v>
      </c>
      <c r="W372" s="162">
        <f>(V372*Q372)+V372</f>
        <v>19643.2548896736</v>
      </c>
      <c r="X372" s="162">
        <f>(W372*Q372)+W372</f>
        <v>21214.71528084749</v>
      </c>
      <c r="Y372" s="162">
        <f>(X372*Q372)+X372</f>
        <v>22911.89250331529</v>
      </c>
      <c r="Z372" s="147">
        <f>(Y372*Q372)+Y372</f>
        <v>24744.843903580513</v>
      </c>
    </row>
    <row r="373" spans="1:26" ht="12.75">
      <c r="A373" s="81" t="s">
        <v>544</v>
      </c>
      <c r="B373" s="30"/>
      <c r="C373" s="78"/>
      <c r="D373" s="111" t="e">
        <f t="shared" si="224"/>
        <v>#DIV/0!</v>
      </c>
      <c r="E373" s="30">
        <f t="shared" si="215"/>
        <v>0</v>
      </c>
      <c r="F373" s="104">
        <v>0</v>
      </c>
      <c r="G373" s="270" t="e">
        <f t="shared" si="210"/>
        <v>#DIV/0!</v>
      </c>
      <c r="H373" s="267">
        <v>83823</v>
      </c>
      <c r="I373" s="111" t="e">
        <f t="shared" si="230"/>
        <v>#DIV/0!</v>
      </c>
      <c r="J373" s="30">
        <f t="shared" si="231"/>
        <v>17550</v>
      </c>
      <c r="K373" s="145">
        <f>+K374+K375</f>
        <v>87249</v>
      </c>
      <c r="L373" s="142">
        <f t="shared" si="232"/>
        <v>4.965527065527065</v>
      </c>
      <c r="M373" s="143">
        <f t="shared" si="233"/>
        <v>87145</v>
      </c>
      <c r="N373" s="171">
        <f>+N374+N375</f>
        <v>104695</v>
      </c>
      <c r="O373" s="146" t="e">
        <f t="shared" si="225"/>
        <v>#DIV/0!</v>
      </c>
      <c r="P373" s="146">
        <v>0.075</v>
      </c>
      <c r="Q373" s="178">
        <v>0.08</v>
      </c>
      <c r="R373" s="171">
        <f aca="true" t="shared" si="241" ref="R373:Z373">+R374+R375</f>
        <v>112547.125</v>
      </c>
      <c r="S373" s="171">
        <f t="shared" si="241"/>
        <v>120988.159375</v>
      </c>
      <c r="T373" s="171">
        <f t="shared" si="241"/>
        <v>130667.212125</v>
      </c>
      <c r="U373" s="171">
        <f t="shared" si="241"/>
        <v>141120.589095</v>
      </c>
      <c r="V373" s="171">
        <f t="shared" si="241"/>
        <v>152410.2362226</v>
      </c>
      <c r="W373" s="171">
        <f t="shared" si="241"/>
        <v>164603.055120408</v>
      </c>
      <c r="X373" s="171">
        <f t="shared" si="241"/>
        <v>177771.29953004065</v>
      </c>
      <c r="Y373" s="171">
        <f t="shared" si="241"/>
        <v>191993.0034924439</v>
      </c>
      <c r="Z373" s="171">
        <f t="shared" si="241"/>
        <v>207352.44377183943</v>
      </c>
    </row>
    <row r="374" spans="1:26" ht="12.75">
      <c r="A374" s="81" t="s">
        <v>1016</v>
      </c>
      <c r="B374" s="30"/>
      <c r="C374" s="78"/>
      <c r="D374" s="111" t="e">
        <f t="shared" si="224"/>
        <v>#DIV/0!</v>
      </c>
      <c r="E374" s="30">
        <f t="shared" si="215"/>
        <v>0</v>
      </c>
      <c r="F374" s="104">
        <v>0</v>
      </c>
      <c r="G374" s="270" t="e">
        <f t="shared" si="210"/>
        <v>#DIV/0!</v>
      </c>
      <c r="H374" s="267">
        <v>83823</v>
      </c>
      <c r="I374" s="111" t="e">
        <f t="shared" si="230"/>
        <v>#DIV/0!</v>
      </c>
      <c r="J374" s="30">
        <f t="shared" si="231"/>
        <v>52639</v>
      </c>
      <c r="K374" s="153">
        <v>83823</v>
      </c>
      <c r="L374" s="142">
        <f t="shared" si="232"/>
        <v>0.9889245616368092</v>
      </c>
      <c r="M374" s="143">
        <f t="shared" si="233"/>
        <v>52056</v>
      </c>
      <c r="N374" s="179">
        <v>104695</v>
      </c>
      <c r="O374" s="146" t="e">
        <f t="shared" si="225"/>
        <v>#DIV/0!</v>
      </c>
      <c r="P374" s="146">
        <v>0.075</v>
      </c>
      <c r="Q374" s="178">
        <v>0.08</v>
      </c>
      <c r="R374" s="162">
        <f t="shared" si="238"/>
        <v>112547.125</v>
      </c>
      <c r="S374" s="162">
        <f t="shared" si="221"/>
        <v>120988.159375</v>
      </c>
      <c r="T374" s="162">
        <f>(S374*Q374)+S374</f>
        <v>130667.212125</v>
      </c>
      <c r="U374" s="162">
        <f>(T374*Q374)+T374</f>
        <v>141120.589095</v>
      </c>
      <c r="V374" s="162">
        <f>(U374*Q374)+U374</f>
        <v>152410.2362226</v>
      </c>
      <c r="W374" s="162">
        <f>(V374*Q374)+V374</f>
        <v>164603.055120408</v>
      </c>
      <c r="X374" s="162">
        <f>(W374*Q374)+W374</f>
        <v>177771.29953004065</v>
      </c>
      <c r="Y374" s="162">
        <f>(X374*Q374)+X374</f>
        <v>191993.0034924439</v>
      </c>
      <c r="Z374" s="147">
        <f>(Y374*Q374)+Y374</f>
        <v>207352.44377183943</v>
      </c>
    </row>
    <row r="375" spans="1:26" ht="12.75">
      <c r="A375" s="81" t="s">
        <v>1017</v>
      </c>
      <c r="B375" s="30"/>
      <c r="C375" s="78"/>
      <c r="D375" s="111" t="e">
        <f t="shared" si="224"/>
        <v>#DIV/0!</v>
      </c>
      <c r="E375" s="30">
        <f t="shared" si="215"/>
        <v>0</v>
      </c>
      <c r="F375" s="104">
        <v>0</v>
      </c>
      <c r="G375" s="270" t="e">
        <f t="shared" si="210"/>
        <v>#DIV/0!</v>
      </c>
      <c r="H375" s="267">
        <v>0</v>
      </c>
      <c r="I375" s="111" t="e">
        <f t="shared" si="230"/>
        <v>#DIV/0!</v>
      </c>
      <c r="J375" s="30">
        <f t="shared" si="231"/>
        <v>45281</v>
      </c>
      <c r="K375" s="153">
        <v>3426</v>
      </c>
      <c r="L375" s="142">
        <f t="shared" si="232"/>
        <v>-1</v>
      </c>
      <c r="M375" s="143">
        <f t="shared" si="233"/>
        <v>-45281</v>
      </c>
      <c r="N375" s="179">
        <v>0</v>
      </c>
      <c r="O375" s="146" t="e">
        <f t="shared" si="225"/>
        <v>#DIV/0!</v>
      </c>
      <c r="P375" s="146">
        <v>0.075</v>
      </c>
      <c r="Q375" s="178">
        <v>0.08</v>
      </c>
      <c r="R375" s="162">
        <f t="shared" si="238"/>
        <v>0</v>
      </c>
      <c r="S375" s="162">
        <f t="shared" si="221"/>
        <v>0</v>
      </c>
      <c r="T375" s="162">
        <f>(S375*Q375)+S375</f>
        <v>0</v>
      </c>
      <c r="U375" s="162">
        <f>(T375*Q375)+T375</f>
        <v>0</v>
      </c>
      <c r="V375" s="162">
        <f>(U375*Q375)+U375</f>
        <v>0</v>
      </c>
      <c r="W375" s="162">
        <f>(V375*Q375)+V375</f>
        <v>0</v>
      </c>
      <c r="X375" s="162">
        <f>(W375*Q375)+W375</f>
        <v>0</v>
      </c>
      <c r="Y375" s="162">
        <f>(X375*Q375)+X375</f>
        <v>0</v>
      </c>
      <c r="Z375" s="147">
        <f>(Y375*Q375)+Y375</f>
        <v>0</v>
      </c>
    </row>
    <row r="376" spans="1:26" ht="12.75">
      <c r="A376" s="81" t="s">
        <v>1018</v>
      </c>
      <c r="B376" s="30"/>
      <c r="C376" s="78"/>
      <c r="D376" s="111" t="e">
        <f t="shared" si="224"/>
        <v>#DIV/0!</v>
      </c>
      <c r="E376" s="30">
        <f t="shared" si="215"/>
        <v>0</v>
      </c>
      <c r="F376" s="104">
        <v>0</v>
      </c>
      <c r="G376" s="270" t="e">
        <f t="shared" si="210"/>
        <v>#DIV/0!</v>
      </c>
      <c r="H376" s="267">
        <v>27836</v>
      </c>
      <c r="I376" s="111" t="e">
        <f t="shared" si="230"/>
        <v>#DIV/0!</v>
      </c>
      <c r="J376" s="30">
        <f t="shared" si="231"/>
        <v>7358</v>
      </c>
      <c r="K376" s="153">
        <v>27836</v>
      </c>
      <c r="L376" s="142">
        <f t="shared" si="232"/>
        <v>4.15017667844523</v>
      </c>
      <c r="M376" s="143">
        <f t="shared" si="233"/>
        <v>30537</v>
      </c>
      <c r="N376" s="179">
        <v>37895</v>
      </c>
      <c r="O376" s="146" t="e">
        <f t="shared" si="225"/>
        <v>#DIV/0!</v>
      </c>
      <c r="P376" s="146">
        <v>0.075</v>
      </c>
      <c r="Q376" s="178">
        <v>0.08</v>
      </c>
      <c r="R376" s="162">
        <f t="shared" si="238"/>
        <v>40737.125</v>
      </c>
      <c r="S376" s="162">
        <f t="shared" si="221"/>
        <v>43792.409375</v>
      </c>
      <c r="T376" s="162">
        <f>(S376*Q376)+S376</f>
        <v>47295.802125</v>
      </c>
      <c r="U376" s="162">
        <f>(T376*Q376)+T376</f>
        <v>51079.466295000006</v>
      </c>
      <c r="V376" s="162">
        <f>(U376*Q376)+U376</f>
        <v>55165.82359860001</v>
      </c>
      <c r="W376" s="162">
        <f>(V376*Q376)+V376</f>
        <v>59579.08948648801</v>
      </c>
      <c r="X376" s="162">
        <f>(W376*Q376)+W376</f>
        <v>64345.41664540705</v>
      </c>
      <c r="Y376" s="162">
        <f>(X376*Q376)+X376</f>
        <v>69493.04997703961</v>
      </c>
      <c r="Z376" s="147">
        <f>(Y376*Q376)+Y376</f>
        <v>75052.49397520279</v>
      </c>
    </row>
    <row r="377" spans="1:26" ht="12.75">
      <c r="A377" s="86" t="s">
        <v>1019</v>
      </c>
      <c r="B377" s="102">
        <v>78812</v>
      </c>
      <c r="C377" s="78"/>
      <c r="D377" s="111">
        <f t="shared" si="224"/>
        <v>-0.9897350657260315</v>
      </c>
      <c r="E377" s="30">
        <f t="shared" si="215"/>
        <v>-78003</v>
      </c>
      <c r="F377" s="152">
        <f>SUM(F378:F381)</f>
        <v>809</v>
      </c>
      <c r="G377" s="270">
        <f t="shared" si="210"/>
        <v>60.35599505562423</v>
      </c>
      <c r="H377" s="267">
        <v>49637</v>
      </c>
      <c r="I377" s="111">
        <f t="shared" si="230"/>
        <v>83.43881334981458</v>
      </c>
      <c r="J377" s="30">
        <f t="shared" si="231"/>
        <v>67502</v>
      </c>
      <c r="K377" s="152">
        <f>SUM(K378:K381)</f>
        <v>126099</v>
      </c>
      <c r="L377" s="142">
        <f t="shared" si="232"/>
        <v>-1</v>
      </c>
      <c r="M377" s="143">
        <f t="shared" si="233"/>
        <v>-68311</v>
      </c>
      <c r="N377" s="173">
        <f>SUM(N378:N381)</f>
        <v>0</v>
      </c>
      <c r="O377" s="146">
        <f t="shared" si="225"/>
        <v>27.149692761362846</v>
      </c>
      <c r="P377" s="146"/>
      <c r="R377" s="173">
        <f aca="true" t="shared" si="242" ref="R377:Z377">SUM(R378:R381)</f>
        <v>0</v>
      </c>
      <c r="S377" s="173">
        <f t="shared" si="242"/>
        <v>0</v>
      </c>
      <c r="T377" s="173">
        <f t="shared" si="242"/>
        <v>0</v>
      </c>
      <c r="U377" s="173">
        <f t="shared" si="242"/>
        <v>0</v>
      </c>
      <c r="V377" s="173">
        <f t="shared" si="242"/>
        <v>0</v>
      </c>
      <c r="W377" s="173">
        <f t="shared" si="242"/>
        <v>0</v>
      </c>
      <c r="X377" s="173">
        <f t="shared" si="242"/>
        <v>0</v>
      </c>
      <c r="Y377" s="173">
        <f t="shared" si="242"/>
        <v>0</v>
      </c>
      <c r="Z377" s="173">
        <f t="shared" si="242"/>
        <v>0</v>
      </c>
    </row>
    <row r="378" spans="1:26" ht="12.75">
      <c r="A378" s="81" t="s">
        <v>1001</v>
      </c>
      <c r="B378" s="100"/>
      <c r="C378" s="78"/>
      <c r="D378" s="111" t="e">
        <f t="shared" si="224"/>
        <v>#DIV/0!</v>
      </c>
      <c r="E378" s="30">
        <f t="shared" si="215"/>
        <v>0</v>
      </c>
      <c r="F378" s="104">
        <v>0</v>
      </c>
      <c r="G378" s="270" t="e">
        <f t="shared" si="210"/>
        <v>#DIV/0!</v>
      </c>
      <c r="H378" s="267">
        <v>40437</v>
      </c>
      <c r="I378" s="111" t="e">
        <f t="shared" si="230"/>
        <v>#DIV/0!</v>
      </c>
      <c r="J378" s="30">
        <f t="shared" si="231"/>
        <v>42455</v>
      </c>
      <c r="K378" s="153">
        <v>49297</v>
      </c>
      <c r="L378" s="142">
        <f t="shared" si="232"/>
        <v>-1</v>
      </c>
      <c r="M378" s="143">
        <f t="shared" si="233"/>
        <v>-42455</v>
      </c>
      <c r="N378" s="147">
        <v>0</v>
      </c>
      <c r="O378" s="146" t="e">
        <f t="shared" si="225"/>
        <v>#DIV/0!</v>
      </c>
      <c r="P378" s="146">
        <v>0.075</v>
      </c>
      <c r="Q378" s="178">
        <v>0.08</v>
      </c>
      <c r="R378" s="147">
        <f t="shared" si="238"/>
        <v>0</v>
      </c>
      <c r="S378" s="147">
        <f t="shared" si="221"/>
        <v>0</v>
      </c>
      <c r="T378" s="147">
        <f>(S378*P378)+S378</f>
        <v>0</v>
      </c>
      <c r="U378" s="147">
        <f aca="true" t="shared" si="243" ref="U378:V380">(T378*P378)+T378</f>
        <v>0</v>
      </c>
      <c r="V378" s="147">
        <f t="shared" si="243"/>
        <v>0</v>
      </c>
      <c r="W378" s="147">
        <f>(V378*P378)+V378</f>
        <v>0</v>
      </c>
      <c r="X378" s="147">
        <f>(W378*P378)+W378</f>
        <v>0</v>
      </c>
      <c r="Y378" s="147">
        <f>(X378*P378)+X378</f>
        <v>0</v>
      </c>
      <c r="Z378" s="147">
        <f>(Y378*P378)+Y378</f>
        <v>0</v>
      </c>
    </row>
    <row r="379" spans="1:26" ht="12.75">
      <c r="A379" s="81" t="s">
        <v>1018</v>
      </c>
      <c r="B379" s="30"/>
      <c r="C379" s="78"/>
      <c r="D379" s="111" t="e">
        <f t="shared" si="224"/>
        <v>#DIV/0!</v>
      </c>
      <c r="E379" s="30">
        <f t="shared" si="215"/>
        <v>0</v>
      </c>
      <c r="F379" s="104">
        <v>0</v>
      </c>
      <c r="G379" s="270" t="e">
        <f t="shared" si="210"/>
        <v>#DIV/0!</v>
      </c>
      <c r="H379" s="267">
        <v>6613</v>
      </c>
      <c r="I379" s="111" t="e">
        <f t="shared" si="230"/>
        <v>#DIV/0!</v>
      </c>
      <c r="J379" s="30">
        <f t="shared" si="231"/>
        <v>18887</v>
      </c>
      <c r="K379" s="153">
        <v>6613</v>
      </c>
      <c r="L379" s="142">
        <f t="shared" si="232"/>
        <v>-1</v>
      </c>
      <c r="M379" s="143">
        <f t="shared" si="233"/>
        <v>-18887</v>
      </c>
      <c r="N379" s="147"/>
      <c r="O379" s="146" t="e">
        <f t="shared" si="225"/>
        <v>#DIV/0!</v>
      </c>
      <c r="P379" s="146">
        <v>0.075</v>
      </c>
      <c r="Q379" s="178">
        <v>0.08</v>
      </c>
      <c r="R379" s="147">
        <f t="shared" si="238"/>
        <v>0</v>
      </c>
      <c r="S379" s="147">
        <f t="shared" si="221"/>
        <v>0</v>
      </c>
      <c r="T379" s="147">
        <f>(S379*P379)+S379</f>
        <v>0</v>
      </c>
      <c r="U379" s="147">
        <f t="shared" si="243"/>
        <v>0</v>
      </c>
      <c r="V379" s="147">
        <f t="shared" si="243"/>
        <v>0</v>
      </c>
      <c r="W379" s="147">
        <f>(V379*P379)+V379</f>
        <v>0</v>
      </c>
      <c r="X379" s="147">
        <f>(W379*P379)+W379</f>
        <v>0</v>
      </c>
      <c r="Y379" s="147">
        <f>(X379*P379)+X379</f>
        <v>0</v>
      </c>
      <c r="Z379" s="147">
        <f>(Y379*P379)+Y379</f>
        <v>0</v>
      </c>
    </row>
    <row r="380" spans="1:26" ht="12.75">
      <c r="A380" s="81" t="s">
        <v>1020</v>
      </c>
      <c r="B380" s="100"/>
      <c r="C380" s="78"/>
      <c r="D380" s="111" t="e">
        <f t="shared" si="224"/>
        <v>#DIV/0!</v>
      </c>
      <c r="E380" s="30">
        <f t="shared" si="215"/>
        <v>809</v>
      </c>
      <c r="F380" s="104">
        <v>809</v>
      </c>
      <c r="G380" s="270">
        <f t="shared" si="210"/>
        <v>2.1977750309023487</v>
      </c>
      <c r="H380" s="267">
        <v>2587</v>
      </c>
      <c r="I380" s="111">
        <f t="shared" si="230"/>
        <v>-0.2558714462299134</v>
      </c>
      <c r="J380" s="30">
        <f t="shared" si="231"/>
        <v>-207</v>
      </c>
      <c r="K380" s="153">
        <v>17550</v>
      </c>
      <c r="L380" s="142">
        <f t="shared" si="232"/>
        <v>-1</v>
      </c>
      <c r="M380" s="143">
        <f t="shared" si="233"/>
        <v>-602</v>
      </c>
      <c r="N380" s="147">
        <v>0</v>
      </c>
      <c r="O380" s="146" t="e">
        <f t="shared" si="225"/>
        <v>#DIV/0!</v>
      </c>
      <c r="P380" s="146">
        <v>0.075</v>
      </c>
      <c r="Q380" s="178">
        <v>0.08</v>
      </c>
      <c r="R380" s="147">
        <f t="shared" si="238"/>
        <v>0</v>
      </c>
      <c r="S380" s="147">
        <f t="shared" si="221"/>
        <v>0</v>
      </c>
      <c r="T380" s="147">
        <f>(S380*P380)+S380</f>
        <v>0</v>
      </c>
      <c r="U380" s="147">
        <f t="shared" si="243"/>
        <v>0</v>
      </c>
      <c r="V380" s="147">
        <f t="shared" si="243"/>
        <v>0</v>
      </c>
      <c r="W380" s="147">
        <f>(V380*P380)+V380</f>
        <v>0</v>
      </c>
      <c r="X380" s="147">
        <f>(W380*P380)+W380</f>
        <v>0</v>
      </c>
      <c r="Y380" s="147">
        <f>(X380*P380)+X380</f>
        <v>0</v>
      </c>
      <c r="Z380" s="147">
        <f>(Y380*P380)+Y380</f>
        <v>0</v>
      </c>
    </row>
    <row r="381" spans="1:26" ht="12.75">
      <c r="A381" s="86" t="s">
        <v>442</v>
      </c>
      <c r="B381" s="30"/>
      <c r="C381" s="78"/>
      <c r="D381" s="111" t="e">
        <f t="shared" si="224"/>
        <v>#DIV/0!</v>
      </c>
      <c r="E381" s="30">
        <f t="shared" si="215"/>
        <v>0</v>
      </c>
      <c r="F381" s="104">
        <v>0</v>
      </c>
      <c r="G381" s="270" t="e">
        <f t="shared" si="210"/>
        <v>#DIV/0!</v>
      </c>
      <c r="H381" s="267">
        <v>0</v>
      </c>
      <c r="I381" s="111" t="e">
        <f t="shared" si="230"/>
        <v>#DIV/0!</v>
      </c>
      <c r="J381" s="30">
        <f t="shared" si="231"/>
        <v>3502</v>
      </c>
      <c r="K381" s="152">
        <f>SUM(K382:K383)</f>
        <v>52639</v>
      </c>
      <c r="L381" s="142">
        <f t="shared" si="232"/>
        <v>-1</v>
      </c>
      <c r="M381" s="143">
        <f t="shared" si="233"/>
        <v>-3502</v>
      </c>
      <c r="N381" s="173">
        <f>SUM(N382:N383)</f>
        <v>0</v>
      </c>
      <c r="O381" s="146" t="e">
        <f t="shared" si="225"/>
        <v>#DIV/0!</v>
      </c>
      <c r="P381" s="146"/>
      <c r="R381" s="171">
        <f aca="true" t="shared" si="244" ref="R381:Z381">SUM(R382:R383)</f>
        <v>0</v>
      </c>
      <c r="S381" s="171">
        <f t="shared" si="244"/>
        <v>0</v>
      </c>
      <c r="T381" s="171">
        <f t="shared" si="244"/>
        <v>0</v>
      </c>
      <c r="U381" s="171">
        <f t="shared" si="244"/>
        <v>0</v>
      </c>
      <c r="V381" s="171">
        <f t="shared" si="244"/>
        <v>0</v>
      </c>
      <c r="W381" s="171">
        <f t="shared" si="244"/>
        <v>0</v>
      </c>
      <c r="X381" s="171">
        <f t="shared" si="244"/>
        <v>0</v>
      </c>
      <c r="Y381" s="171">
        <f t="shared" si="244"/>
        <v>0</v>
      </c>
      <c r="Z381" s="171">
        <f t="shared" si="244"/>
        <v>0</v>
      </c>
    </row>
    <row r="382" spans="1:26" ht="12.75">
      <c r="A382" s="81" t="s">
        <v>1013</v>
      </c>
      <c r="B382" s="30"/>
      <c r="C382" s="78"/>
      <c r="D382" s="111" t="e">
        <f t="shared" si="224"/>
        <v>#DIV/0!</v>
      </c>
      <c r="E382" s="30">
        <f t="shared" si="215"/>
        <v>0</v>
      </c>
      <c r="F382" s="104">
        <v>0</v>
      </c>
      <c r="G382" s="270" t="e">
        <f t="shared" si="210"/>
        <v>#DIV/0!</v>
      </c>
      <c r="H382" s="267">
        <v>0</v>
      </c>
      <c r="I382" s="111" t="e">
        <f t="shared" si="230"/>
        <v>#DIV/0!</v>
      </c>
      <c r="J382" s="30">
        <f t="shared" si="231"/>
        <v>108</v>
      </c>
      <c r="K382" s="153">
        <v>45281</v>
      </c>
      <c r="L382" s="142">
        <f t="shared" si="232"/>
        <v>-1</v>
      </c>
      <c r="M382" s="143">
        <f t="shared" si="233"/>
        <v>-108</v>
      </c>
      <c r="N382" s="147"/>
      <c r="O382" s="146" t="e">
        <f t="shared" si="225"/>
        <v>#DIV/0!</v>
      </c>
      <c r="P382" s="146">
        <v>0.075</v>
      </c>
      <c r="Q382" s="178">
        <v>0.08</v>
      </c>
      <c r="R382" s="147">
        <f t="shared" si="238"/>
        <v>0</v>
      </c>
      <c r="S382" s="147">
        <f t="shared" si="221"/>
        <v>0</v>
      </c>
      <c r="T382" s="147">
        <f>(S382*P382)+S382</f>
        <v>0</v>
      </c>
      <c r="U382" s="147">
        <f>(T382*P382)+T382</f>
        <v>0</v>
      </c>
      <c r="V382" s="147">
        <f>(U382*Q382)+U382</f>
        <v>0</v>
      </c>
      <c r="W382" s="147">
        <f>(V382*P382)+V382</f>
        <v>0</v>
      </c>
      <c r="X382" s="147">
        <f>(W382*P382)+W382</f>
        <v>0</v>
      </c>
      <c r="Y382" s="147">
        <f>(X382*P382)+X382</f>
        <v>0</v>
      </c>
      <c r="Z382" s="147">
        <f>(Y382*P382)+Y382</f>
        <v>0</v>
      </c>
    </row>
    <row r="383" spans="1:26" ht="12.75">
      <c r="A383" s="81" t="s">
        <v>1021</v>
      </c>
      <c r="B383" s="30"/>
      <c r="C383" s="78"/>
      <c r="D383" s="111" t="e">
        <f t="shared" si="224"/>
        <v>#DIV/0!</v>
      </c>
      <c r="E383" s="30">
        <f t="shared" si="215"/>
        <v>0</v>
      </c>
      <c r="F383" s="104">
        <v>0</v>
      </c>
      <c r="G383" s="270" t="e">
        <f t="shared" si="210"/>
        <v>#DIV/0!</v>
      </c>
      <c r="H383" s="267">
        <v>0</v>
      </c>
      <c r="I383" s="111" t="e">
        <f t="shared" si="230"/>
        <v>#DIV/0!</v>
      </c>
      <c r="J383" s="30">
        <f t="shared" si="231"/>
        <v>64</v>
      </c>
      <c r="K383" s="153">
        <v>7358</v>
      </c>
      <c r="L383" s="142">
        <f t="shared" si="232"/>
        <v>-1</v>
      </c>
      <c r="M383" s="143">
        <f t="shared" si="233"/>
        <v>-64</v>
      </c>
      <c r="N383" s="147"/>
      <c r="O383" s="146" t="e">
        <f t="shared" si="225"/>
        <v>#DIV/0!</v>
      </c>
      <c r="P383" s="146">
        <v>0.075</v>
      </c>
      <c r="Q383" s="178">
        <v>0.08</v>
      </c>
      <c r="R383" s="147">
        <f t="shared" si="238"/>
        <v>0</v>
      </c>
      <c r="S383" s="147">
        <f t="shared" si="221"/>
        <v>0</v>
      </c>
      <c r="T383" s="147">
        <f>(S383*P383)+S383</f>
        <v>0</v>
      </c>
      <c r="U383" s="147">
        <f>(T383*P383)+T383</f>
        <v>0</v>
      </c>
      <c r="V383" s="147">
        <f>(U383*Q383)+U383</f>
        <v>0</v>
      </c>
      <c r="W383" s="147">
        <f>(V383*P383)+V383</f>
        <v>0</v>
      </c>
      <c r="X383" s="147">
        <f>(W383*P383)+W383</f>
        <v>0</v>
      </c>
      <c r="Y383" s="147">
        <f>(X383*P383)+X383</f>
        <v>0</v>
      </c>
      <c r="Z383" s="147">
        <f>(Y383*P383)+Y383</f>
        <v>0</v>
      </c>
    </row>
    <row r="384" spans="1:26" ht="12.75">
      <c r="A384" s="86" t="s">
        <v>1022</v>
      </c>
      <c r="B384" s="102">
        <v>78812</v>
      </c>
      <c r="C384" s="78"/>
      <c r="D384" s="111">
        <f t="shared" si="224"/>
        <v>-0.0617672435669695</v>
      </c>
      <c r="E384" s="30">
        <f t="shared" si="215"/>
        <v>-4868</v>
      </c>
      <c r="F384" s="145">
        <f>SUM(F385:F392)</f>
        <v>73944</v>
      </c>
      <c r="G384" s="270">
        <f t="shared" si="210"/>
        <v>-0.07617927079952391</v>
      </c>
      <c r="H384" s="267">
        <v>68311</v>
      </c>
      <c r="I384" s="111">
        <f t="shared" si="230"/>
        <v>-0.9781456237152439</v>
      </c>
      <c r="J384" s="30">
        <f t="shared" si="231"/>
        <v>-72328</v>
      </c>
      <c r="K384" s="145">
        <f>SUM(K385:K392)</f>
        <v>68311</v>
      </c>
      <c r="L384" s="142">
        <f t="shared" si="232"/>
        <v>-1</v>
      </c>
      <c r="M384" s="143">
        <f t="shared" si="233"/>
        <v>-1616</v>
      </c>
      <c r="N384" s="171">
        <f>SUM(N385:N392)</f>
        <v>0</v>
      </c>
      <c r="O384" s="146">
        <f t="shared" si="225"/>
        <v>-0.6799709557607377</v>
      </c>
      <c r="P384" s="146"/>
      <c r="R384" s="171">
        <f aca="true" t="shared" si="245" ref="R384:Z384">SUM(R385:R392)</f>
        <v>0</v>
      </c>
      <c r="S384" s="171">
        <f t="shared" si="245"/>
        <v>0</v>
      </c>
      <c r="T384" s="171">
        <f t="shared" si="245"/>
        <v>0</v>
      </c>
      <c r="U384" s="171">
        <f t="shared" si="245"/>
        <v>0</v>
      </c>
      <c r="V384" s="171">
        <f t="shared" si="245"/>
        <v>0</v>
      </c>
      <c r="W384" s="171">
        <f t="shared" si="245"/>
        <v>0</v>
      </c>
      <c r="X384" s="171">
        <f t="shared" si="245"/>
        <v>0</v>
      </c>
      <c r="Y384" s="171">
        <f t="shared" si="245"/>
        <v>0</v>
      </c>
      <c r="Z384" s="171">
        <f t="shared" si="245"/>
        <v>0</v>
      </c>
    </row>
    <row r="385" spans="1:26" ht="12.75">
      <c r="A385" s="81" t="s">
        <v>1002</v>
      </c>
      <c r="B385" s="30"/>
      <c r="C385" s="78"/>
      <c r="D385" s="111" t="e">
        <f t="shared" si="224"/>
        <v>#DIV/0!</v>
      </c>
      <c r="E385" s="30">
        <f t="shared" si="215"/>
        <v>19954</v>
      </c>
      <c r="F385" s="104">
        <v>19954</v>
      </c>
      <c r="G385" s="270">
        <f t="shared" si="210"/>
        <v>1.1276435802345395</v>
      </c>
      <c r="H385" s="267">
        <v>42455</v>
      </c>
      <c r="I385" s="111">
        <f t="shared" si="230"/>
        <v>-0.9460258594767966</v>
      </c>
      <c r="J385" s="30">
        <f t="shared" si="231"/>
        <v>-18877</v>
      </c>
      <c r="K385" s="153">
        <v>42455</v>
      </c>
      <c r="L385" s="142">
        <f t="shared" si="232"/>
        <v>-1</v>
      </c>
      <c r="M385" s="143">
        <f t="shared" si="233"/>
        <v>-1077</v>
      </c>
      <c r="N385" s="147">
        <v>0</v>
      </c>
      <c r="O385" s="146" t="e">
        <f t="shared" si="225"/>
        <v>#DIV/0!</v>
      </c>
      <c r="P385" s="146">
        <v>0.075</v>
      </c>
      <c r="Q385" s="178">
        <v>0.08</v>
      </c>
      <c r="R385" s="147">
        <f t="shared" si="238"/>
        <v>0</v>
      </c>
      <c r="S385" s="147">
        <f t="shared" si="221"/>
        <v>0</v>
      </c>
      <c r="T385" s="147">
        <f aca="true" t="shared" si="246" ref="T385:T392">(S385*P385)+S385</f>
        <v>0</v>
      </c>
      <c r="U385" s="147">
        <f aca="true" t="shared" si="247" ref="U385:U392">(T385*P385)+T385</f>
        <v>0</v>
      </c>
      <c r="V385" s="147">
        <f aca="true" t="shared" si="248" ref="V385:V392">(U385*Q385)+U385</f>
        <v>0</v>
      </c>
      <c r="W385" s="147">
        <f aca="true" t="shared" si="249" ref="W385:W392">(V385*P385)+V385</f>
        <v>0</v>
      </c>
      <c r="X385" s="147">
        <f aca="true" t="shared" si="250" ref="X385:X392">(W385*P385)+W385</f>
        <v>0</v>
      </c>
      <c r="Y385" s="147">
        <f aca="true" t="shared" si="251" ref="Y385:Y392">(X385*P385)+X385</f>
        <v>0</v>
      </c>
      <c r="Z385" s="147">
        <f aca="true" t="shared" si="252" ref="Z385:Z392">(Y385*P385)+Y385</f>
        <v>0</v>
      </c>
    </row>
    <row r="386" spans="1:26" ht="12.75">
      <c r="A386" s="81" t="s">
        <v>1023</v>
      </c>
      <c r="B386" s="30"/>
      <c r="C386" s="78"/>
      <c r="D386" s="111" t="e">
        <f t="shared" si="224"/>
        <v>#DIV/0!</v>
      </c>
      <c r="E386" s="30">
        <f t="shared" si="215"/>
        <v>28820</v>
      </c>
      <c r="F386" s="104">
        <v>28820</v>
      </c>
      <c r="G386" s="270">
        <f t="shared" si="210"/>
        <v>-0.3446564885496183</v>
      </c>
      <c r="H386" s="267">
        <v>18887</v>
      </c>
      <c r="I386" s="111">
        <f aca="true" t="shared" si="253" ref="I386:I420">K394/F386-1</f>
        <v>0.00052047189451776</v>
      </c>
      <c r="J386" s="30">
        <f aca="true" t="shared" si="254" ref="J386:J420">K394-F386</f>
        <v>15</v>
      </c>
      <c r="K386" s="153">
        <v>18887</v>
      </c>
      <c r="L386" s="142">
        <f aca="true" t="shared" si="255" ref="L386:L420">N386/K394-1</f>
        <v>-1</v>
      </c>
      <c r="M386" s="143">
        <f aca="true" t="shared" si="256" ref="M386:M420">N386-K394</f>
        <v>-28835</v>
      </c>
      <c r="N386" s="147">
        <v>0</v>
      </c>
      <c r="O386" s="146" t="e">
        <f t="shared" si="225"/>
        <v>#DIV/0!</v>
      </c>
      <c r="P386" s="146">
        <v>0.075</v>
      </c>
      <c r="Q386" s="178">
        <v>0.08</v>
      </c>
      <c r="R386" s="147">
        <f t="shared" si="238"/>
        <v>0</v>
      </c>
      <c r="S386" s="147">
        <f t="shared" si="221"/>
        <v>0</v>
      </c>
      <c r="T386" s="147">
        <f t="shared" si="246"/>
        <v>0</v>
      </c>
      <c r="U386" s="147">
        <f t="shared" si="247"/>
        <v>0</v>
      </c>
      <c r="V386" s="147">
        <f t="shared" si="248"/>
        <v>0</v>
      </c>
      <c r="W386" s="147">
        <f t="shared" si="249"/>
        <v>0</v>
      </c>
      <c r="X386" s="147">
        <f t="shared" si="250"/>
        <v>0</v>
      </c>
      <c r="Y386" s="147">
        <f t="shared" si="251"/>
        <v>0</v>
      </c>
      <c r="Z386" s="147">
        <f t="shared" si="252"/>
        <v>0</v>
      </c>
    </row>
    <row r="387" spans="1:26" ht="12.75">
      <c r="A387" s="81" t="s">
        <v>1024</v>
      </c>
      <c r="B387" s="97">
        <v>44040</v>
      </c>
      <c r="C387" s="78"/>
      <c r="D387" s="111">
        <f t="shared" si="224"/>
        <v>-0.6966394187102634</v>
      </c>
      <c r="E387" s="30">
        <f t="shared" si="215"/>
        <v>-30680</v>
      </c>
      <c r="F387" s="104">
        <v>13360</v>
      </c>
      <c r="G387" s="270">
        <f t="shared" si="210"/>
        <v>-0.954940119760479</v>
      </c>
      <c r="H387" s="267">
        <v>602</v>
      </c>
      <c r="I387" s="111">
        <f t="shared" si="253"/>
        <v>-0.7288922155688623</v>
      </c>
      <c r="J387" s="30">
        <f t="shared" si="254"/>
        <v>-9738</v>
      </c>
      <c r="K387" s="153">
        <v>602</v>
      </c>
      <c r="L387" s="142">
        <f t="shared" si="255"/>
        <v>-1</v>
      </c>
      <c r="M387" s="143">
        <f t="shared" si="256"/>
        <v>-3622</v>
      </c>
      <c r="N387" s="147">
        <v>0</v>
      </c>
      <c r="O387" s="146">
        <f t="shared" si="225"/>
        <v>-0.8085105447597085</v>
      </c>
      <c r="P387" s="146">
        <v>0.075</v>
      </c>
      <c r="Q387" s="178">
        <v>0.08</v>
      </c>
      <c r="R387" s="147">
        <f t="shared" si="238"/>
        <v>0</v>
      </c>
      <c r="S387" s="147">
        <f t="shared" si="221"/>
        <v>0</v>
      </c>
      <c r="T387" s="147">
        <f t="shared" si="246"/>
        <v>0</v>
      </c>
      <c r="U387" s="147">
        <f t="shared" si="247"/>
        <v>0</v>
      </c>
      <c r="V387" s="147">
        <f t="shared" si="248"/>
        <v>0</v>
      </c>
      <c r="W387" s="147">
        <f t="shared" si="249"/>
        <v>0</v>
      </c>
      <c r="X387" s="147">
        <f t="shared" si="250"/>
        <v>0</v>
      </c>
      <c r="Y387" s="147">
        <f t="shared" si="251"/>
        <v>0</v>
      </c>
      <c r="Z387" s="147">
        <f t="shared" si="252"/>
        <v>0</v>
      </c>
    </row>
    <row r="388" spans="1:26" ht="12.75">
      <c r="A388" s="81" t="s">
        <v>822</v>
      </c>
      <c r="B388" s="30"/>
      <c r="C388" s="78"/>
      <c r="D388" s="111" t="e">
        <f t="shared" si="224"/>
        <v>#DIV/0!</v>
      </c>
      <c r="E388" s="30">
        <f t="shared" si="215"/>
        <v>818</v>
      </c>
      <c r="F388" s="104">
        <v>818</v>
      </c>
      <c r="G388" s="270">
        <f aca="true" t="shared" si="257" ref="G388:G451">H388/F388-1</f>
        <v>3.2811735941320297</v>
      </c>
      <c r="H388" s="267">
        <v>3502</v>
      </c>
      <c r="I388" s="111">
        <f t="shared" si="253"/>
        <v>17.334963325183374</v>
      </c>
      <c r="J388" s="30">
        <f t="shared" si="254"/>
        <v>14180</v>
      </c>
      <c r="K388" s="153">
        <v>3502</v>
      </c>
      <c r="L388" s="142">
        <f t="shared" si="255"/>
        <v>-1</v>
      </c>
      <c r="M388" s="143">
        <f t="shared" si="256"/>
        <v>-14998</v>
      </c>
      <c r="N388" s="147">
        <v>0</v>
      </c>
      <c r="O388" s="146" t="e">
        <f t="shared" si="225"/>
        <v>#DIV/0!</v>
      </c>
      <c r="P388" s="146">
        <v>0.075</v>
      </c>
      <c r="Q388" s="178">
        <v>0.08</v>
      </c>
      <c r="R388" s="147">
        <f t="shared" si="238"/>
        <v>0</v>
      </c>
      <c r="S388" s="147">
        <f t="shared" si="221"/>
        <v>0</v>
      </c>
      <c r="T388" s="147">
        <f t="shared" si="246"/>
        <v>0</v>
      </c>
      <c r="U388" s="147">
        <f t="shared" si="247"/>
        <v>0</v>
      </c>
      <c r="V388" s="147">
        <f t="shared" si="248"/>
        <v>0</v>
      </c>
      <c r="W388" s="147">
        <f t="shared" si="249"/>
        <v>0</v>
      </c>
      <c r="X388" s="147">
        <f t="shared" si="250"/>
        <v>0</v>
      </c>
      <c r="Y388" s="147">
        <f t="shared" si="251"/>
        <v>0</v>
      </c>
      <c r="Z388" s="147">
        <f t="shared" si="252"/>
        <v>0</v>
      </c>
    </row>
    <row r="389" spans="1:26" ht="12.75">
      <c r="A389" s="81" t="s">
        <v>1020</v>
      </c>
      <c r="B389" s="103">
        <v>31598</v>
      </c>
      <c r="C389" s="78"/>
      <c r="D389" s="111">
        <f t="shared" si="224"/>
        <v>-0.6537439078422684</v>
      </c>
      <c r="E389" s="30">
        <f t="shared" si="215"/>
        <v>-20657</v>
      </c>
      <c r="F389" s="104">
        <f>10166+775</f>
        <v>10941</v>
      </c>
      <c r="G389" s="270">
        <f t="shared" si="257"/>
        <v>-0.9901288730463395</v>
      </c>
      <c r="H389" s="267">
        <v>108</v>
      </c>
      <c r="I389" s="111">
        <f t="shared" si="253"/>
        <v>-0.1598574170551138</v>
      </c>
      <c r="J389" s="30">
        <f t="shared" si="254"/>
        <v>-1749</v>
      </c>
      <c r="K389" s="153">
        <v>108</v>
      </c>
      <c r="L389" s="142">
        <f t="shared" si="255"/>
        <v>-1</v>
      </c>
      <c r="M389" s="143">
        <f t="shared" si="256"/>
        <v>-9192</v>
      </c>
      <c r="N389" s="147">
        <v>0</v>
      </c>
      <c r="O389" s="146">
        <f t="shared" si="225"/>
        <v>-0.6045337749657941</v>
      </c>
      <c r="P389" s="146">
        <v>0.075</v>
      </c>
      <c r="Q389" s="178">
        <v>0.08</v>
      </c>
      <c r="R389" s="147">
        <f t="shared" si="238"/>
        <v>0</v>
      </c>
      <c r="S389" s="147">
        <f t="shared" si="221"/>
        <v>0</v>
      </c>
      <c r="T389" s="147">
        <f t="shared" si="246"/>
        <v>0</v>
      </c>
      <c r="U389" s="147">
        <f t="shared" si="247"/>
        <v>0</v>
      </c>
      <c r="V389" s="147">
        <f t="shared" si="248"/>
        <v>0</v>
      </c>
      <c r="W389" s="147">
        <f t="shared" si="249"/>
        <v>0</v>
      </c>
      <c r="X389" s="147">
        <f t="shared" si="250"/>
        <v>0</v>
      </c>
      <c r="Y389" s="147">
        <f t="shared" si="251"/>
        <v>0</v>
      </c>
      <c r="Z389" s="147">
        <f t="shared" si="252"/>
        <v>0</v>
      </c>
    </row>
    <row r="390" spans="1:26" ht="12.75">
      <c r="A390" s="81" t="s">
        <v>1025</v>
      </c>
      <c r="B390" s="30"/>
      <c r="C390" s="78"/>
      <c r="D390" s="111" t="e">
        <f t="shared" si="224"/>
        <v>#DIV/0!</v>
      </c>
      <c r="E390" s="30">
        <f t="shared" si="215"/>
        <v>0</v>
      </c>
      <c r="F390" s="104"/>
      <c r="G390" s="270" t="e">
        <f t="shared" si="257"/>
        <v>#DIV/0!</v>
      </c>
      <c r="H390" s="267">
        <v>64</v>
      </c>
      <c r="I390" s="111" t="e">
        <f t="shared" si="253"/>
        <v>#DIV/0!</v>
      </c>
      <c r="J390" s="30">
        <f t="shared" si="254"/>
        <v>1023</v>
      </c>
      <c r="K390" s="153">
        <v>64</v>
      </c>
      <c r="L390" s="142">
        <f t="shared" si="255"/>
        <v>-1</v>
      </c>
      <c r="M390" s="143">
        <f t="shared" si="256"/>
        <v>-1023</v>
      </c>
      <c r="N390" s="147">
        <v>0</v>
      </c>
      <c r="O390" s="146" t="e">
        <f t="shared" si="225"/>
        <v>#DIV/0!</v>
      </c>
      <c r="P390" s="146">
        <v>0.075</v>
      </c>
      <c r="Q390" s="178">
        <v>0.08</v>
      </c>
      <c r="R390" s="147">
        <f t="shared" si="238"/>
        <v>0</v>
      </c>
      <c r="S390" s="147">
        <f t="shared" si="221"/>
        <v>0</v>
      </c>
      <c r="T390" s="147">
        <f t="shared" si="246"/>
        <v>0</v>
      </c>
      <c r="U390" s="147">
        <f t="shared" si="247"/>
        <v>0</v>
      </c>
      <c r="V390" s="147">
        <f t="shared" si="248"/>
        <v>0</v>
      </c>
      <c r="W390" s="147">
        <f t="shared" si="249"/>
        <v>0</v>
      </c>
      <c r="X390" s="147">
        <f t="shared" si="250"/>
        <v>0</v>
      </c>
      <c r="Y390" s="147">
        <f t="shared" si="251"/>
        <v>0</v>
      </c>
      <c r="Z390" s="147">
        <f t="shared" si="252"/>
        <v>0</v>
      </c>
    </row>
    <row r="391" spans="1:26" ht="12.75">
      <c r="A391" s="81" t="s">
        <v>1026</v>
      </c>
      <c r="B391" s="30"/>
      <c r="C391" s="78"/>
      <c r="D391" s="111" t="e">
        <f t="shared" si="224"/>
        <v>#DIV/0!</v>
      </c>
      <c r="E391" s="30">
        <f t="shared" si="215"/>
        <v>51</v>
      </c>
      <c r="F391" s="104">
        <v>51</v>
      </c>
      <c r="G391" s="270">
        <f t="shared" si="257"/>
        <v>30.686274509803923</v>
      </c>
      <c r="H391" s="267">
        <v>1616</v>
      </c>
      <c r="I391" s="111">
        <f t="shared" si="253"/>
        <v>-1</v>
      </c>
      <c r="J391" s="30">
        <f t="shared" si="254"/>
        <v>-51</v>
      </c>
      <c r="K391" s="153">
        <v>1616</v>
      </c>
      <c r="L391" s="142" t="e">
        <f t="shared" si="255"/>
        <v>#DIV/0!</v>
      </c>
      <c r="M391" s="143">
        <f t="shared" si="256"/>
        <v>0</v>
      </c>
      <c r="N391" s="147">
        <v>0</v>
      </c>
      <c r="O391" s="146" t="e">
        <f t="shared" si="225"/>
        <v>#DIV/0!</v>
      </c>
      <c r="P391" s="146">
        <v>0.075</v>
      </c>
      <c r="Q391" s="178">
        <v>0.08</v>
      </c>
      <c r="R391" s="147">
        <f t="shared" si="238"/>
        <v>0</v>
      </c>
      <c r="S391" s="147">
        <f t="shared" si="221"/>
        <v>0</v>
      </c>
      <c r="T391" s="147">
        <f t="shared" si="246"/>
        <v>0</v>
      </c>
      <c r="U391" s="147">
        <f t="shared" si="247"/>
        <v>0</v>
      </c>
      <c r="V391" s="147">
        <f t="shared" si="248"/>
        <v>0</v>
      </c>
      <c r="W391" s="147">
        <f t="shared" si="249"/>
        <v>0</v>
      </c>
      <c r="X391" s="147">
        <f t="shared" si="250"/>
        <v>0</v>
      </c>
      <c r="Y391" s="147">
        <f t="shared" si="251"/>
        <v>0</v>
      </c>
      <c r="Z391" s="147">
        <f t="shared" si="252"/>
        <v>0</v>
      </c>
    </row>
    <row r="392" spans="1:26" ht="12.75">
      <c r="A392" s="81" t="s">
        <v>1009</v>
      </c>
      <c r="B392" s="30"/>
      <c r="C392" s="78"/>
      <c r="D392" s="111" t="e">
        <f t="shared" si="224"/>
        <v>#DIV/0!</v>
      </c>
      <c r="E392" s="30">
        <f t="shared" si="215"/>
        <v>0</v>
      </c>
      <c r="F392" s="104"/>
      <c r="G392" s="270" t="e">
        <f t="shared" si="257"/>
        <v>#DIV/0!</v>
      </c>
      <c r="H392" s="267">
        <v>1077</v>
      </c>
      <c r="I392" s="111" t="e">
        <f t="shared" si="253"/>
        <v>#DIV/0!</v>
      </c>
      <c r="J392" s="30">
        <f t="shared" si="254"/>
        <v>235657</v>
      </c>
      <c r="K392" s="153">
        <v>1077</v>
      </c>
      <c r="L392" s="142">
        <f t="shared" si="255"/>
        <v>-1</v>
      </c>
      <c r="M392" s="143">
        <f t="shared" si="256"/>
        <v>-235657</v>
      </c>
      <c r="N392" s="147">
        <v>0</v>
      </c>
      <c r="O392" s="146" t="e">
        <f t="shared" si="225"/>
        <v>#DIV/0!</v>
      </c>
      <c r="P392" s="146">
        <v>0.075</v>
      </c>
      <c r="Q392" s="178">
        <v>0.08</v>
      </c>
      <c r="R392" s="147">
        <f t="shared" si="238"/>
        <v>0</v>
      </c>
      <c r="S392" s="147">
        <f t="shared" si="221"/>
        <v>0</v>
      </c>
      <c r="T392" s="147">
        <f t="shared" si="246"/>
        <v>0</v>
      </c>
      <c r="U392" s="147">
        <f t="shared" si="247"/>
        <v>0</v>
      </c>
      <c r="V392" s="147">
        <f t="shared" si="248"/>
        <v>0</v>
      </c>
      <c r="W392" s="147">
        <f t="shared" si="249"/>
        <v>0</v>
      </c>
      <c r="X392" s="147">
        <f t="shared" si="250"/>
        <v>0</v>
      </c>
      <c r="Y392" s="147">
        <f t="shared" si="251"/>
        <v>0</v>
      </c>
      <c r="Z392" s="147">
        <f t="shared" si="252"/>
        <v>0</v>
      </c>
    </row>
    <row r="393" spans="1:26" ht="12.75">
      <c r="A393" s="101" t="s">
        <v>1100</v>
      </c>
      <c r="B393" s="102">
        <v>3174</v>
      </c>
      <c r="C393" s="78"/>
      <c r="D393" s="111">
        <f t="shared" si="224"/>
        <v>-1</v>
      </c>
      <c r="E393" s="30">
        <f t="shared" si="215"/>
        <v>-3174</v>
      </c>
      <c r="F393" s="104"/>
      <c r="G393" s="270" t="e">
        <f t="shared" si="257"/>
        <v>#DIV/0!</v>
      </c>
      <c r="H393" s="79"/>
      <c r="I393" s="111" t="e">
        <f t="shared" si="253"/>
        <v>#DIV/0!</v>
      </c>
      <c r="J393" s="30">
        <f t="shared" si="254"/>
        <v>42657</v>
      </c>
      <c r="K393" s="145">
        <v>0</v>
      </c>
      <c r="L393" s="142">
        <f t="shared" si="255"/>
        <v>-1</v>
      </c>
      <c r="M393" s="143">
        <f t="shared" si="256"/>
        <v>-42657</v>
      </c>
      <c r="N393" s="171">
        <v>0</v>
      </c>
      <c r="O393" s="146" t="e">
        <f t="shared" si="225"/>
        <v>#DIV/0!</v>
      </c>
      <c r="P393" s="146"/>
      <c r="R393" s="171">
        <v>0</v>
      </c>
      <c r="S393" s="171">
        <v>0</v>
      </c>
      <c r="T393" s="171">
        <v>0</v>
      </c>
      <c r="U393" s="171">
        <v>0</v>
      </c>
      <c r="V393" s="171">
        <v>0</v>
      </c>
      <c r="W393" s="171">
        <v>0</v>
      </c>
      <c r="X393" s="171">
        <v>0</v>
      </c>
      <c r="Y393" s="171">
        <v>0</v>
      </c>
      <c r="Z393" s="171">
        <v>0</v>
      </c>
    </row>
    <row r="394" spans="1:26" ht="12.75">
      <c r="A394" s="86" t="s">
        <v>584</v>
      </c>
      <c r="B394" s="30"/>
      <c r="C394" s="78"/>
      <c r="D394" s="111" t="e">
        <f t="shared" si="224"/>
        <v>#DIV/0!</v>
      </c>
      <c r="E394" s="30">
        <f t="shared" si="215"/>
        <v>108508</v>
      </c>
      <c r="F394" s="84">
        <f>SUM(F395:F399)</f>
        <v>108508</v>
      </c>
      <c r="G394" s="270">
        <f t="shared" si="257"/>
        <v>-0.9733752350057139</v>
      </c>
      <c r="H394" s="267">
        <v>2889</v>
      </c>
      <c r="I394" s="111">
        <f t="shared" si="253"/>
        <v>0.7786706970914588</v>
      </c>
      <c r="J394" s="30">
        <f t="shared" si="254"/>
        <v>84492</v>
      </c>
      <c r="K394" s="84">
        <f>SUM(K395:K399)</f>
        <v>28835</v>
      </c>
      <c r="L394" s="142">
        <f t="shared" si="255"/>
        <v>-1</v>
      </c>
      <c r="M394" s="143">
        <f t="shared" si="256"/>
        <v>-193000</v>
      </c>
      <c r="N394" s="167">
        <f>SUM(N395:N399)</f>
        <v>0</v>
      </c>
      <c r="O394" s="146" t="e">
        <f t="shared" si="225"/>
        <v>#DIV/0!</v>
      </c>
      <c r="P394" s="146"/>
      <c r="R394" s="171">
        <f aca="true" t="shared" si="258" ref="R394:Z394">SUM(R395:R399)</f>
        <v>0</v>
      </c>
      <c r="S394" s="171">
        <f t="shared" si="258"/>
        <v>0</v>
      </c>
      <c r="T394" s="171">
        <f t="shared" si="258"/>
        <v>0</v>
      </c>
      <c r="U394" s="171">
        <f t="shared" si="258"/>
        <v>0</v>
      </c>
      <c r="V394" s="171">
        <f t="shared" si="258"/>
        <v>0</v>
      </c>
      <c r="W394" s="171">
        <f t="shared" si="258"/>
        <v>0</v>
      </c>
      <c r="X394" s="171">
        <f t="shared" si="258"/>
        <v>0</v>
      </c>
      <c r="Y394" s="171">
        <f t="shared" si="258"/>
        <v>0</v>
      </c>
      <c r="Z394" s="171">
        <f t="shared" si="258"/>
        <v>0</v>
      </c>
    </row>
    <row r="395" spans="1:26" ht="12.75">
      <c r="A395" s="81" t="s">
        <v>1001</v>
      </c>
      <c r="B395" s="30"/>
      <c r="C395" s="78"/>
      <c r="D395" s="111" t="e">
        <f t="shared" si="224"/>
        <v>#DIV/0!</v>
      </c>
      <c r="E395" s="30">
        <f t="shared" si="215"/>
        <v>0</v>
      </c>
      <c r="F395" s="104"/>
      <c r="G395" s="270" t="e">
        <f t="shared" si="257"/>
        <v>#DIV/0!</v>
      </c>
      <c r="H395" s="267">
        <v>2889</v>
      </c>
      <c r="I395" s="111" t="e">
        <f t="shared" si="253"/>
        <v>#DIV/0!</v>
      </c>
      <c r="J395" s="30">
        <f t="shared" si="254"/>
        <v>45000</v>
      </c>
      <c r="K395" s="153">
        <v>3622</v>
      </c>
      <c r="L395" s="142">
        <f t="shared" si="255"/>
        <v>-1</v>
      </c>
      <c r="M395" s="143">
        <f t="shared" si="256"/>
        <v>-45000</v>
      </c>
      <c r="N395" s="147"/>
      <c r="O395" s="146" t="e">
        <f t="shared" si="225"/>
        <v>#DIV/0!</v>
      </c>
      <c r="P395" s="146">
        <v>0.075</v>
      </c>
      <c r="Q395" s="178">
        <v>0.08</v>
      </c>
      <c r="R395" s="147">
        <f t="shared" si="238"/>
        <v>0</v>
      </c>
      <c r="S395" s="147">
        <f t="shared" si="221"/>
        <v>0</v>
      </c>
      <c r="T395" s="147">
        <f>(S395*P395)+S395</f>
        <v>0</v>
      </c>
      <c r="U395" s="147">
        <f aca="true" t="shared" si="259" ref="U395:V399">(T395*P395)+T395</f>
        <v>0</v>
      </c>
      <c r="V395" s="147">
        <f t="shared" si="259"/>
        <v>0</v>
      </c>
      <c r="W395" s="147">
        <f>(V395*P395)+V395</f>
        <v>0</v>
      </c>
      <c r="X395" s="147">
        <f>(W395*P395)+W395</f>
        <v>0</v>
      </c>
      <c r="Y395" s="147">
        <f>(X395*P395)+X395</f>
        <v>0</v>
      </c>
      <c r="Z395" s="147">
        <f>(Y395*P395)+Y395</f>
        <v>0</v>
      </c>
    </row>
    <row r="396" spans="1:26" ht="12.75">
      <c r="A396" s="81" t="s">
        <v>1021</v>
      </c>
      <c r="B396" s="30"/>
      <c r="C396" s="78"/>
      <c r="D396" s="111" t="e">
        <f t="shared" si="224"/>
        <v>#DIV/0!</v>
      </c>
      <c r="E396" s="30">
        <f t="shared" si="215"/>
        <v>0</v>
      </c>
      <c r="F396" s="104"/>
      <c r="G396" s="270" t="e">
        <f t="shared" si="257"/>
        <v>#DIV/0!</v>
      </c>
      <c r="H396" s="267">
        <v>0</v>
      </c>
      <c r="I396" s="111" t="e">
        <f t="shared" si="253"/>
        <v>#DIV/0!</v>
      </c>
      <c r="J396" s="30">
        <f t="shared" si="254"/>
        <v>30000</v>
      </c>
      <c r="K396" s="153">
        <v>14998</v>
      </c>
      <c r="L396" s="142">
        <f t="shared" si="255"/>
        <v>-1</v>
      </c>
      <c r="M396" s="143">
        <f t="shared" si="256"/>
        <v>-30000</v>
      </c>
      <c r="N396" s="147"/>
      <c r="O396" s="146" t="e">
        <f t="shared" si="225"/>
        <v>#DIV/0!</v>
      </c>
      <c r="P396" s="146">
        <v>0.075</v>
      </c>
      <c r="Q396" s="178">
        <v>0.08</v>
      </c>
      <c r="R396" s="147">
        <f t="shared" si="238"/>
        <v>0</v>
      </c>
      <c r="S396" s="147">
        <f t="shared" si="221"/>
        <v>0</v>
      </c>
      <c r="T396" s="147">
        <f>(S396*P396)+S396</f>
        <v>0</v>
      </c>
      <c r="U396" s="147">
        <f t="shared" si="259"/>
        <v>0</v>
      </c>
      <c r="V396" s="147">
        <f t="shared" si="259"/>
        <v>0</v>
      </c>
      <c r="W396" s="147">
        <f>(V396*P396)+V396</f>
        <v>0</v>
      </c>
      <c r="X396" s="147">
        <f>(W396*P396)+W396</f>
        <v>0</v>
      </c>
      <c r="Y396" s="147">
        <f>(X396*P396)+X396</f>
        <v>0</v>
      </c>
      <c r="Z396" s="147">
        <f>(Y396*P396)+Y396</f>
        <v>0</v>
      </c>
    </row>
    <row r="397" spans="1:26" ht="12.75">
      <c r="A397" s="81" t="s">
        <v>1027</v>
      </c>
      <c r="B397" s="30"/>
      <c r="C397" s="78"/>
      <c r="D397" s="111" t="e">
        <f t="shared" si="224"/>
        <v>#DIV/0!</v>
      </c>
      <c r="E397" s="30">
        <f aca="true" t="shared" si="260" ref="E397:E469">F397-B397</f>
        <v>0</v>
      </c>
      <c r="F397" s="104"/>
      <c r="G397" s="270" t="e">
        <f t="shared" si="257"/>
        <v>#DIV/0!</v>
      </c>
      <c r="H397" s="267">
        <v>0</v>
      </c>
      <c r="I397" s="111" t="e">
        <f t="shared" si="253"/>
        <v>#DIV/0!</v>
      </c>
      <c r="J397" s="30">
        <f t="shared" si="254"/>
        <v>30000</v>
      </c>
      <c r="K397" s="153">
        <v>9192</v>
      </c>
      <c r="L397" s="142">
        <f t="shared" si="255"/>
        <v>-1</v>
      </c>
      <c r="M397" s="143">
        <f t="shared" si="256"/>
        <v>-30000</v>
      </c>
      <c r="N397" s="147"/>
      <c r="O397" s="146" t="e">
        <f t="shared" si="225"/>
        <v>#DIV/0!</v>
      </c>
      <c r="P397" s="146">
        <v>0.075</v>
      </c>
      <c r="Q397" s="178">
        <v>0.08</v>
      </c>
      <c r="R397" s="147">
        <f t="shared" si="238"/>
        <v>0</v>
      </c>
      <c r="S397" s="147">
        <f t="shared" si="221"/>
        <v>0</v>
      </c>
      <c r="T397" s="147">
        <f>(S397*P397)+S397</f>
        <v>0</v>
      </c>
      <c r="U397" s="147">
        <f t="shared" si="259"/>
        <v>0</v>
      </c>
      <c r="V397" s="147">
        <f t="shared" si="259"/>
        <v>0</v>
      </c>
      <c r="W397" s="147">
        <f>(V397*P397)+V397</f>
        <v>0</v>
      </c>
      <c r="X397" s="147">
        <f>(W397*P397)+W397</f>
        <v>0</v>
      </c>
      <c r="Y397" s="147">
        <f>(X397*P397)+X397</f>
        <v>0</v>
      </c>
      <c r="Z397" s="147">
        <f>(Y397*P397)+Y397</f>
        <v>0</v>
      </c>
    </row>
    <row r="398" spans="1:26" ht="12.75">
      <c r="A398" s="81" t="s">
        <v>1028</v>
      </c>
      <c r="B398" s="30"/>
      <c r="C398" s="78"/>
      <c r="D398" s="111" t="e">
        <f t="shared" si="224"/>
        <v>#DIV/0!</v>
      </c>
      <c r="E398" s="30">
        <f t="shared" si="260"/>
        <v>108508</v>
      </c>
      <c r="F398" s="104">
        <v>108508</v>
      </c>
      <c r="G398" s="270">
        <f t="shared" si="257"/>
        <v>-1</v>
      </c>
      <c r="H398" s="267">
        <v>0</v>
      </c>
      <c r="I398" s="111">
        <f t="shared" si="253"/>
        <v>-0.7235226895712759</v>
      </c>
      <c r="J398" s="30">
        <f t="shared" si="254"/>
        <v>-78508</v>
      </c>
      <c r="K398" s="153">
        <v>1023</v>
      </c>
      <c r="L398" s="142">
        <f t="shared" si="255"/>
        <v>-1</v>
      </c>
      <c r="M398" s="143">
        <f t="shared" si="256"/>
        <v>-30000</v>
      </c>
      <c r="N398" s="147"/>
      <c r="O398" s="146" t="e">
        <f t="shared" si="225"/>
        <v>#DIV/0!</v>
      </c>
      <c r="P398" s="146">
        <v>0.075</v>
      </c>
      <c r="Q398" s="178">
        <v>0.08</v>
      </c>
      <c r="R398" s="147">
        <f t="shared" si="238"/>
        <v>0</v>
      </c>
      <c r="S398" s="147">
        <f t="shared" si="221"/>
        <v>0</v>
      </c>
      <c r="T398" s="147">
        <f>(S398*P398)+S398</f>
        <v>0</v>
      </c>
      <c r="U398" s="147">
        <f t="shared" si="259"/>
        <v>0</v>
      </c>
      <c r="V398" s="147">
        <f t="shared" si="259"/>
        <v>0</v>
      </c>
      <c r="W398" s="147">
        <f>(V398*P398)+V398</f>
        <v>0</v>
      </c>
      <c r="X398" s="147">
        <f>(W398*P398)+W398</f>
        <v>0</v>
      </c>
      <c r="Y398" s="147">
        <f>(X398*P398)+X398</f>
        <v>0</v>
      </c>
      <c r="Z398" s="147">
        <f>(Y398*P398)+Y398</f>
        <v>0</v>
      </c>
    </row>
    <row r="399" spans="1:26" ht="12.75">
      <c r="A399" s="81" t="s">
        <v>1029</v>
      </c>
      <c r="B399" s="30"/>
      <c r="C399" s="78"/>
      <c r="D399" s="111" t="e">
        <f t="shared" si="224"/>
        <v>#DIV/0!</v>
      </c>
      <c r="E399" s="30">
        <f t="shared" si="260"/>
        <v>0</v>
      </c>
      <c r="F399" s="104"/>
      <c r="G399" s="270" t="e">
        <f t="shared" si="257"/>
        <v>#DIV/0!</v>
      </c>
      <c r="H399" s="267">
        <v>0</v>
      </c>
      <c r="I399" s="111" t="e">
        <f t="shared" si="253"/>
        <v>#DIV/0!</v>
      </c>
      <c r="J399" s="30">
        <f t="shared" si="254"/>
        <v>10000</v>
      </c>
      <c r="K399" s="153">
        <v>0</v>
      </c>
      <c r="L399" s="142">
        <f t="shared" si="255"/>
        <v>-1</v>
      </c>
      <c r="M399" s="143">
        <f t="shared" si="256"/>
        <v>-10000</v>
      </c>
      <c r="N399" s="147"/>
      <c r="O399" s="146" t="e">
        <f t="shared" si="225"/>
        <v>#DIV/0!</v>
      </c>
      <c r="P399" s="146">
        <v>0.075</v>
      </c>
      <c r="Q399" s="178">
        <v>0.08</v>
      </c>
      <c r="R399" s="147">
        <f t="shared" si="238"/>
        <v>0</v>
      </c>
      <c r="S399" s="147">
        <f t="shared" si="221"/>
        <v>0</v>
      </c>
      <c r="T399" s="147">
        <f>(S399*P399)+S399</f>
        <v>0</v>
      </c>
      <c r="U399" s="147">
        <f t="shared" si="259"/>
        <v>0</v>
      </c>
      <c r="V399" s="147">
        <f t="shared" si="259"/>
        <v>0</v>
      </c>
      <c r="W399" s="147">
        <f>(V399*P399)+V399</f>
        <v>0</v>
      </c>
      <c r="X399" s="147">
        <f>(W399*P399)+W399</f>
        <v>0</v>
      </c>
      <c r="Y399" s="147">
        <f>(X399*P399)+X399</f>
        <v>0</v>
      </c>
      <c r="Z399" s="147">
        <f>(Y399*P399)+Y399</f>
        <v>0</v>
      </c>
    </row>
    <row r="400" spans="1:26" ht="12.75">
      <c r="A400" s="86" t="s">
        <v>1030</v>
      </c>
      <c r="B400" s="30"/>
      <c r="C400" s="78"/>
      <c r="D400" s="111" t="e">
        <f t="shared" si="224"/>
        <v>#DIV/0!</v>
      </c>
      <c r="E400" s="30">
        <f t="shared" si="260"/>
        <v>0</v>
      </c>
      <c r="F400" s="104"/>
      <c r="G400" s="270" t="e">
        <f t="shared" si="257"/>
        <v>#DIV/0!</v>
      </c>
      <c r="H400" s="267">
        <v>88680</v>
      </c>
      <c r="I400" s="111" t="e">
        <f t="shared" si="253"/>
        <v>#DIV/0!</v>
      </c>
      <c r="J400" s="30">
        <f t="shared" si="254"/>
        <v>20000</v>
      </c>
      <c r="K400" s="145">
        <f>SUM(K401:K402)</f>
        <v>235657</v>
      </c>
      <c r="L400" s="142">
        <f t="shared" si="255"/>
        <v>17.61185</v>
      </c>
      <c r="M400" s="143">
        <f t="shared" si="256"/>
        <v>352237</v>
      </c>
      <c r="N400" s="171">
        <f>SUM(N401:N402)</f>
        <v>372237</v>
      </c>
      <c r="O400" s="146" t="e">
        <f t="shared" si="225"/>
        <v>#DIV/0!</v>
      </c>
      <c r="P400" s="146"/>
      <c r="R400" s="171">
        <f aca="true" t="shared" si="261" ref="R400:Z400">SUM(R401:R402)</f>
        <v>400154.775</v>
      </c>
      <c r="S400" s="171">
        <f t="shared" si="261"/>
        <v>430166.38312500005</v>
      </c>
      <c r="T400" s="171">
        <f t="shared" si="261"/>
        <v>464579.69377500005</v>
      </c>
      <c r="U400" s="171">
        <f t="shared" si="261"/>
        <v>501746.06927700003</v>
      </c>
      <c r="V400" s="171">
        <f t="shared" si="261"/>
        <v>541885.7548191601</v>
      </c>
      <c r="W400" s="171">
        <f t="shared" si="261"/>
        <v>585236.6152046928</v>
      </c>
      <c r="X400" s="171">
        <f t="shared" si="261"/>
        <v>632055.5444210683</v>
      </c>
      <c r="Y400" s="171">
        <f t="shared" si="261"/>
        <v>682619.9879747537</v>
      </c>
      <c r="Z400" s="171">
        <f t="shared" si="261"/>
        <v>737229.587012734</v>
      </c>
    </row>
    <row r="401" spans="1:26" ht="12.75">
      <c r="A401" s="81" t="s">
        <v>1031</v>
      </c>
      <c r="B401" s="30"/>
      <c r="C401" s="78"/>
      <c r="D401" s="111" t="e">
        <f t="shared" si="224"/>
        <v>#DIV/0!</v>
      </c>
      <c r="E401" s="30">
        <f t="shared" si="260"/>
        <v>0</v>
      </c>
      <c r="F401" s="104"/>
      <c r="G401" s="270" t="e">
        <f t="shared" si="257"/>
        <v>#DIV/0!</v>
      </c>
      <c r="H401" s="267">
        <v>38680</v>
      </c>
      <c r="I401" s="111" t="e">
        <f t="shared" si="253"/>
        <v>#DIV/0!</v>
      </c>
      <c r="J401" s="30">
        <f t="shared" si="254"/>
        <v>15000</v>
      </c>
      <c r="K401" s="153">
        <v>42657</v>
      </c>
      <c r="L401" s="142">
        <f t="shared" si="255"/>
        <v>5.666666666666667</v>
      </c>
      <c r="M401" s="143">
        <f t="shared" si="256"/>
        <v>85000</v>
      </c>
      <c r="N401" s="179">
        <v>100000</v>
      </c>
      <c r="O401" s="146" t="e">
        <f t="shared" si="225"/>
        <v>#DIV/0!</v>
      </c>
      <c r="P401" s="146">
        <v>0.075</v>
      </c>
      <c r="Q401" s="178">
        <v>0.08</v>
      </c>
      <c r="R401" s="162">
        <f t="shared" si="238"/>
        <v>107500</v>
      </c>
      <c r="S401" s="162">
        <f t="shared" si="221"/>
        <v>115562.5</v>
      </c>
      <c r="T401" s="162">
        <f>(S401*Q401)+S401</f>
        <v>124807.5</v>
      </c>
      <c r="U401" s="162">
        <f>(T401*Q401)+T401</f>
        <v>134792.1</v>
      </c>
      <c r="V401" s="162">
        <f>(U401*Q401)+U401</f>
        <v>145575.468</v>
      </c>
      <c r="W401" s="162">
        <f>(V401*Q401)+V401</f>
        <v>157221.50543999998</v>
      </c>
      <c r="X401" s="162">
        <f>(W401*Q401)+W401</f>
        <v>169799.22587519998</v>
      </c>
      <c r="Y401" s="162">
        <f>(X401*Q401)+X401</f>
        <v>183383.163945216</v>
      </c>
      <c r="Z401" s="147">
        <f>(Y401*Q401)+Y401</f>
        <v>198053.81706083327</v>
      </c>
    </row>
    <row r="402" spans="1:26" ht="12.75">
      <c r="A402" s="81" t="s">
        <v>1032</v>
      </c>
      <c r="B402" s="30"/>
      <c r="C402" s="78"/>
      <c r="D402" s="111" t="e">
        <f t="shared" si="224"/>
        <v>#DIV/0!</v>
      </c>
      <c r="E402" s="30">
        <f t="shared" si="260"/>
        <v>0</v>
      </c>
      <c r="F402" s="104"/>
      <c r="G402" s="270" t="e">
        <f t="shared" si="257"/>
        <v>#DIV/0!</v>
      </c>
      <c r="H402" s="267">
        <v>50000</v>
      </c>
      <c r="I402" s="111" t="e">
        <f t="shared" si="253"/>
        <v>#DIV/0!</v>
      </c>
      <c r="J402" s="30">
        <f t="shared" si="254"/>
        <v>15000</v>
      </c>
      <c r="K402" s="153">
        <v>193000</v>
      </c>
      <c r="L402" s="142">
        <f t="shared" si="255"/>
        <v>17.14913333333333</v>
      </c>
      <c r="M402" s="143">
        <f t="shared" si="256"/>
        <v>257237</v>
      </c>
      <c r="N402" s="179">
        <v>272237</v>
      </c>
      <c r="O402" s="146" t="e">
        <f t="shared" si="225"/>
        <v>#DIV/0!</v>
      </c>
      <c r="P402" s="146">
        <v>0.075</v>
      </c>
      <c r="Q402" s="178">
        <v>0.08</v>
      </c>
      <c r="R402" s="162">
        <f t="shared" si="238"/>
        <v>292654.775</v>
      </c>
      <c r="S402" s="162">
        <f t="shared" si="221"/>
        <v>314603.88312500005</v>
      </c>
      <c r="T402" s="162">
        <f>(S402*Q402)+S402</f>
        <v>339772.19377500005</v>
      </c>
      <c r="U402" s="162">
        <f>(T402*Q402)+T402</f>
        <v>366953.96927700005</v>
      </c>
      <c r="V402" s="162">
        <f>(U402*Q402)+U402</f>
        <v>396310.28681916004</v>
      </c>
      <c r="W402" s="162">
        <f>(V402*Q402)+V402</f>
        <v>428015.10976469284</v>
      </c>
      <c r="X402" s="162">
        <f>(W402*Q402)+W402</f>
        <v>462256.3185458683</v>
      </c>
      <c r="Y402" s="162">
        <f>(X402*Q402)+X402</f>
        <v>499236.82402953773</v>
      </c>
      <c r="Z402" s="147">
        <f>(Y402*Q402)+Y402</f>
        <v>539175.7699519007</v>
      </c>
    </row>
    <row r="403" spans="1:26" ht="12.75">
      <c r="A403" s="86" t="s">
        <v>463</v>
      </c>
      <c r="B403" s="30"/>
      <c r="C403" s="78"/>
      <c r="D403" s="111" t="e">
        <f t="shared" si="224"/>
        <v>#DIV/0!</v>
      </c>
      <c r="E403" s="30">
        <f t="shared" si="260"/>
        <v>58287</v>
      </c>
      <c r="F403" s="84">
        <f>SUM(F404+F409)</f>
        <v>58287</v>
      </c>
      <c r="G403" s="270">
        <f t="shared" si="257"/>
        <v>-0.6345668845540171</v>
      </c>
      <c r="H403" s="267">
        <v>21300</v>
      </c>
      <c r="I403" s="111">
        <f t="shared" si="253"/>
        <v>1.7090774958395527</v>
      </c>
      <c r="J403" s="30">
        <f t="shared" si="254"/>
        <v>99617</v>
      </c>
      <c r="K403" s="84">
        <f>SUM(K404+K409)</f>
        <v>45000</v>
      </c>
      <c r="L403" s="142">
        <f t="shared" si="255"/>
        <v>-1</v>
      </c>
      <c r="M403" s="143">
        <f t="shared" si="256"/>
        <v>-157904</v>
      </c>
      <c r="N403" s="167">
        <f>SUM(N404+N409)</f>
        <v>0</v>
      </c>
      <c r="O403" s="146" t="e">
        <f t="shared" si="225"/>
        <v>#DIV/0!</v>
      </c>
      <c r="P403" s="146"/>
      <c r="R403" s="167">
        <f aca="true" t="shared" si="262" ref="R403:Z403">SUM(R404+R409)</f>
        <v>0</v>
      </c>
      <c r="S403" s="167">
        <f t="shared" si="262"/>
        <v>0</v>
      </c>
      <c r="T403" s="167">
        <f t="shared" si="262"/>
        <v>0</v>
      </c>
      <c r="U403" s="167">
        <f t="shared" si="262"/>
        <v>0</v>
      </c>
      <c r="V403" s="167">
        <f t="shared" si="262"/>
        <v>0</v>
      </c>
      <c r="W403" s="167">
        <f t="shared" si="262"/>
        <v>0</v>
      </c>
      <c r="X403" s="167">
        <f t="shared" si="262"/>
        <v>0</v>
      </c>
      <c r="Y403" s="167">
        <f t="shared" si="262"/>
        <v>0</v>
      </c>
      <c r="Z403" s="167">
        <f t="shared" si="262"/>
        <v>0</v>
      </c>
    </row>
    <row r="404" spans="1:26" ht="12.75">
      <c r="A404" s="86" t="s">
        <v>1019</v>
      </c>
      <c r="B404" s="30"/>
      <c r="C404" s="78"/>
      <c r="D404" s="111" t="e">
        <f t="shared" si="224"/>
        <v>#DIV/0!</v>
      </c>
      <c r="E404" s="30">
        <f t="shared" si="260"/>
        <v>16675</v>
      </c>
      <c r="F404" s="84">
        <f>SUM(F405)</f>
        <v>16675</v>
      </c>
      <c r="G404" s="270">
        <f t="shared" si="257"/>
        <v>-0.6041379310344828</v>
      </c>
      <c r="H404" s="267">
        <v>6601</v>
      </c>
      <c r="I404" s="111">
        <f t="shared" si="253"/>
        <v>2.2026386806596703</v>
      </c>
      <c r="J404" s="30">
        <f t="shared" si="254"/>
        <v>36729</v>
      </c>
      <c r="K404" s="84">
        <f>SUM(K405)</f>
        <v>30000</v>
      </c>
      <c r="L404" s="142">
        <f t="shared" si="255"/>
        <v>-1</v>
      </c>
      <c r="M404" s="143">
        <f t="shared" si="256"/>
        <v>-53404</v>
      </c>
      <c r="N404" s="167">
        <f>SUM(N405)</f>
        <v>0</v>
      </c>
      <c r="O404" s="146" t="e">
        <f t="shared" si="225"/>
        <v>#DIV/0!</v>
      </c>
      <c r="P404" s="146"/>
      <c r="R404" s="167">
        <f aca="true" t="shared" si="263" ref="R404:Z405">SUM(R405)</f>
        <v>0</v>
      </c>
      <c r="S404" s="167">
        <f t="shared" si="263"/>
        <v>0</v>
      </c>
      <c r="T404" s="167">
        <f t="shared" si="263"/>
        <v>0</v>
      </c>
      <c r="U404" s="167">
        <f t="shared" si="263"/>
        <v>0</v>
      </c>
      <c r="V404" s="167">
        <f t="shared" si="263"/>
        <v>0</v>
      </c>
      <c r="W404" s="167">
        <f t="shared" si="263"/>
        <v>0</v>
      </c>
      <c r="X404" s="167">
        <f t="shared" si="263"/>
        <v>0</v>
      </c>
      <c r="Y404" s="167">
        <f t="shared" si="263"/>
        <v>0</v>
      </c>
      <c r="Z404" s="167">
        <f t="shared" si="263"/>
        <v>0</v>
      </c>
    </row>
    <row r="405" spans="1:26" ht="12.75">
      <c r="A405" s="86" t="s">
        <v>465</v>
      </c>
      <c r="B405" s="30"/>
      <c r="C405" s="78"/>
      <c r="D405" s="111" t="e">
        <f t="shared" si="224"/>
        <v>#DIV/0!</v>
      </c>
      <c r="E405" s="30">
        <f t="shared" si="260"/>
        <v>16675</v>
      </c>
      <c r="F405" s="84">
        <f>SUM(F406)</f>
        <v>16675</v>
      </c>
      <c r="G405" s="270">
        <f t="shared" si="257"/>
        <v>-0.6041379310344828</v>
      </c>
      <c r="H405" s="267">
        <v>6601</v>
      </c>
      <c r="I405" s="111">
        <f t="shared" si="253"/>
        <v>0.10368815592203906</v>
      </c>
      <c r="J405" s="30">
        <f t="shared" si="254"/>
        <v>1729</v>
      </c>
      <c r="K405" s="84">
        <f>SUM(K406)</f>
        <v>30000</v>
      </c>
      <c r="L405" s="142">
        <f t="shared" si="255"/>
        <v>-1</v>
      </c>
      <c r="M405" s="143">
        <f t="shared" si="256"/>
        <v>-18404</v>
      </c>
      <c r="N405" s="167">
        <f>SUM(N406)</f>
        <v>0</v>
      </c>
      <c r="O405" s="146" t="e">
        <f t="shared" si="225"/>
        <v>#DIV/0!</v>
      </c>
      <c r="P405" s="146"/>
      <c r="R405" s="167">
        <f t="shared" si="263"/>
        <v>0</v>
      </c>
      <c r="S405" s="167">
        <f t="shared" si="263"/>
        <v>0</v>
      </c>
      <c r="T405" s="167">
        <f t="shared" si="263"/>
        <v>0</v>
      </c>
      <c r="U405" s="167">
        <f t="shared" si="263"/>
        <v>0</v>
      </c>
      <c r="V405" s="167">
        <f t="shared" si="263"/>
        <v>0</v>
      </c>
      <c r="W405" s="167">
        <f t="shared" si="263"/>
        <v>0</v>
      </c>
      <c r="X405" s="167">
        <f t="shared" si="263"/>
        <v>0</v>
      </c>
      <c r="Y405" s="167">
        <f t="shared" si="263"/>
        <v>0</v>
      </c>
      <c r="Z405" s="167">
        <f t="shared" si="263"/>
        <v>0</v>
      </c>
    </row>
    <row r="406" spans="1:26" ht="12.75">
      <c r="A406" s="86" t="s">
        <v>467</v>
      </c>
      <c r="B406" s="30"/>
      <c r="C406" s="78"/>
      <c r="D406" s="111" t="e">
        <f t="shared" si="224"/>
        <v>#DIV/0!</v>
      </c>
      <c r="E406" s="30">
        <f t="shared" si="260"/>
        <v>16675</v>
      </c>
      <c r="F406" s="84">
        <f>SUM(F407:F408)</f>
        <v>16675</v>
      </c>
      <c r="G406" s="270">
        <f t="shared" si="257"/>
        <v>-0.6041379310344828</v>
      </c>
      <c r="H406" s="267">
        <v>6601</v>
      </c>
      <c r="I406" s="111">
        <f t="shared" si="253"/>
        <v>-0.1004497751124438</v>
      </c>
      <c r="J406" s="30">
        <f t="shared" si="254"/>
        <v>-1675</v>
      </c>
      <c r="K406" s="84">
        <f>SUM(K407:K408)</f>
        <v>30000</v>
      </c>
      <c r="L406" s="142">
        <f t="shared" si="255"/>
        <v>-1</v>
      </c>
      <c r="M406" s="143">
        <f t="shared" si="256"/>
        <v>-15000</v>
      </c>
      <c r="N406" s="167">
        <f>SUM(N407:N408)</f>
        <v>0</v>
      </c>
      <c r="O406" s="146" t="e">
        <f t="shared" si="225"/>
        <v>#DIV/0!</v>
      </c>
      <c r="P406" s="146"/>
      <c r="R406" s="167">
        <f aca="true" t="shared" si="264" ref="R406:Z406">SUM(R407:R408)</f>
        <v>0</v>
      </c>
      <c r="S406" s="167">
        <f t="shared" si="264"/>
        <v>0</v>
      </c>
      <c r="T406" s="167">
        <f t="shared" si="264"/>
        <v>0</v>
      </c>
      <c r="U406" s="167">
        <f t="shared" si="264"/>
        <v>0</v>
      </c>
      <c r="V406" s="167">
        <f t="shared" si="264"/>
        <v>0</v>
      </c>
      <c r="W406" s="167">
        <f t="shared" si="264"/>
        <v>0</v>
      </c>
      <c r="X406" s="167">
        <f t="shared" si="264"/>
        <v>0</v>
      </c>
      <c r="Y406" s="167">
        <f t="shared" si="264"/>
        <v>0</v>
      </c>
      <c r="Z406" s="167">
        <f t="shared" si="264"/>
        <v>0</v>
      </c>
    </row>
    <row r="407" spans="1:26" ht="12.75">
      <c r="A407" s="81" t="s">
        <v>1033</v>
      </c>
      <c r="B407" s="30"/>
      <c r="C407" s="78"/>
      <c r="D407" s="111" t="e">
        <f t="shared" si="224"/>
        <v>#DIV/0!</v>
      </c>
      <c r="E407" s="30">
        <f t="shared" si="260"/>
        <v>0</v>
      </c>
      <c r="F407" s="104"/>
      <c r="G407" s="270" t="e">
        <f t="shared" si="257"/>
        <v>#DIV/0!</v>
      </c>
      <c r="H407" s="267">
        <v>0</v>
      </c>
      <c r="I407" s="111" t="e">
        <f t="shared" si="253"/>
        <v>#DIV/0!</v>
      </c>
      <c r="J407" s="30">
        <f t="shared" si="254"/>
        <v>20000</v>
      </c>
      <c r="K407" s="157">
        <v>10000</v>
      </c>
      <c r="L407" s="142">
        <f t="shared" si="255"/>
        <v>-1</v>
      </c>
      <c r="M407" s="143">
        <f t="shared" si="256"/>
        <v>-20000</v>
      </c>
      <c r="N407" s="147"/>
      <c r="O407" s="146" t="e">
        <f t="shared" si="225"/>
        <v>#DIV/0!</v>
      </c>
      <c r="P407" s="146">
        <v>0.075</v>
      </c>
      <c r="Q407" s="178">
        <v>0.08</v>
      </c>
      <c r="R407" s="147">
        <f t="shared" si="238"/>
        <v>0</v>
      </c>
      <c r="S407" s="147">
        <f>(R407*P407)+R407</f>
        <v>0</v>
      </c>
      <c r="T407" s="147">
        <f>(S407*P407)+S407</f>
        <v>0</v>
      </c>
      <c r="U407" s="147">
        <f>(T407*P407)+T407</f>
        <v>0</v>
      </c>
      <c r="V407" s="147">
        <f>(U407*Q407)+U407</f>
        <v>0</v>
      </c>
      <c r="W407" s="147">
        <f>(V407*P407)+V407</f>
        <v>0</v>
      </c>
      <c r="X407" s="147">
        <f>(W407*P407)+W407</f>
        <v>0</v>
      </c>
      <c r="Y407" s="147">
        <f>(X407*P407)+X407</f>
        <v>0</v>
      </c>
      <c r="Z407" s="147">
        <f>(Y407*P407)+Y407</f>
        <v>0</v>
      </c>
    </row>
    <row r="408" spans="1:26" ht="13.5" thickBot="1">
      <c r="A408" s="87" t="s">
        <v>1034</v>
      </c>
      <c r="B408" s="30"/>
      <c r="C408" s="78"/>
      <c r="D408" s="111" t="e">
        <f t="shared" si="224"/>
        <v>#DIV/0!</v>
      </c>
      <c r="E408" s="30">
        <f t="shared" si="260"/>
        <v>16675</v>
      </c>
      <c r="F408" s="104">
        <v>16675</v>
      </c>
      <c r="G408" s="270">
        <f t="shared" si="257"/>
        <v>-0.6041379310344828</v>
      </c>
      <c r="H408" s="267">
        <v>6601</v>
      </c>
      <c r="I408" s="111">
        <f t="shared" si="253"/>
        <v>5.266866566716642</v>
      </c>
      <c r="J408" s="30">
        <f t="shared" si="254"/>
        <v>87825</v>
      </c>
      <c r="K408" s="156">
        <v>20000</v>
      </c>
      <c r="L408" s="142">
        <f t="shared" si="255"/>
        <v>-1</v>
      </c>
      <c r="M408" s="143">
        <f t="shared" si="256"/>
        <v>-104500</v>
      </c>
      <c r="N408" s="147"/>
      <c r="O408" s="146" t="e">
        <f t="shared" si="225"/>
        <v>#DIV/0!</v>
      </c>
      <c r="P408" s="146">
        <v>0.075</v>
      </c>
      <c r="Q408" s="178">
        <v>0.08</v>
      </c>
      <c r="R408" s="147">
        <f t="shared" si="238"/>
        <v>0</v>
      </c>
      <c r="S408" s="147">
        <f>(R408*P408)+R408</f>
        <v>0</v>
      </c>
      <c r="T408" s="147">
        <f>(S408*P408)+S408</f>
        <v>0</v>
      </c>
      <c r="U408" s="147">
        <f>(T408*P408)+T408</f>
        <v>0</v>
      </c>
      <c r="V408" s="147">
        <f>(U408*Q408)+U408</f>
        <v>0</v>
      </c>
      <c r="W408" s="147">
        <f>(V408*P408)+V408</f>
        <v>0</v>
      </c>
      <c r="X408" s="147">
        <f>(W408*P408)+W408</f>
        <v>0</v>
      </c>
      <c r="Y408" s="147">
        <f>(X408*P408)+X408</f>
        <v>0</v>
      </c>
      <c r="Z408" s="147">
        <f>(Y408*P408)+Y408</f>
        <v>0</v>
      </c>
    </row>
    <row r="409" spans="1:26" ht="12.75">
      <c r="A409" s="86" t="s">
        <v>1035</v>
      </c>
      <c r="B409" s="30"/>
      <c r="C409" s="78"/>
      <c r="D409" s="111" t="e">
        <f t="shared" si="224"/>
        <v>#DIV/0!</v>
      </c>
      <c r="E409" s="30">
        <f t="shared" si="260"/>
        <v>41612</v>
      </c>
      <c r="F409" s="105">
        <f>SUM(F410)</f>
        <v>41612</v>
      </c>
      <c r="G409" s="270">
        <f t="shared" si="257"/>
        <v>-0.646760549841392</v>
      </c>
      <c r="H409" s="267">
        <v>14699</v>
      </c>
      <c r="I409" s="111">
        <f t="shared" si="253"/>
        <v>1.5112948188022686</v>
      </c>
      <c r="J409" s="30">
        <f t="shared" si="254"/>
        <v>62888</v>
      </c>
      <c r="K409" s="84">
        <f>K410</f>
        <v>15000</v>
      </c>
      <c r="L409" s="142">
        <f t="shared" si="255"/>
        <v>-1</v>
      </c>
      <c r="M409" s="143">
        <f t="shared" si="256"/>
        <v>-104500</v>
      </c>
      <c r="N409" s="167">
        <f>N410</f>
        <v>0</v>
      </c>
      <c r="O409" s="146" t="e">
        <f t="shared" si="225"/>
        <v>#DIV/0!</v>
      </c>
      <c r="P409" s="146"/>
      <c r="R409" s="167">
        <f aca="true" t="shared" si="265" ref="R409:Z409">R410</f>
        <v>0</v>
      </c>
      <c r="S409" s="167">
        <f t="shared" si="265"/>
        <v>0</v>
      </c>
      <c r="T409" s="167">
        <f t="shared" si="265"/>
        <v>0</v>
      </c>
      <c r="U409" s="167">
        <f t="shared" si="265"/>
        <v>0</v>
      </c>
      <c r="V409" s="167">
        <f t="shared" si="265"/>
        <v>0</v>
      </c>
      <c r="W409" s="167">
        <f t="shared" si="265"/>
        <v>0</v>
      </c>
      <c r="X409" s="167">
        <f t="shared" si="265"/>
        <v>0</v>
      </c>
      <c r="Y409" s="167">
        <f t="shared" si="265"/>
        <v>0</v>
      </c>
      <c r="Z409" s="167">
        <f t="shared" si="265"/>
        <v>0</v>
      </c>
    </row>
    <row r="410" spans="1:26" ht="12.75">
      <c r="A410" s="81" t="s">
        <v>1036</v>
      </c>
      <c r="B410" s="30"/>
      <c r="C410" s="78"/>
      <c r="D410" s="111" t="e">
        <f t="shared" si="224"/>
        <v>#DIV/0!</v>
      </c>
      <c r="E410" s="30">
        <f t="shared" si="260"/>
        <v>41612</v>
      </c>
      <c r="F410" s="104">
        <v>41612</v>
      </c>
      <c r="G410" s="270">
        <f t="shared" si="257"/>
        <v>-0.646760549841392</v>
      </c>
      <c r="H410" s="267">
        <v>14699</v>
      </c>
      <c r="I410" s="111">
        <f t="shared" si="253"/>
        <v>0.6822070556570221</v>
      </c>
      <c r="J410" s="30">
        <f t="shared" si="254"/>
        <v>28388</v>
      </c>
      <c r="K410" s="157">
        <v>15000</v>
      </c>
      <c r="L410" s="142">
        <f t="shared" si="255"/>
        <v>-1</v>
      </c>
      <c r="M410" s="143">
        <f t="shared" si="256"/>
        <v>-70000</v>
      </c>
      <c r="N410" s="147"/>
      <c r="O410" s="146" t="e">
        <f t="shared" si="225"/>
        <v>#DIV/0!</v>
      </c>
      <c r="P410" s="146">
        <v>0.075</v>
      </c>
      <c r="Q410" s="178">
        <v>0.08</v>
      </c>
      <c r="R410" s="147">
        <f t="shared" si="238"/>
        <v>0</v>
      </c>
      <c r="S410" s="147">
        <f>(R410*P410)+R410</f>
        <v>0</v>
      </c>
      <c r="T410" s="147">
        <f>(S410*P410)+S410</f>
        <v>0</v>
      </c>
      <c r="U410" s="147">
        <f>(T410*P410)+T410</f>
        <v>0</v>
      </c>
      <c r="V410" s="147">
        <f>(U410*Q410)+U410</f>
        <v>0</v>
      </c>
      <c r="W410" s="147">
        <f>(V410*P410)+V410</f>
        <v>0</v>
      </c>
      <c r="X410" s="147">
        <f>(W410*P410)+W410</f>
        <v>0</v>
      </c>
      <c r="Y410" s="147">
        <f>(X410*P410)+X410</f>
        <v>0</v>
      </c>
      <c r="Z410" s="147">
        <f>(Y410*P410)+Y410</f>
        <v>0</v>
      </c>
    </row>
    <row r="411" spans="1:26" ht="12.75">
      <c r="A411" s="86" t="s">
        <v>1037</v>
      </c>
      <c r="B411" s="30"/>
      <c r="C411" s="78"/>
      <c r="D411" s="111" t="e">
        <f aca="true" t="shared" si="266" ref="D411:D484">F411/B411-1</f>
        <v>#DIV/0!</v>
      </c>
      <c r="E411" s="30">
        <f t="shared" si="260"/>
        <v>267647</v>
      </c>
      <c r="F411" s="84">
        <f>F412+F416</f>
        <v>267647</v>
      </c>
      <c r="G411" s="270">
        <f t="shared" si="257"/>
        <v>-0.6916236684887184</v>
      </c>
      <c r="H411" s="267">
        <v>82536</v>
      </c>
      <c r="I411" s="111">
        <f t="shared" si="253"/>
        <v>-0.9626373544257922</v>
      </c>
      <c r="J411" s="30">
        <f t="shared" si="254"/>
        <v>-257647</v>
      </c>
      <c r="K411" s="84">
        <f>K412+K416</f>
        <v>157904</v>
      </c>
      <c r="L411" s="142">
        <f t="shared" si="255"/>
        <v>-1</v>
      </c>
      <c r="M411" s="143">
        <f t="shared" si="256"/>
        <v>-10000</v>
      </c>
      <c r="N411" s="167">
        <f>N412+N416</f>
        <v>0</v>
      </c>
      <c r="O411" s="146" t="e">
        <f aca="true" t="shared" si="267" ref="O411:O484">(D411+I411+L411)/3</f>
        <v>#DIV/0!</v>
      </c>
      <c r="P411" s="146"/>
      <c r="R411" s="167">
        <f aca="true" t="shared" si="268" ref="R411:Z411">R412+R416</f>
        <v>0</v>
      </c>
      <c r="S411" s="167">
        <f t="shared" si="268"/>
        <v>0</v>
      </c>
      <c r="T411" s="167">
        <f t="shared" si="268"/>
        <v>0</v>
      </c>
      <c r="U411" s="167">
        <f t="shared" si="268"/>
        <v>0</v>
      </c>
      <c r="V411" s="167">
        <f t="shared" si="268"/>
        <v>0</v>
      </c>
      <c r="W411" s="167">
        <f t="shared" si="268"/>
        <v>0</v>
      </c>
      <c r="X411" s="167">
        <f t="shared" si="268"/>
        <v>0</v>
      </c>
      <c r="Y411" s="167">
        <f t="shared" si="268"/>
        <v>0</v>
      </c>
      <c r="Z411" s="167">
        <f t="shared" si="268"/>
        <v>0</v>
      </c>
    </row>
    <row r="412" spans="1:26" ht="12.75">
      <c r="A412" s="86" t="s">
        <v>1038</v>
      </c>
      <c r="B412" s="30"/>
      <c r="C412" s="78"/>
      <c r="D412" s="111" t="e">
        <f t="shared" si="266"/>
        <v>#DIV/0!</v>
      </c>
      <c r="E412" s="30">
        <f t="shared" si="260"/>
        <v>229872</v>
      </c>
      <c r="F412" s="145">
        <f>SUM(F413:F415)</f>
        <v>229872</v>
      </c>
      <c r="G412" s="270">
        <f t="shared" si="257"/>
        <v>-0.8793328461056588</v>
      </c>
      <c r="H412" s="267">
        <v>27738</v>
      </c>
      <c r="I412" s="111">
        <f t="shared" si="253"/>
        <v>-0.9782487645298253</v>
      </c>
      <c r="J412" s="30">
        <f t="shared" si="254"/>
        <v>-224872</v>
      </c>
      <c r="K412" s="145">
        <f>SUM(K413:K415)</f>
        <v>53404</v>
      </c>
      <c r="L412" s="142">
        <f t="shared" si="255"/>
        <v>-1</v>
      </c>
      <c r="M412" s="143">
        <f t="shared" si="256"/>
        <v>-5000</v>
      </c>
      <c r="N412" s="171">
        <f>SUM(N413:N415)</f>
        <v>0</v>
      </c>
      <c r="O412" s="146" t="e">
        <f t="shared" si="267"/>
        <v>#DIV/0!</v>
      </c>
      <c r="P412" s="146"/>
      <c r="R412" s="171">
        <f aca="true" t="shared" si="269" ref="R412:Z412">SUM(R413:R415)</f>
        <v>0</v>
      </c>
      <c r="S412" s="171">
        <f t="shared" si="269"/>
        <v>0</v>
      </c>
      <c r="T412" s="171">
        <f t="shared" si="269"/>
        <v>0</v>
      </c>
      <c r="U412" s="171">
        <f t="shared" si="269"/>
        <v>0</v>
      </c>
      <c r="V412" s="171">
        <f t="shared" si="269"/>
        <v>0</v>
      </c>
      <c r="W412" s="171">
        <f t="shared" si="269"/>
        <v>0</v>
      </c>
      <c r="X412" s="171">
        <f t="shared" si="269"/>
        <v>0</v>
      </c>
      <c r="Y412" s="171">
        <f t="shared" si="269"/>
        <v>0</v>
      </c>
      <c r="Z412" s="171">
        <f t="shared" si="269"/>
        <v>0</v>
      </c>
    </row>
    <row r="413" spans="1:26" ht="12.75">
      <c r="A413" s="81" t="s">
        <v>1039</v>
      </c>
      <c r="B413" s="30"/>
      <c r="C413" s="78"/>
      <c r="D413" s="111" t="e">
        <f t="shared" si="266"/>
        <v>#DIV/0!</v>
      </c>
      <c r="E413" s="30">
        <f t="shared" si="260"/>
        <v>71284</v>
      </c>
      <c r="F413" s="104">
        <v>71284</v>
      </c>
      <c r="G413" s="270">
        <f t="shared" si="257"/>
        <v>-0.7884097413164244</v>
      </c>
      <c r="H413" s="267">
        <v>15083</v>
      </c>
      <c r="I413" s="111">
        <f t="shared" si="253"/>
        <v>-0.8597160653161999</v>
      </c>
      <c r="J413" s="30">
        <f t="shared" si="254"/>
        <v>-61284</v>
      </c>
      <c r="K413" s="157">
        <v>18404</v>
      </c>
      <c r="L413" s="142">
        <f t="shared" si="255"/>
        <v>-1</v>
      </c>
      <c r="M413" s="143">
        <f t="shared" si="256"/>
        <v>-10000</v>
      </c>
      <c r="N413" s="147"/>
      <c r="O413" s="146" t="e">
        <f t="shared" si="267"/>
        <v>#DIV/0!</v>
      </c>
      <c r="P413" s="146">
        <v>0.075</v>
      </c>
      <c r="Q413" s="178">
        <v>0.08</v>
      </c>
      <c r="R413" s="147">
        <f t="shared" si="238"/>
        <v>0</v>
      </c>
      <c r="S413" s="147">
        <f>(R413*P413)+R413</f>
        <v>0</v>
      </c>
      <c r="T413" s="147">
        <f>(S413*P413)+S413</f>
        <v>0</v>
      </c>
      <c r="U413" s="147">
        <f aca="true" t="shared" si="270" ref="U413:V415">(T413*P413)+T413</f>
        <v>0</v>
      </c>
      <c r="V413" s="147">
        <f t="shared" si="270"/>
        <v>0</v>
      </c>
      <c r="W413" s="147">
        <f>(V413*P413)+V413</f>
        <v>0</v>
      </c>
      <c r="X413" s="147">
        <f>(W413*P413)+W413</f>
        <v>0</v>
      </c>
      <c r="Y413" s="147">
        <f>(X413*P413)+X413</f>
        <v>0</v>
      </c>
      <c r="Z413" s="147">
        <f>(Y413*P413)+Y413</f>
        <v>0</v>
      </c>
    </row>
    <row r="414" spans="1:26" ht="12.75">
      <c r="A414" s="81" t="s">
        <v>1040</v>
      </c>
      <c r="B414" s="30"/>
      <c r="C414" s="78"/>
      <c r="D414" s="111" t="e">
        <f t="shared" si="266"/>
        <v>#DIV/0!</v>
      </c>
      <c r="E414" s="30">
        <f t="shared" si="260"/>
        <v>12765</v>
      </c>
      <c r="F414" s="104">
        <v>12765</v>
      </c>
      <c r="G414" s="270">
        <f t="shared" si="257"/>
        <v>-1</v>
      </c>
      <c r="H414" s="267">
        <v>0</v>
      </c>
      <c r="I414" s="111">
        <f t="shared" si="253"/>
        <v>-0.2557775166470818</v>
      </c>
      <c r="J414" s="30">
        <f t="shared" si="254"/>
        <v>-3265</v>
      </c>
      <c r="K414" s="157">
        <v>15000</v>
      </c>
      <c r="L414" s="142">
        <f t="shared" si="255"/>
        <v>-1</v>
      </c>
      <c r="M414" s="143">
        <f t="shared" si="256"/>
        <v>-9500</v>
      </c>
      <c r="N414" s="147"/>
      <c r="O414" s="146" t="e">
        <f t="shared" si="267"/>
        <v>#DIV/0!</v>
      </c>
      <c r="P414" s="146">
        <v>0.075</v>
      </c>
      <c r="Q414" s="178">
        <v>0.08</v>
      </c>
      <c r="R414" s="147">
        <f t="shared" si="238"/>
        <v>0</v>
      </c>
      <c r="S414" s="147">
        <f>(R414*P414)+R414</f>
        <v>0</v>
      </c>
      <c r="T414" s="147">
        <f>(S414*P414)+S414</f>
        <v>0</v>
      </c>
      <c r="U414" s="147">
        <f t="shared" si="270"/>
        <v>0</v>
      </c>
      <c r="V414" s="147">
        <f t="shared" si="270"/>
        <v>0</v>
      </c>
      <c r="W414" s="147">
        <f>(V414*P414)+V414</f>
        <v>0</v>
      </c>
      <c r="X414" s="147">
        <f>(W414*P414)+W414</f>
        <v>0</v>
      </c>
      <c r="Y414" s="147">
        <f>(X414*P414)+X414</f>
        <v>0</v>
      </c>
      <c r="Z414" s="147">
        <f>(Y414*P414)+Y414</f>
        <v>0</v>
      </c>
    </row>
    <row r="415" spans="1:26" ht="12.75">
      <c r="A415" s="81" t="s">
        <v>1041</v>
      </c>
      <c r="B415" s="30"/>
      <c r="C415" s="78"/>
      <c r="D415" s="111" t="e">
        <f t="shared" si="266"/>
        <v>#DIV/0!</v>
      </c>
      <c r="E415" s="30">
        <f t="shared" si="260"/>
        <v>145823</v>
      </c>
      <c r="F415" s="104">
        <v>145823</v>
      </c>
      <c r="G415" s="270">
        <f t="shared" si="257"/>
        <v>-0.913216707926733</v>
      </c>
      <c r="H415" s="267">
        <v>12655</v>
      </c>
      <c r="I415" s="111">
        <f t="shared" si="253"/>
        <v>0.7279441514713043</v>
      </c>
      <c r="J415" s="30">
        <f t="shared" si="254"/>
        <v>106151</v>
      </c>
      <c r="K415" s="157">
        <v>20000</v>
      </c>
      <c r="L415" s="142">
        <f t="shared" si="255"/>
        <v>-1</v>
      </c>
      <c r="M415" s="143">
        <f t="shared" si="256"/>
        <v>-251974</v>
      </c>
      <c r="N415" s="147">
        <v>0</v>
      </c>
      <c r="O415" s="146" t="e">
        <f t="shared" si="267"/>
        <v>#DIV/0!</v>
      </c>
      <c r="P415" s="146">
        <v>0.075</v>
      </c>
      <c r="Q415" s="178">
        <v>0.08</v>
      </c>
      <c r="R415" s="147">
        <f t="shared" si="238"/>
        <v>0</v>
      </c>
      <c r="S415" s="147">
        <f>(R415*P415)+R415</f>
        <v>0</v>
      </c>
      <c r="T415" s="147">
        <f>(S415*P415)+S415</f>
        <v>0</v>
      </c>
      <c r="U415" s="147">
        <f t="shared" si="270"/>
        <v>0</v>
      </c>
      <c r="V415" s="147">
        <f t="shared" si="270"/>
        <v>0</v>
      </c>
      <c r="W415" s="147">
        <f>(V415*P415)+V415</f>
        <v>0</v>
      </c>
      <c r="X415" s="147">
        <f>(W415*P415)+W415</f>
        <v>0</v>
      </c>
      <c r="Y415" s="147">
        <f>(X415*P415)+X415</f>
        <v>0</v>
      </c>
      <c r="Z415" s="147">
        <f>(Y415*P415)+Y415</f>
        <v>0</v>
      </c>
    </row>
    <row r="416" spans="1:26" ht="12.75">
      <c r="A416" s="86" t="s">
        <v>465</v>
      </c>
      <c r="B416" s="30"/>
      <c r="C416" s="78"/>
      <c r="D416" s="111" t="e">
        <f t="shared" si="266"/>
        <v>#DIV/0!</v>
      </c>
      <c r="E416" s="30">
        <f t="shared" si="260"/>
        <v>37775</v>
      </c>
      <c r="F416" s="145">
        <f>SUM(F417)</f>
        <v>37775</v>
      </c>
      <c r="G416" s="270">
        <f t="shared" si="257"/>
        <v>0.4506419589675712</v>
      </c>
      <c r="H416" s="267">
        <v>54798</v>
      </c>
      <c r="I416" s="111">
        <f t="shared" si="253"/>
        <v>-1</v>
      </c>
      <c r="J416" s="30">
        <f t="shared" si="254"/>
        <v>-37775</v>
      </c>
      <c r="K416" s="145">
        <f>SUM(K417)</f>
        <v>104500</v>
      </c>
      <c r="L416" s="142" t="e">
        <f t="shared" si="255"/>
        <v>#DIV/0!</v>
      </c>
      <c r="M416" s="143">
        <f t="shared" si="256"/>
        <v>0</v>
      </c>
      <c r="N416" s="171">
        <f>SUM(N417)</f>
        <v>0</v>
      </c>
      <c r="O416" s="146" t="e">
        <f t="shared" si="267"/>
        <v>#DIV/0!</v>
      </c>
      <c r="P416" s="146"/>
      <c r="R416" s="171">
        <f aca="true" t="shared" si="271" ref="R416:Z416">SUM(R417)</f>
        <v>0</v>
      </c>
      <c r="S416" s="171">
        <f t="shared" si="271"/>
        <v>0</v>
      </c>
      <c r="T416" s="171">
        <f t="shared" si="271"/>
        <v>0</v>
      </c>
      <c r="U416" s="171">
        <f t="shared" si="271"/>
        <v>0</v>
      </c>
      <c r="V416" s="171">
        <f t="shared" si="271"/>
        <v>0</v>
      </c>
      <c r="W416" s="171">
        <f t="shared" si="271"/>
        <v>0</v>
      </c>
      <c r="X416" s="171">
        <f t="shared" si="271"/>
        <v>0</v>
      </c>
      <c r="Y416" s="171">
        <f t="shared" si="271"/>
        <v>0</v>
      </c>
      <c r="Z416" s="171">
        <f t="shared" si="271"/>
        <v>0</v>
      </c>
    </row>
    <row r="417" spans="1:26" ht="12.75">
      <c r="A417" s="86" t="s">
        <v>467</v>
      </c>
      <c r="B417" s="30"/>
      <c r="C417" s="78"/>
      <c r="D417" s="111" t="e">
        <f t="shared" si="266"/>
        <v>#DIV/0!</v>
      </c>
      <c r="E417" s="30">
        <f t="shared" si="260"/>
        <v>37775</v>
      </c>
      <c r="F417" s="145">
        <f>SUM(F418:F422)</f>
        <v>37775</v>
      </c>
      <c r="G417" s="270">
        <f t="shared" si="257"/>
        <v>0.4506419589675712</v>
      </c>
      <c r="H417" s="267">
        <v>54798</v>
      </c>
      <c r="I417" s="111">
        <f t="shared" si="253"/>
        <v>-1</v>
      </c>
      <c r="J417" s="30">
        <f t="shared" si="254"/>
        <v>-37775</v>
      </c>
      <c r="K417" s="145">
        <f>SUM(K418:K422)</f>
        <v>104500</v>
      </c>
      <c r="L417" s="142" t="e">
        <f t="shared" si="255"/>
        <v>#DIV/0!</v>
      </c>
      <c r="M417" s="143">
        <f t="shared" si="256"/>
        <v>0</v>
      </c>
      <c r="N417" s="171">
        <f>SUM(N418:N422)</f>
        <v>0</v>
      </c>
      <c r="O417" s="146" t="e">
        <f t="shared" si="267"/>
        <v>#DIV/0!</v>
      </c>
      <c r="P417" s="146"/>
      <c r="R417" s="171">
        <f aca="true" t="shared" si="272" ref="R417:Z417">SUM(R418:R422)</f>
        <v>0</v>
      </c>
      <c r="S417" s="171">
        <f t="shared" si="272"/>
        <v>0</v>
      </c>
      <c r="T417" s="171">
        <f t="shared" si="272"/>
        <v>0</v>
      </c>
      <c r="U417" s="171">
        <f t="shared" si="272"/>
        <v>0</v>
      </c>
      <c r="V417" s="171">
        <f t="shared" si="272"/>
        <v>0</v>
      </c>
      <c r="W417" s="171">
        <f t="shared" si="272"/>
        <v>0</v>
      </c>
      <c r="X417" s="171">
        <f t="shared" si="272"/>
        <v>0</v>
      </c>
      <c r="Y417" s="171">
        <f t="shared" si="272"/>
        <v>0</v>
      </c>
      <c r="Z417" s="171">
        <f t="shared" si="272"/>
        <v>0</v>
      </c>
    </row>
    <row r="418" spans="1:26" ht="12.75">
      <c r="A418" s="81" t="s">
        <v>1042</v>
      </c>
      <c r="B418" s="30"/>
      <c r="C418" s="78"/>
      <c r="D418" s="111" t="e">
        <f t="shared" si="266"/>
        <v>#DIV/0!</v>
      </c>
      <c r="E418" s="30">
        <f t="shared" si="260"/>
        <v>15000</v>
      </c>
      <c r="F418" s="104">
        <v>15000</v>
      </c>
      <c r="G418" s="270">
        <f t="shared" si="257"/>
        <v>1.6640000000000001</v>
      </c>
      <c r="H418" s="267">
        <v>39960</v>
      </c>
      <c r="I418" s="111">
        <f t="shared" si="253"/>
        <v>15.798266666666667</v>
      </c>
      <c r="J418" s="30">
        <f t="shared" si="254"/>
        <v>236974</v>
      </c>
      <c r="K418" s="157">
        <v>70000</v>
      </c>
      <c r="L418" s="142">
        <f t="shared" si="255"/>
        <v>-1</v>
      </c>
      <c r="M418" s="143">
        <f t="shared" si="256"/>
        <v>-251974</v>
      </c>
      <c r="N418" s="147">
        <v>0</v>
      </c>
      <c r="O418" s="146" t="e">
        <f t="shared" si="267"/>
        <v>#DIV/0!</v>
      </c>
      <c r="P418" s="146">
        <v>0.075</v>
      </c>
      <c r="Q418" s="178">
        <v>0.08</v>
      </c>
      <c r="R418" s="147">
        <f t="shared" si="238"/>
        <v>0</v>
      </c>
      <c r="S418" s="147">
        <f>(R418*P418)+R418</f>
        <v>0</v>
      </c>
      <c r="T418" s="147">
        <f>(S418*P418)+S418</f>
        <v>0</v>
      </c>
      <c r="U418" s="147">
        <f aca="true" t="shared" si="273" ref="U418:V422">(T418*P418)+T418</f>
        <v>0</v>
      </c>
      <c r="V418" s="147">
        <f t="shared" si="273"/>
        <v>0</v>
      </c>
      <c r="W418" s="147">
        <f>(V418*P418)+V418</f>
        <v>0</v>
      </c>
      <c r="X418" s="147">
        <f>(W418*P418)+W418</f>
        <v>0</v>
      </c>
      <c r="Y418" s="147">
        <f>(X418*P418)+X418</f>
        <v>0</v>
      </c>
      <c r="Z418" s="147">
        <f>(Y418*P418)+Y418</f>
        <v>0</v>
      </c>
    </row>
    <row r="419" spans="1:26" ht="12.75">
      <c r="A419" s="81" t="s">
        <v>1043</v>
      </c>
      <c r="B419" s="30"/>
      <c r="C419" s="78"/>
      <c r="D419" s="111" t="e">
        <f t="shared" si="266"/>
        <v>#DIV/0!</v>
      </c>
      <c r="E419" s="30">
        <f t="shared" si="260"/>
        <v>0</v>
      </c>
      <c r="F419" s="104"/>
      <c r="G419" s="270" t="e">
        <f t="shared" si="257"/>
        <v>#DIV/0!</v>
      </c>
      <c r="H419" s="267">
        <v>8838</v>
      </c>
      <c r="I419" s="111" t="e">
        <f t="shared" si="253"/>
        <v>#DIV/0!</v>
      </c>
      <c r="J419" s="30">
        <f t="shared" si="254"/>
        <v>26118</v>
      </c>
      <c r="K419" s="157">
        <v>10000</v>
      </c>
      <c r="L419" s="142">
        <f t="shared" si="255"/>
        <v>-1</v>
      </c>
      <c r="M419" s="143">
        <f t="shared" si="256"/>
        <v>-26118</v>
      </c>
      <c r="N419" s="147"/>
      <c r="O419" s="146" t="e">
        <f t="shared" si="267"/>
        <v>#DIV/0!</v>
      </c>
      <c r="P419" s="146">
        <v>0.075</v>
      </c>
      <c r="Q419" s="178">
        <v>0.08</v>
      </c>
      <c r="R419" s="147">
        <f t="shared" si="238"/>
        <v>0</v>
      </c>
      <c r="S419" s="147">
        <f>(R419*P419)+R419</f>
        <v>0</v>
      </c>
      <c r="T419" s="147">
        <f>(S419*P419)+S419</f>
        <v>0</v>
      </c>
      <c r="U419" s="147">
        <f t="shared" si="273"/>
        <v>0</v>
      </c>
      <c r="V419" s="147">
        <f t="shared" si="273"/>
        <v>0</v>
      </c>
      <c r="W419" s="147">
        <f>(V419*P419)+V419</f>
        <v>0</v>
      </c>
      <c r="X419" s="147">
        <f>(W419*P419)+W419</f>
        <v>0</v>
      </c>
      <c r="Y419" s="147">
        <f>(X419*P419)+X419</f>
        <v>0</v>
      </c>
      <c r="Z419" s="147">
        <f>(Y419*P419)+Y419</f>
        <v>0</v>
      </c>
    </row>
    <row r="420" spans="1:26" ht="12.75">
      <c r="A420" s="263" t="s">
        <v>823</v>
      </c>
      <c r="B420" s="30"/>
      <c r="C420" s="78"/>
      <c r="D420" s="111" t="e">
        <f t="shared" si="266"/>
        <v>#DIV/0!</v>
      </c>
      <c r="E420" s="30">
        <f t="shared" si="260"/>
        <v>9775</v>
      </c>
      <c r="F420" s="104">
        <v>9775</v>
      </c>
      <c r="G420" s="270">
        <f t="shared" si="257"/>
        <v>-1</v>
      </c>
      <c r="H420" s="267">
        <v>0</v>
      </c>
      <c r="I420" s="111">
        <f t="shared" si="253"/>
        <v>1.6719181585677751</v>
      </c>
      <c r="J420" s="30">
        <f t="shared" si="254"/>
        <v>16343</v>
      </c>
      <c r="K420" s="157">
        <v>5000</v>
      </c>
      <c r="L420" s="142">
        <f t="shared" si="255"/>
        <v>-1</v>
      </c>
      <c r="M420" s="143">
        <f t="shared" si="256"/>
        <v>-26118</v>
      </c>
      <c r="N420" s="147"/>
      <c r="O420" s="146" t="e">
        <f t="shared" si="267"/>
        <v>#DIV/0!</v>
      </c>
      <c r="P420" s="146">
        <v>0.075</v>
      </c>
      <c r="Q420" s="178">
        <v>0.08</v>
      </c>
      <c r="R420" s="147">
        <f t="shared" si="238"/>
        <v>0</v>
      </c>
      <c r="S420" s="147">
        <f>(R420*P420)+R420</f>
        <v>0</v>
      </c>
      <c r="T420" s="147">
        <f>(S420*P420)+S420</f>
        <v>0</v>
      </c>
      <c r="U420" s="147">
        <f t="shared" si="273"/>
        <v>0</v>
      </c>
      <c r="V420" s="147">
        <f t="shared" si="273"/>
        <v>0</v>
      </c>
      <c r="W420" s="147">
        <f>(V420*P420)+V420</f>
        <v>0</v>
      </c>
      <c r="X420" s="147">
        <f>(W420*P420)+W420</f>
        <v>0</v>
      </c>
      <c r="Y420" s="147">
        <f>(X420*P420)+X420</f>
        <v>0</v>
      </c>
      <c r="Z420" s="147">
        <f>(Y420*P420)+Y420</f>
        <v>0</v>
      </c>
    </row>
    <row r="421" spans="1:26" ht="12.75">
      <c r="A421" s="81" t="s">
        <v>691</v>
      </c>
      <c r="B421" s="30"/>
      <c r="C421" s="78"/>
      <c r="D421" s="111" t="e">
        <f t="shared" si="266"/>
        <v>#DIV/0!</v>
      </c>
      <c r="E421" s="30">
        <f t="shared" si="260"/>
        <v>10000</v>
      </c>
      <c r="F421" s="104">
        <v>10000</v>
      </c>
      <c r="G421" s="270">
        <f t="shared" si="257"/>
        <v>-1</v>
      </c>
      <c r="H421" s="267">
        <v>0</v>
      </c>
      <c r="I421" s="111">
        <f aca="true" t="shared" si="274" ref="I421:I428">K430/F421-1</f>
        <v>21.5856</v>
      </c>
      <c r="J421" s="30">
        <f aca="true" t="shared" si="275" ref="J421:J428">K430-F421</f>
        <v>215856</v>
      </c>
      <c r="K421" s="157">
        <v>10000</v>
      </c>
      <c r="L421" s="142">
        <f aca="true" t="shared" si="276" ref="L421:L428">N421/K430-1</f>
        <v>-1</v>
      </c>
      <c r="M421" s="143">
        <f aca="true" t="shared" si="277" ref="M421:M428">N421-K430</f>
        <v>-225856</v>
      </c>
      <c r="N421" s="147"/>
      <c r="O421" s="146" t="e">
        <f t="shared" si="267"/>
        <v>#DIV/0!</v>
      </c>
      <c r="P421" s="146">
        <v>0.075</v>
      </c>
      <c r="Q421" s="178">
        <v>0.08</v>
      </c>
      <c r="R421" s="147">
        <f t="shared" si="238"/>
        <v>0</v>
      </c>
      <c r="S421" s="147">
        <f>(R421*P421)+R421</f>
        <v>0</v>
      </c>
      <c r="T421" s="147">
        <f>(S421*P421)+S421</f>
        <v>0</v>
      </c>
      <c r="U421" s="147">
        <f t="shared" si="273"/>
        <v>0</v>
      </c>
      <c r="V421" s="147">
        <f t="shared" si="273"/>
        <v>0</v>
      </c>
      <c r="W421" s="147">
        <f>(V421*P421)+V421</f>
        <v>0</v>
      </c>
      <c r="X421" s="147">
        <f>(W421*P421)+W421</f>
        <v>0</v>
      </c>
      <c r="Y421" s="147">
        <f>(X421*P421)+X421</f>
        <v>0</v>
      </c>
      <c r="Z421" s="147">
        <f>(Y421*P421)+Y421</f>
        <v>0</v>
      </c>
    </row>
    <row r="422" spans="1:26" ht="12.75">
      <c r="A422" s="81" t="s">
        <v>1044</v>
      </c>
      <c r="B422" s="30"/>
      <c r="C422" s="78"/>
      <c r="D422" s="111" t="e">
        <f t="shared" si="266"/>
        <v>#DIV/0!</v>
      </c>
      <c r="E422" s="30">
        <f t="shared" si="260"/>
        <v>3000</v>
      </c>
      <c r="F422" s="104">
        <v>3000</v>
      </c>
      <c r="G422" s="270">
        <f t="shared" si="257"/>
        <v>1</v>
      </c>
      <c r="H422" s="267">
        <v>6000</v>
      </c>
      <c r="I422" s="111">
        <f t="shared" si="274"/>
        <v>29.867</v>
      </c>
      <c r="J422" s="30">
        <f t="shared" si="275"/>
        <v>89601</v>
      </c>
      <c r="K422" s="157">
        <v>9500</v>
      </c>
      <c r="L422" s="142">
        <f t="shared" si="276"/>
        <v>-1</v>
      </c>
      <c r="M422" s="143">
        <f t="shared" si="277"/>
        <v>-92601</v>
      </c>
      <c r="N422" s="147">
        <v>0</v>
      </c>
      <c r="O422" s="146" t="e">
        <f t="shared" si="267"/>
        <v>#DIV/0!</v>
      </c>
      <c r="P422" s="146">
        <v>0.075</v>
      </c>
      <c r="Q422" s="178">
        <v>0.08</v>
      </c>
      <c r="R422" s="147">
        <f t="shared" si="238"/>
        <v>0</v>
      </c>
      <c r="S422" s="147">
        <f>(R422*P422)+R422</f>
        <v>0</v>
      </c>
      <c r="T422" s="147">
        <f>(S422*P422)+S422</f>
        <v>0</v>
      </c>
      <c r="U422" s="147">
        <f t="shared" si="273"/>
        <v>0</v>
      </c>
      <c r="V422" s="147">
        <f t="shared" si="273"/>
        <v>0</v>
      </c>
      <c r="W422" s="147">
        <f>(V422*P422)+V422</f>
        <v>0</v>
      </c>
      <c r="X422" s="147">
        <f>(W422*P422)+W422</f>
        <v>0</v>
      </c>
      <c r="Y422" s="147">
        <f>(X422*P422)+X422</f>
        <v>0</v>
      </c>
      <c r="Z422" s="147">
        <f>(Y422*P422)+Y422</f>
        <v>0</v>
      </c>
    </row>
    <row r="423" spans="1:26" ht="12.75">
      <c r="A423" s="150" t="s">
        <v>1045</v>
      </c>
      <c r="B423" s="30"/>
      <c r="C423" s="78"/>
      <c r="D423" s="111" t="e">
        <f t="shared" si="266"/>
        <v>#DIV/0!</v>
      </c>
      <c r="E423" s="30">
        <f t="shared" si="260"/>
        <v>525838</v>
      </c>
      <c r="F423" s="84">
        <f>F424+F426</f>
        <v>525838</v>
      </c>
      <c r="G423" s="270">
        <f t="shared" si="257"/>
        <v>-0.6280584514622374</v>
      </c>
      <c r="H423" s="267">
        <v>195581</v>
      </c>
      <c r="I423" s="111">
        <f t="shared" si="274"/>
        <v>-0.8858964167671413</v>
      </c>
      <c r="J423" s="30">
        <f t="shared" si="275"/>
        <v>-465838</v>
      </c>
      <c r="K423" s="84">
        <f>K424+K426</f>
        <v>251974</v>
      </c>
      <c r="L423" s="142">
        <f t="shared" si="276"/>
        <v>3.35975</v>
      </c>
      <c r="M423" s="143">
        <f t="shared" si="277"/>
        <v>201585</v>
      </c>
      <c r="N423" s="167">
        <f>N424+N426</f>
        <v>261585</v>
      </c>
      <c r="O423" s="146" t="e">
        <f t="shared" si="267"/>
        <v>#DIV/0!</v>
      </c>
      <c r="P423" s="146"/>
      <c r="R423" s="167">
        <f aca="true" t="shared" si="278" ref="R423:Z423">R424+R426</f>
        <v>281203.875</v>
      </c>
      <c r="S423" s="167">
        <f t="shared" si="278"/>
        <v>302294.16562499997</v>
      </c>
      <c r="T423" s="167">
        <f t="shared" si="278"/>
        <v>326477.698875</v>
      </c>
      <c r="U423" s="167">
        <f t="shared" si="278"/>
        <v>352595.914785</v>
      </c>
      <c r="V423" s="167">
        <f t="shared" si="278"/>
        <v>380790.1087578001</v>
      </c>
      <c r="W423" s="167">
        <f t="shared" si="278"/>
        <v>411253.317458424</v>
      </c>
      <c r="X423" s="167">
        <f t="shared" si="278"/>
        <v>444153.582855098</v>
      </c>
      <c r="Y423" s="167">
        <f t="shared" si="278"/>
        <v>479685.86948350584</v>
      </c>
      <c r="Z423" s="167">
        <f t="shared" si="278"/>
        <v>517046.08237326663</v>
      </c>
    </row>
    <row r="424" spans="1:26" ht="12.75">
      <c r="A424" s="86" t="s">
        <v>1046</v>
      </c>
      <c r="B424" s="30"/>
      <c r="C424" s="78"/>
      <c r="D424" s="111" t="e">
        <f t="shared" si="266"/>
        <v>#DIV/0!</v>
      </c>
      <c r="E424" s="30">
        <f t="shared" si="260"/>
        <v>0</v>
      </c>
      <c r="F424" s="104"/>
      <c r="G424" s="270" t="e">
        <f t="shared" si="257"/>
        <v>#DIV/0!</v>
      </c>
      <c r="H424" s="267">
        <v>0</v>
      </c>
      <c r="I424" s="111" t="e">
        <f t="shared" si="274"/>
        <v>#DIV/0!</v>
      </c>
      <c r="J424" s="30">
        <f t="shared" si="275"/>
        <v>32601</v>
      </c>
      <c r="K424" s="145">
        <f>K425</f>
        <v>0</v>
      </c>
      <c r="L424" s="142">
        <f t="shared" si="276"/>
        <v>-0.7051930922364344</v>
      </c>
      <c r="M424" s="143">
        <f t="shared" si="277"/>
        <v>-22990</v>
      </c>
      <c r="N424" s="171">
        <f>N425</f>
        <v>9611</v>
      </c>
      <c r="O424" s="146" t="e">
        <f t="shared" si="267"/>
        <v>#DIV/0!</v>
      </c>
      <c r="P424" s="146"/>
      <c r="R424" s="171">
        <f aca="true" t="shared" si="279" ref="R424:Z424">R425</f>
        <v>10331.825</v>
      </c>
      <c r="S424" s="171">
        <f t="shared" si="279"/>
        <v>11106.711875</v>
      </c>
      <c r="T424" s="171">
        <f t="shared" si="279"/>
        <v>11995.248825</v>
      </c>
      <c r="U424" s="171">
        <f t="shared" si="279"/>
        <v>12954.868731</v>
      </c>
      <c r="V424" s="171">
        <f t="shared" si="279"/>
        <v>13991.258229480001</v>
      </c>
      <c r="W424" s="171">
        <f t="shared" si="279"/>
        <v>15110.5588878384</v>
      </c>
      <c r="X424" s="171">
        <f t="shared" si="279"/>
        <v>16319.403598865472</v>
      </c>
      <c r="Y424" s="171">
        <f t="shared" si="279"/>
        <v>17624.95588677471</v>
      </c>
      <c r="Z424" s="171">
        <f t="shared" si="279"/>
        <v>19034.952357716687</v>
      </c>
    </row>
    <row r="425" spans="1:26" ht="12.75">
      <c r="A425" s="81" t="s">
        <v>1047</v>
      </c>
      <c r="B425" s="30"/>
      <c r="C425" s="78"/>
      <c r="D425" s="111" t="e">
        <f t="shared" si="266"/>
        <v>#DIV/0!</v>
      </c>
      <c r="E425" s="30">
        <f t="shared" si="260"/>
        <v>0</v>
      </c>
      <c r="F425" s="104"/>
      <c r="G425" s="270" t="e">
        <f t="shared" si="257"/>
        <v>#DIV/0!</v>
      </c>
      <c r="H425" s="267">
        <v>0</v>
      </c>
      <c r="I425" s="111" t="e">
        <f t="shared" si="274"/>
        <v>#DIV/0!</v>
      </c>
      <c r="J425" s="30">
        <f t="shared" si="275"/>
        <v>15810</v>
      </c>
      <c r="K425" s="157">
        <v>0</v>
      </c>
      <c r="L425" s="142">
        <f t="shared" si="276"/>
        <v>-0.39209361163820367</v>
      </c>
      <c r="M425" s="143">
        <f t="shared" si="277"/>
        <v>-6199</v>
      </c>
      <c r="N425" s="179">
        <v>9611</v>
      </c>
      <c r="O425" s="146" t="e">
        <f t="shared" si="267"/>
        <v>#DIV/0!</v>
      </c>
      <c r="P425" s="146">
        <v>0.075</v>
      </c>
      <c r="Q425" s="178">
        <v>0.08</v>
      </c>
      <c r="R425" s="162">
        <f>(N425*P425)+N425</f>
        <v>10331.825</v>
      </c>
      <c r="S425" s="162">
        <f>(R425*P425)+R425</f>
        <v>11106.711875</v>
      </c>
      <c r="T425" s="162">
        <f>(S425*Q425)+S425</f>
        <v>11995.248825</v>
      </c>
      <c r="U425" s="162">
        <f>(T425*Q425)+T425</f>
        <v>12954.868731</v>
      </c>
      <c r="V425" s="147">
        <f>(U425*Q425)+U425</f>
        <v>13991.258229480001</v>
      </c>
      <c r="W425" s="162">
        <f>(V425*Q425)+V425</f>
        <v>15110.5588878384</v>
      </c>
      <c r="X425" s="162">
        <f>(W425*Q425)+W425</f>
        <v>16319.403598865472</v>
      </c>
      <c r="Y425" s="162">
        <f>(X425*Q425)+X425</f>
        <v>17624.95588677471</v>
      </c>
      <c r="Z425" s="147">
        <f>(Y425*Q425)+Y425</f>
        <v>19034.952357716687</v>
      </c>
    </row>
    <row r="426" spans="1:26" ht="12.75">
      <c r="A426" s="86" t="s">
        <v>1048</v>
      </c>
      <c r="B426" s="30"/>
      <c r="C426" s="78"/>
      <c r="D426" s="111" t="e">
        <f t="shared" si="266"/>
        <v>#DIV/0!</v>
      </c>
      <c r="E426" s="30">
        <f t="shared" si="260"/>
        <v>525838</v>
      </c>
      <c r="F426" s="84">
        <f>F427+F431+F434+F436+F438</f>
        <v>525838</v>
      </c>
      <c r="G426" s="270">
        <f t="shared" si="257"/>
        <v>-0.6280584514622374</v>
      </c>
      <c r="H426" s="267">
        <v>195581</v>
      </c>
      <c r="I426" s="111">
        <f t="shared" si="274"/>
        <v>-0.9699337058181418</v>
      </c>
      <c r="J426" s="30">
        <f t="shared" si="275"/>
        <v>-510028</v>
      </c>
      <c r="K426" s="84">
        <f>K427+K431+K434+K436+K438</f>
        <v>251974</v>
      </c>
      <c r="L426" s="142">
        <f t="shared" si="276"/>
        <v>14.93763440860215</v>
      </c>
      <c r="M426" s="143">
        <f t="shared" si="277"/>
        <v>236164</v>
      </c>
      <c r="N426" s="167">
        <f>N427+N431+N434+N436+N438</f>
        <v>251974</v>
      </c>
      <c r="O426" s="146" t="e">
        <f t="shared" si="267"/>
        <v>#DIV/0!</v>
      </c>
      <c r="P426" s="146"/>
      <c r="R426" s="167">
        <f aca="true" t="shared" si="280" ref="R426:Z426">R427+R431+R434+R436+R438</f>
        <v>270872.05</v>
      </c>
      <c r="S426" s="167">
        <f t="shared" si="280"/>
        <v>291187.45375</v>
      </c>
      <c r="T426" s="167">
        <f t="shared" si="280"/>
        <v>314482.45005</v>
      </c>
      <c r="U426" s="167">
        <f t="shared" si="280"/>
        <v>339641.046054</v>
      </c>
      <c r="V426" s="167">
        <f t="shared" si="280"/>
        <v>366798.85052832006</v>
      </c>
      <c r="W426" s="167">
        <f t="shared" si="280"/>
        <v>396142.75857058563</v>
      </c>
      <c r="X426" s="167">
        <f t="shared" si="280"/>
        <v>427834.1792562325</v>
      </c>
      <c r="Y426" s="167">
        <f t="shared" si="280"/>
        <v>462060.91359673114</v>
      </c>
      <c r="Z426" s="167">
        <f t="shared" si="280"/>
        <v>498011.13001554995</v>
      </c>
    </row>
    <row r="427" spans="1:26" ht="12.75">
      <c r="A427" s="86" t="s">
        <v>1049</v>
      </c>
      <c r="B427" s="30"/>
      <c r="C427" s="78"/>
      <c r="D427" s="111" t="e">
        <f t="shared" si="266"/>
        <v>#DIV/0!</v>
      </c>
      <c r="E427" s="30">
        <f t="shared" si="260"/>
        <v>7536</v>
      </c>
      <c r="F427" s="145">
        <f>SUM(F428:F429)</f>
        <v>7536</v>
      </c>
      <c r="G427" s="270">
        <f t="shared" si="257"/>
        <v>2.465764331210191</v>
      </c>
      <c r="H427" s="267">
        <v>26118</v>
      </c>
      <c r="I427" s="111">
        <f t="shared" si="274"/>
        <v>-0.10084925690021229</v>
      </c>
      <c r="J427" s="30">
        <f t="shared" si="275"/>
        <v>-760</v>
      </c>
      <c r="K427" s="145">
        <f>SUM(K428:K429)</f>
        <v>26118</v>
      </c>
      <c r="L427" s="142">
        <f t="shared" si="276"/>
        <v>2.854486422668241</v>
      </c>
      <c r="M427" s="143">
        <f t="shared" si="277"/>
        <v>19342</v>
      </c>
      <c r="N427" s="171">
        <f>SUM(N428:N429)</f>
        <v>26118</v>
      </c>
      <c r="O427" s="146" t="e">
        <f t="shared" si="267"/>
        <v>#DIV/0!</v>
      </c>
      <c r="P427" s="146"/>
      <c r="R427" s="171">
        <f aca="true" t="shared" si="281" ref="R427:Z427">SUM(R428:R429)</f>
        <v>28076.85</v>
      </c>
      <c r="S427" s="171">
        <f t="shared" si="281"/>
        <v>30182.613749999997</v>
      </c>
      <c r="T427" s="171">
        <f t="shared" si="281"/>
        <v>32597.22285</v>
      </c>
      <c r="U427" s="171">
        <f t="shared" si="281"/>
        <v>35205.000678</v>
      </c>
      <c r="V427" s="171">
        <f t="shared" si="281"/>
        <v>38021.40073224</v>
      </c>
      <c r="W427" s="171">
        <f t="shared" si="281"/>
        <v>41063.1127908192</v>
      </c>
      <c r="X427" s="171">
        <f t="shared" si="281"/>
        <v>44348.161814084735</v>
      </c>
      <c r="Y427" s="171">
        <f t="shared" si="281"/>
        <v>47896.01475921151</v>
      </c>
      <c r="Z427" s="171">
        <f t="shared" si="281"/>
        <v>51727.69593994843</v>
      </c>
    </row>
    <row r="428" spans="1:26" ht="12.75">
      <c r="A428" s="148" t="s">
        <v>1047</v>
      </c>
      <c r="B428" s="30"/>
      <c r="C428" s="78"/>
      <c r="D428" s="111" t="e">
        <f t="shared" si="266"/>
        <v>#DIV/0!</v>
      </c>
      <c r="E428" s="30">
        <f t="shared" si="260"/>
        <v>7536</v>
      </c>
      <c r="F428" s="104">
        <v>7536</v>
      </c>
      <c r="G428" s="270">
        <f t="shared" si="257"/>
        <v>2.465764331210191</v>
      </c>
      <c r="H428" s="267">
        <v>26118</v>
      </c>
      <c r="I428" s="111">
        <f t="shared" si="274"/>
        <v>-0.10084925690021229</v>
      </c>
      <c r="J428" s="30">
        <f t="shared" si="275"/>
        <v>-760</v>
      </c>
      <c r="K428" s="157">
        <v>26118</v>
      </c>
      <c r="L428" s="142">
        <f t="shared" si="276"/>
        <v>-1</v>
      </c>
      <c r="M428" s="143">
        <f t="shared" si="277"/>
        <v>-6776</v>
      </c>
      <c r="N428" s="179">
        <v>0</v>
      </c>
      <c r="O428" s="146" t="e">
        <f t="shared" si="267"/>
        <v>#DIV/0!</v>
      </c>
      <c r="P428" s="146">
        <v>0.075</v>
      </c>
      <c r="Q428" s="178">
        <v>0.08</v>
      </c>
      <c r="R428" s="147">
        <f>(N428*P428)+N428</f>
        <v>0</v>
      </c>
      <c r="S428" s="162">
        <f>(R428*P428)+R428</f>
        <v>0</v>
      </c>
      <c r="T428" s="162">
        <f>(S428*Q428)+S428</f>
        <v>0</v>
      </c>
      <c r="U428" s="162">
        <f>(T428*Q428)+T428</f>
        <v>0</v>
      </c>
      <c r="V428" s="147">
        <f>(U428*Q428)+U428</f>
        <v>0</v>
      </c>
      <c r="W428" s="162">
        <f>(V428*Q428)+V428</f>
        <v>0</v>
      </c>
      <c r="X428" s="162">
        <f>(W428*Q428)+W428</f>
        <v>0</v>
      </c>
      <c r="Y428" s="162">
        <f>(X428*Q428)+X428</f>
        <v>0</v>
      </c>
      <c r="Z428" s="147">
        <f>(Y428*Q428)+Y428</f>
        <v>0</v>
      </c>
    </row>
    <row r="429" spans="1:26" ht="12.75">
      <c r="A429" s="148" t="s">
        <v>1107</v>
      </c>
      <c r="B429" s="30"/>
      <c r="C429" s="78"/>
      <c r="D429" s="111"/>
      <c r="E429" s="30"/>
      <c r="F429" s="104"/>
      <c r="G429" s="270" t="e">
        <f t="shared" si="257"/>
        <v>#DIV/0!</v>
      </c>
      <c r="H429" s="79"/>
      <c r="I429" s="111"/>
      <c r="J429" s="30"/>
      <c r="L429" s="142"/>
      <c r="M429" s="143"/>
      <c r="N429" s="179">
        <v>26118</v>
      </c>
      <c r="O429" s="146"/>
      <c r="P429" s="146">
        <v>0.075</v>
      </c>
      <c r="Q429" s="178">
        <v>0.08</v>
      </c>
      <c r="R429" s="162">
        <f>(N429*P429)+N429</f>
        <v>28076.85</v>
      </c>
      <c r="S429" s="162">
        <f>(R429*P429)+R429</f>
        <v>30182.613749999997</v>
      </c>
      <c r="T429" s="162">
        <f>(S429*Q429)+S429</f>
        <v>32597.22285</v>
      </c>
      <c r="U429" s="162">
        <f>(T429*Q429)+T429</f>
        <v>35205.000678</v>
      </c>
      <c r="V429" s="147">
        <f>(U429*Q429)+U429</f>
        <v>38021.40073224</v>
      </c>
      <c r="W429" s="162">
        <f>(V429*Q429)+V429</f>
        <v>41063.1127908192</v>
      </c>
      <c r="X429" s="162">
        <f>(W429*Q429)+W429</f>
        <v>44348.161814084735</v>
      </c>
      <c r="Y429" s="162">
        <f>(X429*Q429)+X429</f>
        <v>47896.01475921151</v>
      </c>
      <c r="Z429" s="147">
        <f>(Y429*Q429)+Y429</f>
        <v>51727.69593994843</v>
      </c>
    </row>
    <row r="430" spans="1:26" ht="12.75">
      <c r="A430" s="86" t="s">
        <v>1050</v>
      </c>
      <c r="B430" s="30"/>
      <c r="C430" s="78"/>
      <c r="D430" s="111" t="e">
        <f t="shared" si="266"/>
        <v>#DIV/0!</v>
      </c>
      <c r="E430" s="30">
        <f t="shared" si="260"/>
        <v>518302</v>
      </c>
      <c r="F430" s="84">
        <f>F431+F434+F436+F438</f>
        <v>518302</v>
      </c>
      <c r="G430" s="270">
        <f t="shared" si="257"/>
        <v>-0.673041971669027</v>
      </c>
      <c r="H430" s="267">
        <v>169463</v>
      </c>
      <c r="I430" s="111">
        <f aca="true" t="shared" si="282" ref="I430:I437">K439/F430-1</f>
        <v>-0.9614124583736895</v>
      </c>
      <c r="J430" s="30">
        <f aca="true" t="shared" si="283" ref="J430:J437">K439-F430</f>
        <v>-498302</v>
      </c>
      <c r="K430" s="84">
        <f>K431+K434+K436+K438</f>
        <v>225856</v>
      </c>
      <c r="L430" s="142">
        <f aca="true" t="shared" si="284" ref="L430:L437">N430/K439-1</f>
        <v>10.2928</v>
      </c>
      <c r="M430" s="143">
        <f aca="true" t="shared" si="285" ref="M430:M437">N430-K439</f>
        <v>205856</v>
      </c>
      <c r="N430" s="167">
        <f>N431+N434+N436+N438</f>
        <v>225856</v>
      </c>
      <c r="O430" s="146" t="e">
        <f t="shared" si="267"/>
        <v>#DIV/0!</v>
      </c>
      <c r="P430" s="146"/>
      <c r="R430" s="167">
        <f aca="true" t="shared" si="286" ref="R430:Z430">R431+R434+R436+R438</f>
        <v>242795.2</v>
      </c>
      <c r="S430" s="167">
        <f t="shared" si="286"/>
        <v>261004.84</v>
      </c>
      <c r="T430" s="167">
        <f t="shared" si="286"/>
        <v>281885.22719999996</v>
      </c>
      <c r="U430" s="167">
        <f t="shared" si="286"/>
        <v>304436.045376</v>
      </c>
      <c r="V430" s="167">
        <f t="shared" si="286"/>
        <v>328777.44979608</v>
      </c>
      <c r="W430" s="167">
        <f t="shared" si="286"/>
        <v>355079.6457797664</v>
      </c>
      <c r="X430" s="167">
        <f t="shared" si="286"/>
        <v>383486.0174421478</v>
      </c>
      <c r="Y430" s="167">
        <f t="shared" si="286"/>
        <v>414164.89883751963</v>
      </c>
      <c r="Z430" s="167">
        <f t="shared" si="286"/>
        <v>446283.43407560146</v>
      </c>
    </row>
    <row r="431" spans="1:26" ht="12.75">
      <c r="A431" s="86" t="s">
        <v>1051</v>
      </c>
      <c r="B431" s="30"/>
      <c r="C431" s="78"/>
      <c r="D431" s="111" t="e">
        <f t="shared" si="266"/>
        <v>#DIV/0!</v>
      </c>
      <c r="E431" s="30">
        <f t="shared" si="260"/>
        <v>189931</v>
      </c>
      <c r="F431" s="145">
        <f>SUM(F432:F433)</f>
        <v>189931</v>
      </c>
      <c r="G431" s="270">
        <f t="shared" si="257"/>
        <v>-0.665994492736836</v>
      </c>
      <c r="H431" s="267">
        <v>63438</v>
      </c>
      <c r="I431" s="111">
        <f t="shared" si="282"/>
        <v>-0.8946986010709153</v>
      </c>
      <c r="J431" s="30">
        <f t="shared" si="283"/>
        <v>-169931</v>
      </c>
      <c r="K431" s="145">
        <f>SUM(K432:K433)</f>
        <v>92601</v>
      </c>
      <c r="L431" s="142">
        <f t="shared" si="284"/>
        <v>3.6300499999999998</v>
      </c>
      <c r="M431" s="143">
        <f t="shared" si="285"/>
        <v>72601</v>
      </c>
      <c r="N431" s="171">
        <f>SUM(N432:N433)</f>
        <v>92601</v>
      </c>
      <c r="O431" s="146" t="e">
        <f t="shared" si="267"/>
        <v>#DIV/0!</v>
      </c>
      <c r="P431" s="146"/>
      <c r="R431" s="171">
        <f aca="true" t="shared" si="287" ref="R431:Z431">SUM(R432:R433)</f>
        <v>99546.075</v>
      </c>
      <c r="S431" s="171">
        <f t="shared" si="287"/>
        <v>107012.030625</v>
      </c>
      <c r="T431" s="171">
        <f t="shared" si="287"/>
        <v>115572.993075</v>
      </c>
      <c r="U431" s="171">
        <f t="shared" si="287"/>
        <v>124818.832521</v>
      </c>
      <c r="V431" s="171">
        <f t="shared" si="287"/>
        <v>134804.33912268002</v>
      </c>
      <c r="W431" s="171">
        <f t="shared" si="287"/>
        <v>145588.68625249443</v>
      </c>
      <c r="X431" s="171">
        <f t="shared" si="287"/>
        <v>157235.781152694</v>
      </c>
      <c r="Y431" s="171">
        <f t="shared" si="287"/>
        <v>169814.64364490952</v>
      </c>
      <c r="Z431" s="171">
        <f t="shared" si="287"/>
        <v>183399.8151365023</v>
      </c>
    </row>
    <row r="432" spans="1:26" ht="12.75">
      <c r="A432" s="81" t="s">
        <v>1052</v>
      </c>
      <c r="B432" s="30"/>
      <c r="C432" s="78"/>
      <c r="D432" s="111" t="e">
        <f t="shared" si="266"/>
        <v>#DIV/0!</v>
      </c>
      <c r="E432" s="30">
        <f t="shared" si="260"/>
        <v>88738</v>
      </c>
      <c r="F432" s="104">
        <f>11951+76787</f>
        <v>88738</v>
      </c>
      <c r="G432" s="270">
        <f t="shared" si="257"/>
        <v>-0.3239311230814307</v>
      </c>
      <c r="H432" s="267">
        <v>59993</v>
      </c>
      <c r="I432" s="111">
        <f t="shared" si="282"/>
        <v>-0.8309630597940003</v>
      </c>
      <c r="J432" s="30">
        <f t="shared" si="283"/>
        <v>-73738</v>
      </c>
      <c r="K432" s="157">
        <v>60000</v>
      </c>
      <c r="L432" s="142">
        <f t="shared" si="284"/>
        <v>-1</v>
      </c>
      <c r="M432" s="143">
        <f t="shared" si="285"/>
        <v>-15000</v>
      </c>
      <c r="N432" s="162">
        <v>0</v>
      </c>
      <c r="O432" s="146" t="e">
        <f t="shared" si="267"/>
        <v>#DIV/0!</v>
      </c>
      <c r="P432" s="146">
        <v>0.075</v>
      </c>
      <c r="Q432" s="178">
        <v>0.08</v>
      </c>
      <c r="R432" s="162">
        <f>(N432*P432)+N432</f>
        <v>0</v>
      </c>
      <c r="S432" s="162">
        <f>(R432*P432)+R432</f>
        <v>0</v>
      </c>
      <c r="T432" s="162">
        <f>(S432*Q432)+S432</f>
        <v>0</v>
      </c>
      <c r="U432" s="162">
        <f>(T432*Q432)+T432</f>
        <v>0</v>
      </c>
      <c r="V432" s="147">
        <f>(U432*Q432)+U432</f>
        <v>0</v>
      </c>
      <c r="W432" s="162">
        <f>(V432*Q432)+V432</f>
        <v>0</v>
      </c>
      <c r="X432" s="162">
        <f>(W432*Q432)+W432</f>
        <v>0</v>
      </c>
      <c r="Y432" s="162">
        <f>(X432*Q432)+X432</f>
        <v>0</v>
      </c>
      <c r="Z432" s="147">
        <f>(Y432*Q432)+Y432</f>
        <v>0</v>
      </c>
    </row>
    <row r="433" spans="1:26" ht="12.75">
      <c r="A433" s="81" t="s">
        <v>1053</v>
      </c>
      <c r="B433" s="30"/>
      <c r="C433" s="78"/>
      <c r="D433" s="111" t="e">
        <f t="shared" si="266"/>
        <v>#DIV/0!</v>
      </c>
      <c r="E433" s="30">
        <f t="shared" si="260"/>
        <v>101193</v>
      </c>
      <c r="F433" s="104">
        <f>55000+37460+8733</f>
        <v>101193</v>
      </c>
      <c r="G433" s="270">
        <f t="shared" si="257"/>
        <v>-0.9659561432114869</v>
      </c>
      <c r="H433" s="267">
        <v>3445</v>
      </c>
      <c r="I433" s="111">
        <f t="shared" si="282"/>
        <v>-0.8517684029527735</v>
      </c>
      <c r="J433" s="30">
        <f t="shared" si="283"/>
        <v>-86193</v>
      </c>
      <c r="K433" s="157">
        <v>32601</v>
      </c>
      <c r="L433" s="142">
        <f t="shared" si="284"/>
        <v>5.1734</v>
      </c>
      <c r="M433" s="143">
        <f t="shared" si="285"/>
        <v>77601</v>
      </c>
      <c r="N433" s="183">
        <v>92601</v>
      </c>
      <c r="O433" s="146" t="e">
        <f t="shared" si="267"/>
        <v>#DIV/0!</v>
      </c>
      <c r="P433" s="146">
        <v>0.075</v>
      </c>
      <c r="Q433" s="178">
        <v>0.08</v>
      </c>
      <c r="R433" s="162">
        <f>(N433*P433)+N433</f>
        <v>99546.075</v>
      </c>
      <c r="S433" s="162">
        <f>(R433*P433)+R433</f>
        <v>107012.030625</v>
      </c>
      <c r="T433" s="162">
        <f>(S433*Q433)+S433</f>
        <v>115572.993075</v>
      </c>
      <c r="U433" s="162">
        <f>(T433*Q433)+T433</f>
        <v>124818.832521</v>
      </c>
      <c r="V433" s="147">
        <f>(U433*Q433)+U433</f>
        <v>134804.33912268002</v>
      </c>
      <c r="W433" s="162">
        <f>(V433*Q433)+V433</f>
        <v>145588.68625249443</v>
      </c>
      <c r="X433" s="162">
        <f>(W433*Q433)+W433</f>
        <v>157235.781152694</v>
      </c>
      <c r="Y433" s="162">
        <f>(X433*Q433)+X433</f>
        <v>169814.64364490952</v>
      </c>
      <c r="Z433" s="147">
        <f>(Y433*Q433)+Y433</f>
        <v>183399.8151365023</v>
      </c>
    </row>
    <row r="434" spans="1:26" ht="12.75">
      <c r="A434" s="86" t="s">
        <v>1054</v>
      </c>
      <c r="B434" s="30"/>
      <c r="C434" s="78"/>
      <c r="D434" s="111" t="e">
        <f t="shared" si="266"/>
        <v>#DIV/0!</v>
      </c>
      <c r="E434" s="30">
        <f t="shared" si="260"/>
        <v>48757</v>
      </c>
      <c r="F434" s="105">
        <f>SUM(F435)</f>
        <v>48757</v>
      </c>
      <c r="G434" s="270">
        <f t="shared" si="257"/>
        <v>-0.6871013392948705</v>
      </c>
      <c r="H434" s="267">
        <v>15256</v>
      </c>
      <c r="I434" s="111">
        <f t="shared" si="282"/>
        <v>-0.6786307607112825</v>
      </c>
      <c r="J434" s="30">
        <f t="shared" si="283"/>
        <v>-33088</v>
      </c>
      <c r="K434" s="84">
        <f>K435</f>
        <v>15810</v>
      </c>
      <c r="L434" s="142">
        <f t="shared" si="284"/>
        <v>0.008998659774076101</v>
      </c>
      <c r="M434" s="143">
        <f t="shared" si="285"/>
        <v>141</v>
      </c>
      <c r="N434" s="167">
        <f>N435</f>
        <v>15810</v>
      </c>
      <c r="O434" s="146" t="e">
        <f t="shared" si="267"/>
        <v>#DIV/0!</v>
      </c>
      <c r="P434" s="146"/>
      <c r="R434" s="167">
        <f aca="true" t="shared" si="288" ref="R434:Z434">R435</f>
        <v>16995.75</v>
      </c>
      <c r="S434" s="167">
        <f t="shared" si="288"/>
        <v>18270.43125</v>
      </c>
      <c r="T434" s="167">
        <f t="shared" si="288"/>
        <v>19732.06575</v>
      </c>
      <c r="U434" s="167">
        <f t="shared" si="288"/>
        <v>21310.63101</v>
      </c>
      <c r="V434" s="167">
        <f t="shared" si="288"/>
        <v>23015.4814908</v>
      </c>
      <c r="W434" s="167">
        <f t="shared" si="288"/>
        <v>24856.720010064</v>
      </c>
      <c r="X434" s="167">
        <f t="shared" si="288"/>
        <v>26845.25761086912</v>
      </c>
      <c r="Y434" s="167">
        <f t="shared" si="288"/>
        <v>28992.87821973865</v>
      </c>
      <c r="Z434" s="167">
        <f t="shared" si="288"/>
        <v>31312.308477317743</v>
      </c>
    </row>
    <row r="435" spans="1:26" ht="12.75">
      <c r="A435" s="81" t="s">
        <v>1055</v>
      </c>
      <c r="B435" s="30"/>
      <c r="C435" s="78"/>
      <c r="D435" s="111" t="e">
        <f t="shared" si="266"/>
        <v>#DIV/0!</v>
      </c>
      <c r="E435" s="30">
        <f t="shared" si="260"/>
        <v>48757</v>
      </c>
      <c r="F435" s="104">
        <v>48757</v>
      </c>
      <c r="G435" s="270">
        <f t="shared" si="257"/>
        <v>-0.6871013392948705</v>
      </c>
      <c r="H435" s="267">
        <v>15256</v>
      </c>
      <c r="I435" s="111">
        <f t="shared" si="282"/>
        <v>-0.6786307607112825</v>
      </c>
      <c r="J435" s="30">
        <f t="shared" si="283"/>
        <v>-33088</v>
      </c>
      <c r="K435" s="157">
        <v>15810</v>
      </c>
      <c r="L435" s="142">
        <f t="shared" si="284"/>
        <v>0.008998659774076101</v>
      </c>
      <c r="M435" s="143">
        <f t="shared" si="285"/>
        <v>141</v>
      </c>
      <c r="N435" s="179">
        <v>15810</v>
      </c>
      <c r="O435" s="146" t="e">
        <f t="shared" si="267"/>
        <v>#DIV/0!</v>
      </c>
      <c r="P435" s="146">
        <v>0.075</v>
      </c>
      <c r="Q435" s="178">
        <v>0.08</v>
      </c>
      <c r="R435" s="162">
        <f>(N435*P435)+N435</f>
        <v>16995.75</v>
      </c>
      <c r="S435" s="162">
        <f>(R435*P435)+R435</f>
        <v>18270.43125</v>
      </c>
      <c r="T435" s="162">
        <f>(S435*Q435)+S435</f>
        <v>19732.06575</v>
      </c>
      <c r="U435" s="162">
        <f>(T435*Q435)+T435</f>
        <v>21310.63101</v>
      </c>
      <c r="V435" s="147">
        <f>(U435*Q435)+U435</f>
        <v>23015.4814908</v>
      </c>
      <c r="W435" s="162">
        <f>(V435*Q435)+V435</f>
        <v>24856.720010064</v>
      </c>
      <c r="X435" s="162">
        <f>(W435*Q435)+W435</f>
        <v>26845.25761086912</v>
      </c>
      <c r="Y435" s="162">
        <f>(X435*Q435)+X435</f>
        <v>28992.87821973865</v>
      </c>
      <c r="Z435" s="147">
        <f>(Y435*Q435)+Y435</f>
        <v>31312.308477317743</v>
      </c>
    </row>
    <row r="436" spans="1:26" ht="12.75">
      <c r="A436" s="86" t="s">
        <v>1056</v>
      </c>
      <c r="B436" s="30"/>
      <c r="C436" s="78"/>
      <c r="D436" s="111" t="e">
        <f t="shared" si="266"/>
        <v>#DIV/0!</v>
      </c>
      <c r="E436" s="30">
        <f t="shared" si="260"/>
        <v>44601</v>
      </c>
      <c r="F436" s="145">
        <f>F437</f>
        <v>44601</v>
      </c>
      <c r="G436" s="270">
        <f t="shared" si="257"/>
        <v>-0.8829622654200578</v>
      </c>
      <c r="H436" s="267">
        <v>5220</v>
      </c>
      <c r="I436" s="111">
        <f t="shared" si="282"/>
        <v>-0.6636846707472926</v>
      </c>
      <c r="J436" s="30">
        <f t="shared" si="283"/>
        <v>-29601</v>
      </c>
      <c r="K436" s="145">
        <f>K437</f>
        <v>6776</v>
      </c>
      <c r="L436" s="142">
        <f t="shared" si="284"/>
        <v>-0.5482666666666667</v>
      </c>
      <c r="M436" s="143">
        <f t="shared" si="285"/>
        <v>-8224</v>
      </c>
      <c r="N436" s="171">
        <f>N437</f>
        <v>6776</v>
      </c>
      <c r="O436" s="146" t="e">
        <f t="shared" si="267"/>
        <v>#DIV/0!</v>
      </c>
      <c r="P436" s="146"/>
      <c r="R436" s="171">
        <f aca="true" t="shared" si="289" ref="R436:Z436">R437</f>
        <v>7284.2</v>
      </c>
      <c r="S436" s="171">
        <f t="shared" si="289"/>
        <v>7830.514999999999</v>
      </c>
      <c r="T436" s="171">
        <f t="shared" si="289"/>
        <v>8456.956199999999</v>
      </c>
      <c r="U436" s="171">
        <f t="shared" si="289"/>
        <v>9133.512695999998</v>
      </c>
      <c r="V436" s="171">
        <f t="shared" si="289"/>
        <v>9864.193711679998</v>
      </c>
      <c r="W436" s="171">
        <f t="shared" si="289"/>
        <v>10653.329208614397</v>
      </c>
      <c r="X436" s="171">
        <f t="shared" si="289"/>
        <v>11505.59554530355</v>
      </c>
      <c r="Y436" s="171">
        <f t="shared" si="289"/>
        <v>12426.043188927833</v>
      </c>
      <c r="Z436" s="171">
        <f t="shared" si="289"/>
        <v>13420.12664404206</v>
      </c>
    </row>
    <row r="437" spans="1:26" ht="12.75">
      <c r="A437" s="81" t="s">
        <v>1057</v>
      </c>
      <c r="B437" s="30"/>
      <c r="C437" s="78"/>
      <c r="D437" s="111" t="e">
        <f t="shared" si="266"/>
        <v>#DIV/0!</v>
      </c>
      <c r="E437" s="30">
        <f t="shared" si="260"/>
        <v>44601</v>
      </c>
      <c r="F437" s="104">
        <v>44601</v>
      </c>
      <c r="G437" s="270">
        <f t="shared" si="257"/>
        <v>-0.8829622654200578</v>
      </c>
      <c r="H437" s="267">
        <v>5220</v>
      </c>
      <c r="I437" s="111">
        <f t="shared" si="282"/>
        <v>-0.6636846707472926</v>
      </c>
      <c r="J437" s="30">
        <f t="shared" si="283"/>
        <v>-29601</v>
      </c>
      <c r="K437" s="157">
        <v>6776</v>
      </c>
      <c r="L437" s="142">
        <f t="shared" si="284"/>
        <v>-0.5482666666666667</v>
      </c>
      <c r="M437" s="143">
        <f t="shared" si="285"/>
        <v>-8224</v>
      </c>
      <c r="N437" s="179">
        <v>6776</v>
      </c>
      <c r="O437" s="146" t="e">
        <f t="shared" si="267"/>
        <v>#DIV/0!</v>
      </c>
      <c r="P437" s="146">
        <v>0.075</v>
      </c>
      <c r="Q437" s="178">
        <v>0.08</v>
      </c>
      <c r="R437" s="162">
        <f>(N437*P437)+N437</f>
        <v>7284.2</v>
      </c>
      <c r="S437" s="162">
        <f>(R437*P437)+R437</f>
        <v>7830.514999999999</v>
      </c>
      <c r="T437" s="162">
        <f>(S437*Q437)+S437</f>
        <v>8456.956199999999</v>
      </c>
      <c r="U437" s="162">
        <f>(T437*Q437)+T437</f>
        <v>9133.512695999998</v>
      </c>
      <c r="V437" s="147">
        <f>(U437*Q437)+U437</f>
        <v>9864.193711679998</v>
      </c>
      <c r="W437" s="162">
        <f>(V437*Q437)+V437</f>
        <v>10653.329208614397</v>
      </c>
      <c r="X437" s="162">
        <f>(W437*Q437)+W437</f>
        <v>11505.59554530355</v>
      </c>
      <c r="Y437" s="162">
        <f>(X437*Q437)+X437</f>
        <v>12426.043188927833</v>
      </c>
      <c r="Z437" s="147">
        <f>(Y437*Q437)+Y437</f>
        <v>13420.12664404206</v>
      </c>
    </row>
    <row r="438" spans="1:26" ht="12.75">
      <c r="A438" s="86" t="s">
        <v>1058</v>
      </c>
      <c r="B438" s="30"/>
      <c r="C438" s="78"/>
      <c r="D438" s="111" t="e">
        <f t="shared" si="266"/>
        <v>#DIV/0!</v>
      </c>
      <c r="E438" s="30">
        <f t="shared" si="260"/>
        <v>235013</v>
      </c>
      <c r="F438" s="152">
        <f>+F439+F441+F443+F445+F449+F452+F454+F456</f>
        <v>235013</v>
      </c>
      <c r="G438" s="270">
        <f t="shared" si="257"/>
        <v>-0.6359818393025067</v>
      </c>
      <c r="H438" s="267">
        <v>85549</v>
      </c>
      <c r="I438" s="111">
        <f>K449/F438-1</f>
        <v>-0.8085212307404271</v>
      </c>
      <c r="J438" s="30">
        <f>K449-F438</f>
        <v>-190013</v>
      </c>
      <c r="K438" s="152">
        <f>+K439+K441+K443+K445+K449</f>
        <v>110669</v>
      </c>
      <c r="L438" s="142">
        <f>N438/K449-1</f>
        <v>1.459311111111111</v>
      </c>
      <c r="M438" s="143">
        <f>N438-K449</f>
        <v>65669</v>
      </c>
      <c r="N438" s="84">
        <f>N439+N441+N443+N445+N449+N447</f>
        <v>110669</v>
      </c>
      <c r="O438" s="146" t="e">
        <f t="shared" si="267"/>
        <v>#DIV/0!</v>
      </c>
      <c r="P438" s="146"/>
      <c r="R438" s="167">
        <f>R439+R441+R443+R445+R449+R447</f>
        <v>118969.175</v>
      </c>
      <c r="S438" s="167">
        <f aca="true" t="shared" si="290" ref="S438:Z438">S439+S441+S443+S445+S449+S447</f>
        <v>127891.863125</v>
      </c>
      <c r="T438" s="167">
        <f t="shared" si="290"/>
        <v>138123.212175</v>
      </c>
      <c r="U438" s="167">
        <f t="shared" si="290"/>
        <v>149173.069149</v>
      </c>
      <c r="V438" s="167">
        <f t="shared" si="290"/>
        <v>161093.43547092</v>
      </c>
      <c r="W438" s="167">
        <f t="shared" si="290"/>
        <v>173980.9103085936</v>
      </c>
      <c r="X438" s="167">
        <f t="shared" si="290"/>
        <v>187899.3831332811</v>
      </c>
      <c r="Y438" s="167">
        <f t="shared" si="290"/>
        <v>202931.3337839436</v>
      </c>
      <c r="Z438" s="167">
        <f t="shared" si="290"/>
        <v>218151.18381773937</v>
      </c>
    </row>
    <row r="439" spans="1:26" ht="12.75">
      <c r="A439" s="86" t="s">
        <v>1059</v>
      </c>
      <c r="B439" s="30"/>
      <c r="C439" s="78"/>
      <c r="D439" s="111" t="e">
        <f t="shared" si="266"/>
        <v>#DIV/0!</v>
      </c>
      <c r="E439" s="30">
        <f t="shared" si="260"/>
        <v>0</v>
      </c>
      <c r="F439" s="145">
        <f>F440</f>
        <v>0</v>
      </c>
      <c r="G439" s="270" t="e">
        <f t="shared" si="257"/>
        <v>#DIV/0!</v>
      </c>
      <c r="H439" s="267">
        <v>17413</v>
      </c>
      <c r="I439" s="111" t="e">
        <f>K450/F439-1</f>
        <v>#DIV/0!</v>
      </c>
      <c r="J439" s="30">
        <f>K450-F439</f>
        <v>43000</v>
      </c>
      <c r="K439" s="145">
        <f>K440</f>
        <v>20000</v>
      </c>
      <c r="L439" s="142">
        <f>N439/K450-1</f>
        <v>-1</v>
      </c>
      <c r="M439" s="143">
        <f>N439-K450</f>
        <v>-43000</v>
      </c>
      <c r="N439" s="171">
        <f>N440</f>
        <v>0</v>
      </c>
      <c r="O439" s="146" t="e">
        <f t="shared" si="267"/>
        <v>#DIV/0!</v>
      </c>
      <c r="P439" s="146"/>
      <c r="R439" s="171">
        <f aca="true" t="shared" si="291" ref="R439:Z439">R440</f>
        <v>0</v>
      </c>
      <c r="S439" s="171">
        <f t="shared" si="291"/>
        <v>0</v>
      </c>
      <c r="T439" s="171">
        <f t="shared" si="291"/>
        <v>0</v>
      </c>
      <c r="U439" s="171">
        <f t="shared" si="291"/>
        <v>0</v>
      </c>
      <c r="V439" s="171">
        <f t="shared" si="291"/>
        <v>0</v>
      </c>
      <c r="W439" s="171">
        <f t="shared" si="291"/>
        <v>0</v>
      </c>
      <c r="X439" s="171">
        <f t="shared" si="291"/>
        <v>0</v>
      </c>
      <c r="Y439" s="171">
        <f t="shared" si="291"/>
        <v>0</v>
      </c>
      <c r="Z439" s="171">
        <f t="shared" si="291"/>
        <v>0</v>
      </c>
    </row>
    <row r="440" spans="1:26" ht="12.75">
      <c r="A440" s="81" t="s">
        <v>1060</v>
      </c>
      <c r="B440" s="30"/>
      <c r="C440" s="78"/>
      <c r="D440" s="111" t="e">
        <f t="shared" si="266"/>
        <v>#DIV/0!</v>
      </c>
      <c r="E440" s="30">
        <f t="shared" si="260"/>
        <v>0</v>
      </c>
      <c r="F440" s="104"/>
      <c r="G440" s="270" t="e">
        <f t="shared" si="257"/>
        <v>#DIV/0!</v>
      </c>
      <c r="H440" s="267">
        <v>17413</v>
      </c>
      <c r="I440" s="111" t="e">
        <f>K451/F440-1</f>
        <v>#DIV/0!</v>
      </c>
      <c r="J440" s="30">
        <f>K451-F440</f>
        <v>2000</v>
      </c>
      <c r="K440" s="157">
        <v>20000</v>
      </c>
      <c r="L440" s="142">
        <f>N440/K451-1</f>
        <v>-1</v>
      </c>
      <c r="M440" s="143">
        <f>N440-K451</f>
        <v>-2000</v>
      </c>
      <c r="N440" s="147">
        <v>0</v>
      </c>
      <c r="O440" s="146" t="e">
        <f t="shared" si="267"/>
        <v>#DIV/0!</v>
      </c>
      <c r="P440" s="146">
        <v>0.075</v>
      </c>
      <c r="Q440" s="178">
        <v>0.08</v>
      </c>
      <c r="R440" s="147">
        <f>(N440*P440)+N440</f>
        <v>0</v>
      </c>
      <c r="S440" s="147">
        <f>(R440*P440)+R440</f>
        <v>0</v>
      </c>
      <c r="T440" s="162">
        <f>(S440*Q440)+S440</f>
        <v>0</v>
      </c>
      <c r="U440" s="147">
        <f>(T440*P440)+T440</f>
        <v>0</v>
      </c>
      <c r="V440" s="147">
        <f>(U440*P440)+U440</f>
        <v>0</v>
      </c>
      <c r="W440" s="147">
        <f>(V440*P440)+V440</f>
        <v>0</v>
      </c>
      <c r="X440" s="147">
        <f>(W440*P440)+W440</f>
        <v>0</v>
      </c>
      <c r="Y440" s="147">
        <f>(X440*P440)+X440</f>
        <v>0</v>
      </c>
      <c r="Z440" s="147">
        <f>(Y440*P440)+Y440</f>
        <v>0</v>
      </c>
    </row>
    <row r="441" spans="1:26" ht="12.75">
      <c r="A441" s="86" t="s">
        <v>1061</v>
      </c>
      <c r="B441" s="30"/>
      <c r="C441" s="78"/>
      <c r="D441" s="111" t="e">
        <f t="shared" si="266"/>
        <v>#DIV/0!</v>
      </c>
      <c r="E441" s="30">
        <f t="shared" si="260"/>
        <v>177667</v>
      </c>
      <c r="F441" s="105">
        <f>SUM(F442)</f>
        <v>177667</v>
      </c>
      <c r="G441" s="270">
        <f t="shared" si="257"/>
        <v>-0.9163660105703366</v>
      </c>
      <c r="H441" s="267">
        <v>14859</v>
      </c>
      <c r="I441" s="111" t="e">
        <f>#REF!/F441-1</f>
        <v>#REF!</v>
      </c>
      <c r="J441" s="30" t="e">
        <f>#REF!-F441</f>
        <v>#REF!</v>
      </c>
      <c r="K441" s="84">
        <f>SUM(K442)</f>
        <v>15000</v>
      </c>
      <c r="L441" s="142" t="e">
        <f>N441/#REF!-1</f>
        <v>#REF!</v>
      </c>
      <c r="M441" s="143" t="e">
        <f>N441-#REF!</f>
        <v>#REF!</v>
      </c>
      <c r="N441" s="167">
        <f>SUM(N442)</f>
        <v>0</v>
      </c>
      <c r="O441" s="146" t="e">
        <f t="shared" si="267"/>
        <v>#DIV/0!</v>
      </c>
      <c r="P441" s="146"/>
      <c r="R441" s="167">
        <f aca="true" t="shared" si="292" ref="R441:Z441">SUM(R442)</f>
        <v>0</v>
      </c>
      <c r="S441" s="167">
        <f t="shared" si="292"/>
        <v>0</v>
      </c>
      <c r="T441" s="167">
        <f t="shared" si="292"/>
        <v>0</v>
      </c>
      <c r="U441" s="167">
        <f t="shared" si="292"/>
        <v>0</v>
      </c>
      <c r="V441" s="167">
        <f t="shared" si="292"/>
        <v>0</v>
      </c>
      <c r="W441" s="167">
        <f t="shared" si="292"/>
        <v>0</v>
      </c>
      <c r="X441" s="167">
        <f t="shared" si="292"/>
        <v>0</v>
      </c>
      <c r="Y441" s="167">
        <f t="shared" si="292"/>
        <v>0</v>
      </c>
      <c r="Z441" s="167">
        <f t="shared" si="292"/>
        <v>0</v>
      </c>
    </row>
    <row r="442" spans="1:26" ht="12.75">
      <c r="A442" s="81" t="s">
        <v>1062</v>
      </c>
      <c r="B442" s="30"/>
      <c r="C442" s="78"/>
      <c r="D442" s="111" t="e">
        <f t="shared" si="266"/>
        <v>#DIV/0!</v>
      </c>
      <c r="E442" s="30">
        <f t="shared" si="260"/>
        <v>177667</v>
      </c>
      <c r="F442" s="104">
        <v>177667</v>
      </c>
      <c r="G442" s="270">
        <f t="shared" si="257"/>
        <v>-0.9163660105703366</v>
      </c>
      <c r="H442" s="267">
        <v>14859</v>
      </c>
      <c r="I442" s="111">
        <f>K459/F442-1</f>
        <v>-0.0338273286541676</v>
      </c>
      <c r="J442" s="30">
        <f>K459-F442</f>
        <v>-6010</v>
      </c>
      <c r="K442" s="157">
        <v>15000</v>
      </c>
      <c r="L442" s="142">
        <f>N442/K459-1</f>
        <v>-1</v>
      </c>
      <c r="M442" s="143">
        <f>N442-K459</f>
        <v>-171657</v>
      </c>
      <c r="N442" s="147">
        <v>0</v>
      </c>
      <c r="O442" s="146" t="e">
        <f t="shared" si="267"/>
        <v>#DIV/0!</v>
      </c>
      <c r="P442" s="146">
        <v>0.075</v>
      </c>
      <c r="Q442" s="178">
        <v>0.08</v>
      </c>
      <c r="R442" s="147">
        <f>(N442*P442)+N442</f>
        <v>0</v>
      </c>
      <c r="S442" s="147">
        <f>(R442*P442)+R442</f>
        <v>0</v>
      </c>
      <c r="T442" s="162">
        <f>(S442*Q442)+S442</f>
        <v>0</v>
      </c>
      <c r="U442" s="147">
        <f>(T442*P442)+T442</f>
        <v>0</v>
      </c>
      <c r="V442" s="147">
        <f>(U442*P442)+U442</f>
        <v>0</v>
      </c>
      <c r="W442" s="147">
        <f>(V442*P442)+V442</f>
        <v>0</v>
      </c>
      <c r="X442" s="147">
        <f>(W442*P442)+W442</f>
        <v>0</v>
      </c>
      <c r="Y442" s="147">
        <f>(X442*P442)+X442</f>
        <v>0</v>
      </c>
      <c r="Z442" s="147">
        <f>(Y442*P442)+Y442</f>
        <v>0</v>
      </c>
    </row>
    <row r="443" spans="1:26" ht="12.75">
      <c r="A443" s="86" t="s">
        <v>1063</v>
      </c>
      <c r="B443" s="30"/>
      <c r="C443" s="78"/>
      <c r="D443" s="111" t="e">
        <f t="shared" si="266"/>
        <v>#DIV/0!</v>
      </c>
      <c r="E443" s="30">
        <f t="shared" si="260"/>
        <v>3820</v>
      </c>
      <c r="F443" s="105">
        <f>SUM(F444)</f>
        <v>3820</v>
      </c>
      <c r="G443" s="270">
        <f t="shared" si="257"/>
        <v>3.101832460732984</v>
      </c>
      <c r="H443" s="267">
        <v>15669</v>
      </c>
      <c r="I443" s="111">
        <f>K460/F443-1</f>
        <v>43.93638743455497</v>
      </c>
      <c r="J443" s="30">
        <f>K460-F443</f>
        <v>167837</v>
      </c>
      <c r="K443" s="145">
        <f>SUM(K444)</f>
        <v>15669</v>
      </c>
      <c r="L443" s="142">
        <f>N443/K460-1</f>
        <v>-1</v>
      </c>
      <c r="M443" s="143">
        <f>N443-K460</f>
        <v>-171657</v>
      </c>
      <c r="N443" s="171">
        <f>SUM(N444)</f>
        <v>0</v>
      </c>
      <c r="O443" s="146" t="e">
        <f t="shared" si="267"/>
        <v>#DIV/0!</v>
      </c>
      <c r="P443" s="146"/>
      <c r="R443" s="171">
        <f aca="true" t="shared" si="293" ref="R443:Z443">SUM(R444)</f>
        <v>0</v>
      </c>
      <c r="S443" s="171">
        <f t="shared" si="293"/>
        <v>0</v>
      </c>
      <c r="T443" s="171">
        <f t="shared" si="293"/>
        <v>0</v>
      </c>
      <c r="U443" s="171">
        <f t="shared" si="293"/>
        <v>0</v>
      </c>
      <c r="V443" s="171">
        <f t="shared" si="293"/>
        <v>0</v>
      </c>
      <c r="W443" s="171">
        <f t="shared" si="293"/>
        <v>0</v>
      </c>
      <c r="X443" s="171">
        <f t="shared" si="293"/>
        <v>0</v>
      </c>
      <c r="Y443" s="171">
        <f t="shared" si="293"/>
        <v>0</v>
      </c>
      <c r="Z443" s="171">
        <f t="shared" si="293"/>
        <v>0</v>
      </c>
    </row>
    <row r="444" spans="1:26" ht="12.75">
      <c r="A444" s="81" t="s">
        <v>1064</v>
      </c>
      <c r="B444" s="30"/>
      <c r="C444" s="78"/>
      <c r="D444" s="111" t="e">
        <f t="shared" si="266"/>
        <v>#DIV/0!</v>
      </c>
      <c r="E444" s="30">
        <f t="shared" si="260"/>
        <v>3820</v>
      </c>
      <c r="F444" s="104">
        <v>3820</v>
      </c>
      <c r="G444" s="270">
        <f t="shared" si="257"/>
        <v>3.101832460732984</v>
      </c>
      <c r="H444" s="267">
        <v>15669</v>
      </c>
      <c r="I444" s="111">
        <f>K461/F444-1</f>
        <v>43.93638743455497</v>
      </c>
      <c r="J444" s="30">
        <f>K461-F444</f>
        <v>167837</v>
      </c>
      <c r="K444" s="157">
        <v>15669</v>
      </c>
      <c r="L444" s="142">
        <f>N444/K461-1</f>
        <v>-1</v>
      </c>
      <c r="M444" s="143">
        <f>N444-K461</f>
        <v>-171657</v>
      </c>
      <c r="N444" s="147">
        <v>0</v>
      </c>
      <c r="O444" s="146" t="e">
        <f t="shared" si="267"/>
        <v>#DIV/0!</v>
      </c>
      <c r="P444" s="146">
        <v>0.075</v>
      </c>
      <c r="Q444" s="178">
        <v>0.08</v>
      </c>
      <c r="R444" s="147">
        <f>(N444*P444)+N444</f>
        <v>0</v>
      </c>
      <c r="S444" s="147">
        <f>(R444*P444)+R444</f>
        <v>0</v>
      </c>
      <c r="T444" s="162">
        <f>(S444*Q444)+S444</f>
        <v>0</v>
      </c>
      <c r="U444" s="147">
        <f>(T444*P444)+T444</f>
        <v>0</v>
      </c>
      <c r="V444" s="147">
        <f>(U444*P444)+U444</f>
        <v>0</v>
      </c>
      <c r="W444" s="147">
        <f>(V444*P444)+V444</f>
        <v>0</v>
      </c>
      <c r="X444" s="147">
        <f>(W444*P444)+W444</f>
        <v>0</v>
      </c>
      <c r="Y444" s="147">
        <f>(X444*P444)+X444</f>
        <v>0</v>
      </c>
      <c r="Z444" s="147">
        <f>(Y444*P444)+Y444</f>
        <v>0</v>
      </c>
    </row>
    <row r="445" spans="1:26" ht="12.75">
      <c r="A445" s="86" t="s">
        <v>1065</v>
      </c>
      <c r="B445" s="30"/>
      <c r="C445" s="78"/>
      <c r="D445" s="111" t="e">
        <f t="shared" si="266"/>
        <v>#DIV/0!</v>
      </c>
      <c r="E445" s="30">
        <f t="shared" si="260"/>
        <v>0</v>
      </c>
      <c r="F445" s="104"/>
      <c r="G445" s="270" t="e">
        <f t="shared" si="257"/>
        <v>#DIV/0!</v>
      </c>
      <c r="H445" s="267">
        <v>4128</v>
      </c>
      <c r="I445" s="111" t="e">
        <f>K462/F445-1</f>
        <v>#DIV/0!</v>
      </c>
      <c r="J445" s="30">
        <f>K462-F445</f>
        <v>164013</v>
      </c>
      <c r="K445" s="145">
        <f>K446</f>
        <v>15000</v>
      </c>
      <c r="L445" s="142">
        <f>N445/K462-1</f>
        <v>-0.5732045630529288</v>
      </c>
      <c r="M445" s="143">
        <f>N445-K462</f>
        <v>-94013</v>
      </c>
      <c r="N445" s="171">
        <f>N446</f>
        <v>70000</v>
      </c>
      <c r="O445" s="146" t="e">
        <f t="shared" si="267"/>
        <v>#DIV/0!</v>
      </c>
      <c r="P445" s="146"/>
      <c r="R445" s="171">
        <f aca="true" t="shared" si="294" ref="R445:Z445">R446</f>
        <v>75250</v>
      </c>
      <c r="S445" s="171">
        <f t="shared" si="294"/>
        <v>80893.75</v>
      </c>
      <c r="T445" s="171">
        <f t="shared" si="294"/>
        <v>87365.25</v>
      </c>
      <c r="U445" s="171">
        <f t="shared" si="294"/>
        <v>94354.47</v>
      </c>
      <c r="V445" s="171">
        <f t="shared" si="294"/>
        <v>101902.8276</v>
      </c>
      <c r="W445" s="171">
        <f t="shared" si="294"/>
        <v>110055.05380800001</v>
      </c>
      <c r="X445" s="171">
        <f t="shared" si="294"/>
        <v>118859.45811264002</v>
      </c>
      <c r="Y445" s="171">
        <f t="shared" si="294"/>
        <v>128368.21476165122</v>
      </c>
      <c r="Z445" s="171">
        <f t="shared" si="294"/>
        <v>137995.83086877505</v>
      </c>
    </row>
    <row r="446" spans="1:26" ht="12.75">
      <c r="A446" s="81" t="s">
        <v>1066</v>
      </c>
      <c r="B446" s="30"/>
      <c r="C446" s="78"/>
      <c r="D446" s="111" t="e">
        <f t="shared" si="266"/>
        <v>#DIV/0!</v>
      </c>
      <c r="E446" s="30">
        <f t="shared" si="260"/>
        <v>0</v>
      </c>
      <c r="F446" s="104"/>
      <c r="G446" s="270" t="e">
        <f t="shared" si="257"/>
        <v>#DIV/0!</v>
      </c>
      <c r="H446" s="267">
        <v>4128</v>
      </c>
      <c r="I446" s="111" t="e">
        <f>K463/F446-1</f>
        <v>#DIV/0!</v>
      </c>
      <c r="J446" s="30">
        <f>K463-F446</f>
        <v>7644</v>
      </c>
      <c r="K446" s="157">
        <v>15000</v>
      </c>
      <c r="L446" s="142">
        <f>N446/K463-1</f>
        <v>8.157509157509157</v>
      </c>
      <c r="M446" s="143">
        <f>N446-K463</f>
        <v>62356</v>
      </c>
      <c r="N446" s="179">
        <v>70000</v>
      </c>
      <c r="O446" s="146" t="e">
        <f t="shared" si="267"/>
        <v>#DIV/0!</v>
      </c>
      <c r="P446" s="146">
        <v>0.075</v>
      </c>
      <c r="Q446" s="178">
        <v>0.08</v>
      </c>
      <c r="R446" s="162">
        <f>(N446*P446)+N446</f>
        <v>75250</v>
      </c>
      <c r="S446" s="162">
        <f>(R446*P446)+R446</f>
        <v>80893.75</v>
      </c>
      <c r="T446" s="162">
        <f>(S446*Q446)+S446</f>
        <v>87365.25</v>
      </c>
      <c r="U446" s="162">
        <f>(T446*Q446)+T446</f>
        <v>94354.47</v>
      </c>
      <c r="V446" s="147">
        <f>(U446*Q446)+U446</f>
        <v>101902.8276</v>
      </c>
      <c r="W446" s="162">
        <f>(V446*Q446)+V446</f>
        <v>110055.05380800001</v>
      </c>
      <c r="X446" s="162">
        <f>(W446*Q446)+W446</f>
        <v>118859.45811264002</v>
      </c>
      <c r="Y446" s="162">
        <f>(X446*Q446)+X446</f>
        <v>128368.21476165122</v>
      </c>
      <c r="Z446" s="147">
        <f>(Y446*P446)+Y446</f>
        <v>137995.83086877505</v>
      </c>
    </row>
    <row r="447" spans="1:26" ht="12.75">
      <c r="A447" s="86" t="s">
        <v>927</v>
      </c>
      <c r="B447" s="30"/>
      <c r="C447" s="78"/>
      <c r="D447" s="111"/>
      <c r="E447" s="30"/>
      <c r="F447" s="104"/>
      <c r="G447" s="270" t="e">
        <f t="shared" si="257"/>
        <v>#DIV/0!</v>
      </c>
      <c r="H447" s="79"/>
      <c r="I447" s="111"/>
      <c r="J447" s="30"/>
      <c r="K447" s="145">
        <f>K448</f>
        <v>0</v>
      </c>
      <c r="L447" s="142"/>
      <c r="M447" s="143"/>
      <c r="N447" s="171">
        <f>N448</f>
        <v>18669</v>
      </c>
      <c r="O447" s="146"/>
      <c r="P447" s="146"/>
      <c r="R447" s="171">
        <f aca="true" t="shared" si="295" ref="R447:Z447">R448</f>
        <v>20069.175</v>
      </c>
      <c r="S447" s="171">
        <f t="shared" si="295"/>
        <v>21574.363125</v>
      </c>
      <c r="T447" s="171">
        <f t="shared" si="295"/>
        <v>23300.312175</v>
      </c>
      <c r="U447" s="171">
        <f t="shared" si="295"/>
        <v>25164.337149</v>
      </c>
      <c r="V447" s="171">
        <f t="shared" si="295"/>
        <v>27177.48412092</v>
      </c>
      <c r="W447" s="171">
        <f t="shared" si="295"/>
        <v>29351.6828505936</v>
      </c>
      <c r="X447" s="171">
        <f t="shared" si="295"/>
        <v>31699.81747864109</v>
      </c>
      <c r="Y447" s="171">
        <f t="shared" si="295"/>
        <v>34235.80287693238</v>
      </c>
      <c r="Z447" s="171">
        <f t="shared" si="295"/>
        <v>36803.488092702304</v>
      </c>
    </row>
    <row r="448" spans="1:26" ht="12.75">
      <c r="A448" s="81" t="s">
        <v>1112</v>
      </c>
      <c r="B448" s="30"/>
      <c r="C448" s="78"/>
      <c r="D448" s="111"/>
      <c r="E448" s="30"/>
      <c r="F448" s="104"/>
      <c r="G448" s="270" t="e">
        <f t="shared" si="257"/>
        <v>#DIV/0!</v>
      </c>
      <c r="H448" s="79"/>
      <c r="I448" s="111"/>
      <c r="J448" s="30"/>
      <c r="L448" s="142"/>
      <c r="M448" s="143"/>
      <c r="N448" s="179">
        <v>18669</v>
      </c>
      <c r="O448" s="146"/>
      <c r="P448" s="146">
        <v>0.075</v>
      </c>
      <c r="Q448" s="178">
        <v>0.08</v>
      </c>
      <c r="R448" s="162">
        <f>(N448*P448)+N448</f>
        <v>20069.175</v>
      </c>
      <c r="S448" s="162">
        <f>(R448*P448)+R448</f>
        <v>21574.363125</v>
      </c>
      <c r="T448" s="162">
        <f>(S448*Q448)+S448</f>
        <v>23300.312175</v>
      </c>
      <c r="U448" s="162">
        <f>(T448*Q448)+T448</f>
        <v>25164.337149</v>
      </c>
      <c r="V448" s="147">
        <f>(U448*Q448)+U448</f>
        <v>27177.48412092</v>
      </c>
      <c r="W448" s="162">
        <f>(V448*Q448)+V448</f>
        <v>29351.6828505936</v>
      </c>
      <c r="X448" s="162">
        <f>(W448*Q448)+W448</f>
        <v>31699.81747864109</v>
      </c>
      <c r="Y448" s="162">
        <f>(X448*Q448)+X448</f>
        <v>34235.80287693238</v>
      </c>
      <c r="Z448" s="147">
        <f>(Y448*P448)+Y448</f>
        <v>36803.488092702304</v>
      </c>
    </row>
    <row r="449" spans="1:26" ht="12.75">
      <c r="A449" s="86" t="s">
        <v>1067</v>
      </c>
      <c r="B449" s="30">
        <v>0</v>
      </c>
      <c r="C449" s="78"/>
      <c r="D449" s="111" t="e">
        <f t="shared" si="266"/>
        <v>#DIV/0!</v>
      </c>
      <c r="E449" s="30">
        <f t="shared" si="260"/>
        <v>8538</v>
      </c>
      <c r="F449" s="105">
        <f>SUM(F450:F451)</f>
        <v>8538</v>
      </c>
      <c r="G449" s="270">
        <f t="shared" si="257"/>
        <v>2.921293042867182</v>
      </c>
      <c r="H449" s="267">
        <v>33480</v>
      </c>
      <c r="I449" s="111">
        <f>K466/F449-1</f>
        <v>-0.8828765518856875</v>
      </c>
      <c r="J449" s="30">
        <f>K466-F449</f>
        <v>-7538</v>
      </c>
      <c r="K449" s="152">
        <v>45000</v>
      </c>
      <c r="L449" s="142">
        <f>N449/K466-1</f>
        <v>21</v>
      </c>
      <c r="M449" s="143">
        <f>N449-K466</f>
        <v>21000</v>
      </c>
      <c r="N449" s="171">
        <f>SUM(N450:N451)</f>
        <v>22000</v>
      </c>
      <c r="O449" s="146" t="e">
        <f t="shared" si="267"/>
        <v>#DIV/0!</v>
      </c>
      <c r="P449" s="146"/>
      <c r="R449" s="171">
        <f aca="true" t="shared" si="296" ref="R449:Z449">SUM(R450:R451)</f>
        <v>23650</v>
      </c>
      <c r="S449" s="171">
        <f t="shared" si="296"/>
        <v>25423.75</v>
      </c>
      <c r="T449" s="171">
        <f t="shared" si="296"/>
        <v>27457.65</v>
      </c>
      <c r="U449" s="171">
        <f t="shared" si="296"/>
        <v>29654.262</v>
      </c>
      <c r="V449" s="171">
        <f t="shared" si="296"/>
        <v>32013.12375</v>
      </c>
      <c r="W449" s="171">
        <f t="shared" si="296"/>
        <v>34574.17365</v>
      </c>
      <c r="X449" s="171">
        <f t="shared" si="296"/>
        <v>37340.107542</v>
      </c>
      <c r="Y449" s="171">
        <f t="shared" si="296"/>
        <v>40327.316145360004</v>
      </c>
      <c r="Z449" s="171">
        <f t="shared" si="296"/>
        <v>43351.864856262</v>
      </c>
    </row>
    <row r="450" spans="1:26" ht="12.75">
      <c r="A450" s="81" t="s">
        <v>922</v>
      </c>
      <c r="B450" s="30"/>
      <c r="C450" s="78"/>
      <c r="D450" s="111" t="e">
        <f t="shared" si="266"/>
        <v>#DIV/0!</v>
      </c>
      <c r="E450" s="30">
        <f t="shared" si="260"/>
        <v>3988</v>
      </c>
      <c r="F450" s="104">
        <v>3988</v>
      </c>
      <c r="G450" s="270">
        <f t="shared" si="257"/>
        <v>6.913741223671013</v>
      </c>
      <c r="H450" s="267">
        <v>31560</v>
      </c>
      <c r="I450" s="111">
        <f>K467/F450-1</f>
        <v>-0.7492477432296891</v>
      </c>
      <c r="J450" s="30">
        <f>K467-F450</f>
        <v>-2988</v>
      </c>
      <c r="K450" s="157">
        <v>43000</v>
      </c>
      <c r="L450" s="142">
        <f>N450/K467-1</f>
        <v>19</v>
      </c>
      <c r="M450" s="143">
        <f>N450-K467</f>
        <v>19000</v>
      </c>
      <c r="N450" s="179">
        <v>20000</v>
      </c>
      <c r="O450" s="146" t="e">
        <f t="shared" si="267"/>
        <v>#DIV/0!</v>
      </c>
      <c r="P450" s="146">
        <v>0.075</v>
      </c>
      <c r="Q450" s="178">
        <v>0.08</v>
      </c>
      <c r="R450" s="162">
        <f>(N450*P450)+N450</f>
        <v>21500</v>
      </c>
      <c r="S450" s="162">
        <f>(R450*P450)+R450</f>
        <v>23112.5</v>
      </c>
      <c r="T450" s="162">
        <f>(S450*Q450)+S450</f>
        <v>24961.5</v>
      </c>
      <c r="U450" s="162">
        <f>(T450*Q450)+T450</f>
        <v>26958.42</v>
      </c>
      <c r="V450" s="147">
        <f>(U450*Q450)+U450</f>
        <v>29115.0936</v>
      </c>
      <c r="W450" s="162">
        <f>(V450*Q450)+V450</f>
        <v>31444.301088</v>
      </c>
      <c r="X450" s="162">
        <f>(W450*Q450)+W450</f>
        <v>33959.84517504</v>
      </c>
      <c r="Y450" s="162">
        <f>(X450*Q450)+X450</f>
        <v>36676.6327890432</v>
      </c>
      <c r="Z450" s="147">
        <f>(Y450*P450)+Y450</f>
        <v>39427.38024822144</v>
      </c>
    </row>
    <row r="451" spans="1:26" ht="12.75">
      <c r="A451" s="81" t="s">
        <v>1068</v>
      </c>
      <c r="B451" s="30"/>
      <c r="C451" s="78"/>
      <c r="D451" s="111" t="e">
        <f t="shared" si="266"/>
        <v>#DIV/0!</v>
      </c>
      <c r="E451" s="30">
        <f t="shared" si="260"/>
        <v>4550</v>
      </c>
      <c r="F451" s="104">
        <v>4550</v>
      </c>
      <c r="G451" s="270">
        <f t="shared" si="257"/>
        <v>-0.578021978021978</v>
      </c>
      <c r="H451" s="267">
        <v>1920</v>
      </c>
      <c r="I451" s="111">
        <f>K468/F451-1</f>
        <v>187.2635164835165</v>
      </c>
      <c r="J451" s="30">
        <f>K468-F451</f>
        <v>852049</v>
      </c>
      <c r="K451" s="157">
        <v>2000</v>
      </c>
      <c r="L451" s="142">
        <f>N451/K468-1</f>
        <v>-0.997665185226693</v>
      </c>
      <c r="M451" s="143">
        <f>N451-K468</f>
        <v>-854599</v>
      </c>
      <c r="N451" s="179">
        <v>2000</v>
      </c>
      <c r="O451" s="146" t="e">
        <f t="shared" si="267"/>
        <v>#DIV/0!</v>
      </c>
      <c r="P451" s="146">
        <v>0.075</v>
      </c>
      <c r="Q451" s="178">
        <v>0.08</v>
      </c>
      <c r="R451" s="162">
        <f>(N451*P451)+N451</f>
        <v>2150</v>
      </c>
      <c r="S451" s="162">
        <f>(R451*P451)+R451</f>
        <v>2311.25</v>
      </c>
      <c r="T451" s="162">
        <f>(S451*Q451)+S451</f>
        <v>2496.15</v>
      </c>
      <c r="U451" s="162">
        <f>(T451*Q451)+T451</f>
        <v>2695.842</v>
      </c>
      <c r="V451" s="147">
        <f>(U451*P451)+U451</f>
        <v>2898.03015</v>
      </c>
      <c r="W451" s="162">
        <f>(V451*Q451)+V451</f>
        <v>3129.872562</v>
      </c>
      <c r="X451" s="162">
        <f>(W451*Q451)+W451</f>
        <v>3380.2623669600002</v>
      </c>
      <c r="Y451" s="162">
        <f>(X451*Q451)+X451</f>
        <v>3650.6833563168</v>
      </c>
      <c r="Z451" s="147">
        <f>(Y451*P451)+Y451</f>
        <v>3924.48460804056</v>
      </c>
    </row>
    <row r="452" spans="1:26" ht="12.75">
      <c r="A452" s="264" t="s">
        <v>824</v>
      </c>
      <c r="B452" s="30"/>
      <c r="C452" s="78"/>
      <c r="D452" s="111"/>
      <c r="E452" s="30"/>
      <c r="F452" s="266">
        <f>SUM(F453)</f>
        <v>16350</v>
      </c>
      <c r="G452" s="270">
        <f aca="true" t="shared" si="297" ref="G452:G498">H452/F452-1</f>
        <v>-1</v>
      </c>
      <c r="H452" s="79"/>
      <c r="I452" s="111"/>
      <c r="J452" s="30"/>
      <c r="K452" s="82"/>
      <c r="L452" s="142"/>
      <c r="M452" s="143"/>
      <c r="N452" s="179"/>
      <c r="O452" s="146"/>
      <c r="P452" s="146"/>
      <c r="Q452" s="178"/>
      <c r="R452" s="162"/>
      <c r="S452" s="162"/>
      <c r="T452" s="162"/>
      <c r="U452" s="162"/>
      <c r="V452" s="147"/>
      <c r="W452" s="162"/>
      <c r="X452" s="162"/>
      <c r="Y452" s="162"/>
      <c r="Z452" s="147"/>
    </row>
    <row r="453" spans="1:26" ht="12.75">
      <c r="A453" s="262" t="s">
        <v>825</v>
      </c>
      <c r="B453" s="30"/>
      <c r="C453" s="78"/>
      <c r="D453" s="111"/>
      <c r="E453" s="30"/>
      <c r="F453" s="265">
        <v>16350</v>
      </c>
      <c r="G453" s="270">
        <f t="shared" si="297"/>
        <v>-1</v>
      </c>
      <c r="H453" s="79"/>
      <c r="I453" s="111"/>
      <c r="J453" s="30"/>
      <c r="K453" s="82"/>
      <c r="L453" s="142"/>
      <c r="M453" s="143"/>
      <c r="N453" s="179"/>
      <c r="O453" s="146"/>
      <c r="P453" s="146"/>
      <c r="Q453" s="178"/>
      <c r="R453" s="162"/>
      <c r="S453" s="162"/>
      <c r="T453" s="162"/>
      <c r="U453" s="162"/>
      <c r="V453" s="147"/>
      <c r="W453" s="162"/>
      <c r="X453" s="162"/>
      <c r="Y453" s="162"/>
      <c r="Z453" s="147"/>
    </row>
    <row r="454" spans="1:26" ht="12.75">
      <c r="A454" s="264" t="s">
        <v>844</v>
      </c>
      <c r="B454" s="30"/>
      <c r="C454" s="78"/>
      <c r="D454" s="111"/>
      <c r="E454" s="30"/>
      <c r="F454" s="266">
        <f>SUM(F455)</f>
        <v>20049</v>
      </c>
      <c r="G454" s="270">
        <f t="shared" si="297"/>
        <v>-1</v>
      </c>
      <c r="H454" s="79"/>
      <c r="I454" s="111"/>
      <c r="J454" s="30"/>
      <c r="K454" s="82"/>
      <c r="L454" s="142"/>
      <c r="M454" s="143"/>
      <c r="N454" s="179"/>
      <c r="O454" s="146"/>
      <c r="P454" s="146"/>
      <c r="Q454" s="178"/>
      <c r="R454" s="162"/>
      <c r="S454" s="162"/>
      <c r="T454" s="162"/>
      <c r="U454" s="162"/>
      <c r="V454" s="147"/>
      <c r="W454" s="162"/>
      <c r="X454" s="162"/>
      <c r="Y454" s="162"/>
      <c r="Z454" s="147"/>
    </row>
    <row r="455" spans="1:26" ht="12.75">
      <c r="A455" s="262" t="s">
        <v>826</v>
      </c>
      <c r="B455" s="30"/>
      <c r="C455" s="78"/>
      <c r="D455" s="111"/>
      <c r="E455" s="30"/>
      <c r="F455" s="265">
        <v>20049</v>
      </c>
      <c r="G455" s="270">
        <f t="shared" si="297"/>
        <v>-1</v>
      </c>
      <c r="H455" s="79"/>
      <c r="I455" s="111"/>
      <c r="J455" s="30"/>
      <c r="K455" s="82"/>
      <c r="L455" s="142"/>
      <c r="M455" s="143"/>
      <c r="N455" s="179"/>
      <c r="O455" s="146"/>
      <c r="P455" s="146"/>
      <c r="Q455" s="178"/>
      <c r="R455" s="162"/>
      <c r="S455" s="162"/>
      <c r="T455" s="162"/>
      <c r="U455" s="162"/>
      <c r="V455" s="147"/>
      <c r="W455" s="162"/>
      <c r="X455" s="162"/>
      <c r="Y455" s="162"/>
      <c r="Z455" s="147"/>
    </row>
    <row r="456" spans="1:26" ht="12.75">
      <c r="A456" s="264" t="s">
        <v>827</v>
      </c>
      <c r="B456" s="30"/>
      <c r="C456" s="78"/>
      <c r="D456" s="111"/>
      <c r="E456" s="30"/>
      <c r="F456" s="266">
        <f>SUM(F457)</f>
        <v>8589</v>
      </c>
      <c r="G456" s="270">
        <f t="shared" si="297"/>
        <v>-1</v>
      </c>
      <c r="H456" s="79"/>
      <c r="I456" s="111"/>
      <c r="J456" s="30"/>
      <c r="K456" s="82"/>
      <c r="L456" s="142"/>
      <c r="M456" s="143"/>
      <c r="N456" s="179"/>
      <c r="O456" s="146"/>
      <c r="P456" s="146"/>
      <c r="Q456" s="178"/>
      <c r="R456" s="162"/>
      <c r="S456" s="162"/>
      <c r="T456" s="162"/>
      <c r="U456" s="162"/>
      <c r="V456" s="147"/>
      <c r="W456" s="162"/>
      <c r="X456" s="162"/>
      <c r="Y456" s="162"/>
      <c r="Z456" s="147"/>
    </row>
    <row r="457" spans="1:26" ht="12.75">
      <c r="A457" s="262" t="s">
        <v>828</v>
      </c>
      <c r="B457" s="30"/>
      <c r="C457" s="78"/>
      <c r="D457" s="111"/>
      <c r="E457" s="30"/>
      <c r="F457" s="265">
        <v>8589</v>
      </c>
      <c r="G457" s="270">
        <f t="shared" si="297"/>
        <v>-1</v>
      </c>
      <c r="H457" s="79"/>
      <c r="I457" s="111"/>
      <c r="J457" s="30"/>
      <c r="K457" s="82"/>
      <c r="L457" s="142"/>
      <c r="M457" s="143"/>
      <c r="N457" s="179"/>
      <c r="O457" s="146"/>
      <c r="P457" s="146"/>
      <c r="Q457" s="178"/>
      <c r="R457" s="162"/>
      <c r="S457" s="162"/>
      <c r="T457" s="162"/>
      <c r="U457" s="162"/>
      <c r="V457" s="147"/>
      <c r="W457" s="162"/>
      <c r="X457" s="162"/>
      <c r="Y457" s="162"/>
      <c r="Z457" s="147"/>
    </row>
    <row r="458" spans="1:26" ht="12.75">
      <c r="A458" s="86" t="s">
        <v>792</v>
      </c>
      <c r="B458" s="30"/>
      <c r="C458" s="78"/>
      <c r="D458" s="111" t="e">
        <f t="shared" si="266"/>
        <v>#DIV/0!</v>
      </c>
      <c r="E458" s="30">
        <f t="shared" si="260"/>
        <v>5946</v>
      </c>
      <c r="F458" s="84">
        <f>+F459+F464</f>
        <v>5946</v>
      </c>
      <c r="G458" s="270">
        <f t="shared" si="297"/>
        <v>35.463336696939116</v>
      </c>
      <c r="H458" s="267">
        <v>216811</v>
      </c>
      <c r="I458" s="111">
        <f aca="true" t="shared" si="298" ref="I458:I471">K469/F458-1</f>
        <v>143.06306760847627</v>
      </c>
      <c r="J458" s="30">
        <f aca="true" t="shared" si="299" ref="J458:J471">K469-F458</f>
        <v>850653</v>
      </c>
      <c r="K458" s="84">
        <f>+K459+K464</f>
        <v>216811</v>
      </c>
      <c r="L458" s="142">
        <f aca="true" t="shared" si="300" ref="L458:L471">N458/K469-1</f>
        <v>-1</v>
      </c>
      <c r="M458" s="143">
        <f aca="true" t="shared" si="301" ref="M458:M471">N458-K469</f>
        <v>-856599</v>
      </c>
      <c r="N458" s="167">
        <f>+N459+N464</f>
        <v>0</v>
      </c>
      <c r="O458" s="146" t="e">
        <f t="shared" si="267"/>
        <v>#DIV/0!</v>
      </c>
      <c r="P458" s="146"/>
      <c r="R458" s="167">
        <f aca="true" t="shared" si="302" ref="R458:Z458">+R459+R464</f>
        <v>0</v>
      </c>
      <c r="S458" s="167">
        <f t="shared" si="302"/>
        <v>0</v>
      </c>
      <c r="T458" s="167">
        <f t="shared" si="302"/>
        <v>0</v>
      </c>
      <c r="U458" s="167">
        <f t="shared" si="302"/>
        <v>0</v>
      </c>
      <c r="V458" s="167">
        <f t="shared" si="302"/>
        <v>0</v>
      </c>
      <c r="W458" s="167">
        <f t="shared" si="302"/>
        <v>0</v>
      </c>
      <c r="X458" s="167">
        <f t="shared" si="302"/>
        <v>0</v>
      </c>
      <c r="Y458" s="167">
        <f t="shared" si="302"/>
        <v>0</v>
      </c>
      <c r="Z458" s="167">
        <f t="shared" si="302"/>
        <v>0</v>
      </c>
    </row>
    <row r="459" spans="1:26" ht="12.75">
      <c r="A459" s="86" t="s">
        <v>413</v>
      </c>
      <c r="B459" s="30"/>
      <c r="C459" s="78"/>
      <c r="D459" s="111" t="e">
        <f t="shared" si="266"/>
        <v>#DIV/0!</v>
      </c>
      <c r="E459" s="30">
        <f t="shared" si="260"/>
        <v>0</v>
      </c>
      <c r="F459" s="152">
        <f>F460</f>
        <v>0</v>
      </c>
      <c r="G459" s="270" t="e">
        <f t="shared" si="297"/>
        <v>#DIV/0!</v>
      </c>
      <c r="H459" s="267">
        <v>171657</v>
      </c>
      <c r="I459" s="111" t="e">
        <f t="shared" si="298"/>
        <v>#DIV/0!</v>
      </c>
      <c r="J459" s="30">
        <f t="shared" si="299"/>
        <v>856599</v>
      </c>
      <c r="K459" s="152">
        <f>K460</f>
        <v>171657</v>
      </c>
      <c r="L459" s="142">
        <f t="shared" si="300"/>
        <v>-1</v>
      </c>
      <c r="M459" s="143">
        <f t="shared" si="301"/>
        <v>-856599</v>
      </c>
      <c r="N459" s="173">
        <f>N460</f>
        <v>0</v>
      </c>
      <c r="O459" s="146" t="e">
        <f t="shared" si="267"/>
        <v>#DIV/0!</v>
      </c>
      <c r="P459" s="146"/>
      <c r="R459" s="173">
        <f aca="true" t="shared" si="303" ref="R459:Z460">R460</f>
        <v>0</v>
      </c>
      <c r="S459" s="173">
        <f t="shared" si="303"/>
        <v>0</v>
      </c>
      <c r="T459" s="173">
        <f t="shared" si="303"/>
        <v>0</v>
      </c>
      <c r="U459" s="173">
        <f t="shared" si="303"/>
        <v>0</v>
      </c>
      <c r="V459" s="173">
        <f t="shared" si="303"/>
        <v>0</v>
      </c>
      <c r="W459" s="173">
        <f t="shared" si="303"/>
        <v>0</v>
      </c>
      <c r="X459" s="173">
        <f t="shared" si="303"/>
        <v>0</v>
      </c>
      <c r="Y459" s="173">
        <f t="shared" si="303"/>
        <v>0</v>
      </c>
      <c r="Z459" s="173">
        <f t="shared" si="303"/>
        <v>0</v>
      </c>
    </row>
    <row r="460" spans="1:26" ht="12.75">
      <c r="A460" s="81" t="s">
        <v>415</v>
      </c>
      <c r="B460" s="30"/>
      <c r="C460" s="78"/>
      <c r="D460" s="111" t="e">
        <f t="shared" si="266"/>
        <v>#DIV/0!</v>
      </c>
      <c r="E460" s="30">
        <f t="shared" si="260"/>
        <v>0</v>
      </c>
      <c r="F460" s="152">
        <f>F461</f>
        <v>0</v>
      </c>
      <c r="G460" s="270" t="e">
        <f t="shared" si="297"/>
        <v>#DIV/0!</v>
      </c>
      <c r="H460" s="267">
        <v>171657</v>
      </c>
      <c r="I460" s="111" t="e">
        <f t="shared" si="298"/>
        <v>#DIV/0!</v>
      </c>
      <c r="J460" s="30">
        <f t="shared" si="299"/>
        <v>615025</v>
      </c>
      <c r="K460" s="152">
        <f>K461</f>
        <v>171657</v>
      </c>
      <c r="L460" s="142">
        <f t="shared" si="300"/>
        <v>-1</v>
      </c>
      <c r="M460" s="143">
        <f t="shared" si="301"/>
        <v>-615025</v>
      </c>
      <c r="N460" s="173">
        <f>N461</f>
        <v>0</v>
      </c>
      <c r="O460" s="146" t="e">
        <f t="shared" si="267"/>
        <v>#DIV/0!</v>
      </c>
      <c r="P460" s="146">
        <v>0.075</v>
      </c>
      <c r="Q460" s="178">
        <v>0.08</v>
      </c>
      <c r="R460" s="173">
        <f t="shared" si="303"/>
        <v>0</v>
      </c>
      <c r="S460" s="173">
        <f t="shared" si="303"/>
        <v>0</v>
      </c>
      <c r="T460" s="173">
        <f t="shared" si="303"/>
        <v>0</v>
      </c>
      <c r="U460" s="173">
        <f t="shared" si="303"/>
        <v>0</v>
      </c>
      <c r="V460" s="173">
        <f t="shared" si="303"/>
        <v>0</v>
      </c>
      <c r="W460" s="173">
        <f t="shared" si="303"/>
        <v>0</v>
      </c>
      <c r="X460" s="173">
        <f t="shared" si="303"/>
        <v>0</v>
      </c>
      <c r="Y460" s="173">
        <f t="shared" si="303"/>
        <v>0</v>
      </c>
      <c r="Z460" s="173">
        <f t="shared" si="303"/>
        <v>0</v>
      </c>
    </row>
    <row r="461" spans="1:26" ht="13.5" thickBot="1">
      <c r="A461" s="87" t="s">
        <v>1069</v>
      </c>
      <c r="B461" s="30"/>
      <c r="C461" s="78"/>
      <c r="D461" s="111" t="e">
        <f t="shared" si="266"/>
        <v>#DIV/0!</v>
      </c>
      <c r="E461" s="30">
        <f t="shared" si="260"/>
        <v>0</v>
      </c>
      <c r="F461" s="158">
        <f>SUM(F462:F463)</f>
        <v>0</v>
      </c>
      <c r="G461" s="270" t="e">
        <f t="shared" si="297"/>
        <v>#DIV/0!</v>
      </c>
      <c r="H461" s="267">
        <v>171657</v>
      </c>
      <c r="I461" s="111" t="e">
        <f t="shared" si="298"/>
        <v>#DIV/0!</v>
      </c>
      <c r="J461" s="30">
        <f t="shared" si="299"/>
        <v>615025</v>
      </c>
      <c r="K461" s="158">
        <f>SUM(K462:K463)</f>
        <v>171657</v>
      </c>
      <c r="L461" s="142">
        <f t="shared" si="300"/>
        <v>-1</v>
      </c>
      <c r="M461" s="143">
        <f t="shared" si="301"/>
        <v>-615025</v>
      </c>
      <c r="N461" s="174">
        <f>SUM(N462:N463)</f>
        <v>0</v>
      </c>
      <c r="O461" s="146" t="e">
        <f t="shared" si="267"/>
        <v>#DIV/0!</v>
      </c>
      <c r="P461" s="146">
        <v>0.075</v>
      </c>
      <c r="Q461" s="178">
        <v>0.08</v>
      </c>
      <c r="R461" s="174">
        <f aca="true" t="shared" si="304" ref="R461:Z461">SUM(R462:R463)</f>
        <v>0</v>
      </c>
      <c r="S461" s="174">
        <f t="shared" si="304"/>
        <v>0</v>
      </c>
      <c r="T461" s="174">
        <f t="shared" si="304"/>
        <v>0</v>
      </c>
      <c r="U461" s="174">
        <f t="shared" si="304"/>
        <v>0</v>
      </c>
      <c r="V461" s="174">
        <f t="shared" si="304"/>
        <v>0</v>
      </c>
      <c r="W461" s="174">
        <f t="shared" si="304"/>
        <v>0</v>
      </c>
      <c r="X461" s="174">
        <f t="shared" si="304"/>
        <v>0</v>
      </c>
      <c r="Y461" s="174">
        <f t="shared" si="304"/>
        <v>0</v>
      </c>
      <c r="Z461" s="174">
        <f t="shared" si="304"/>
        <v>0</v>
      </c>
    </row>
    <row r="462" spans="1:26" ht="12.75">
      <c r="A462" s="81" t="s">
        <v>1070</v>
      </c>
      <c r="B462" s="30"/>
      <c r="C462" s="78"/>
      <c r="D462" s="111" t="e">
        <f t="shared" si="266"/>
        <v>#DIV/0!</v>
      </c>
      <c r="E462" s="30">
        <f t="shared" si="260"/>
        <v>0</v>
      </c>
      <c r="F462" s="104"/>
      <c r="G462" s="270" t="e">
        <f t="shared" si="297"/>
        <v>#DIV/0!</v>
      </c>
      <c r="H462" s="267">
        <v>164013</v>
      </c>
      <c r="I462" s="111" t="e">
        <f t="shared" si="298"/>
        <v>#DIV/0!</v>
      </c>
      <c r="J462" s="30">
        <f t="shared" si="299"/>
        <v>462501</v>
      </c>
      <c r="K462" s="157">
        <v>164013</v>
      </c>
      <c r="L462" s="142">
        <f t="shared" si="300"/>
        <v>-1</v>
      </c>
      <c r="M462" s="143">
        <f t="shared" si="301"/>
        <v>-462501</v>
      </c>
      <c r="N462" s="147">
        <v>0</v>
      </c>
      <c r="O462" s="146" t="e">
        <f t="shared" si="267"/>
        <v>#DIV/0!</v>
      </c>
      <c r="P462" s="146">
        <v>0.075</v>
      </c>
      <c r="Q462" s="178">
        <v>0.08</v>
      </c>
      <c r="R462" s="147">
        <f>(N462*P462)+N462</f>
        <v>0</v>
      </c>
      <c r="S462" s="147">
        <f>(R462*P462)+R462</f>
        <v>0</v>
      </c>
      <c r="T462" s="147">
        <f>(S462*P462)+S462</f>
        <v>0</v>
      </c>
      <c r="U462" s="147">
        <f>(T462*P462)+T462</f>
        <v>0</v>
      </c>
      <c r="V462" s="147">
        <f>(U462*P462)+U462</f>
        <v>0</v>
      </c>
      <c r="W462" s="147">
        <f>(V462*P462)+V462</f>
        <v>0</v>
      </c>
      <c r="X462" s="147">
        <f>(W462*P462)+W462</f>
        <v>0</v>
      </c>
      <c r="Y462" s="147">
        <f>(X462*P462)+X462</f>
        <v>0</v>
      </c>
      <c r="Z462" s="147">
        <f>(Y462*P462)+Y462</f>
        <v>0</v>
      </c>
    </row>
    <row r="463" spans="1:26" ht="12.75">
      <c r="A463" s="81" t="s">
        <v>1071</v>
      </c>
      <c r="B463" s="30"/>
      <c r="C463" s="78"/>
      <c r="D463" s="111" t="e">
        <f t="shared" si="266"/>
        <v>#DIV/0!</v>
      </c>
      <c r="E463" s="30">
        <f t="shared" si="260"/>
        <v>0</v>
      </c>
      <c r="F463" s="104"/>
      <c r="G463" s="270" t="e">
        <f t="shared" si="297"/>
        <v>#DIV/0!</v>
      </c>
      <c r="H463" s="267">
        <v>7644</v>
      </c>
      <c r="I463" s="111" t="e">
        <f t="shared" si="298"/>
        <v>#DIV/0!</v>
      </c>
      <c r="J463" s="30">
        <f t="shared" si="299"/>
        <v>250000</v>
      </c>
      <c r="K463" s="157">
        <v>7644</v>
      </c>
      <c r="L463" s="142">
        <f t="shared" si="300"/>
        <v>-1</v>
      </c>
      <c r="M463" s="143">
        <f t="shared" si="301"/>
        <v>-250000</v>
      </c>
      <c r="N463" s="147">
        <v>0</v>
      </c>
      <c r="O463" s="146" t="e">
        <f t="shared" si="267"/>
        <v>#DIV/0!</v>
      </c>
      <c r="P463" s="146">
        <v>0.075</v>
      </c>
      <c r="Q463" s="178">
        <v>0.08</v>
      </c>
      <c r="R463" s="147">
        <f>(N463*P463)+N463</f>
        <v>0</v>
      </c>
      <c r="S463" s="147">
        <f>(R463*P463)+R463</f>
        <v>0</v>
      </c>
      <c r="T463" s="147">
        <f>(S463*P463)+S463</f>
        <v>0</v>
      </c>
      <c r="U463" s="147">
        <f>(T463*P463)+T463</f>
        <v>0</v>
      </c>
      <c r="V463" s="147">
        <f>(U463*P463)+U463</f>
        <v>0</v>
      </c>
      <c r="W463" s="147">
        <f>(V463*P463)+V463</f>
        <v>0</v>
      </c>
      <c r="X463" s="147">
        <f>(W463*P463)+W463</f>
        <v>0</v>
      </c>
      <c r="Y463" s="147">
        <f>(X463*P463)+X463</f>
        <v>0</v>
      </c>
      <c r="Z463" s="147">
        <f>(Y463*P463)+Y463</f>
        <v>0</v>
      </c>
    </row>
    <row r="464" spans="1:26" ht="12.75">
      <c r="A464" s="81" t="s">
        <v>1072</v>
      </c>
      <c r="B464" s="30"/>
      <c r="C464" s="78"/>
      <c r="D464" s="111" t="e">
        <f t="shared" si="266"/>
        <v>#DIV/0!</v>
      </c>
      <c r="E464" s="30">
        <f t="shared" si="260"/>
        <v>5946</v>
      </c>
      <c r="F464" s="104">
        <v>5946</v>
      </c>
      <c r="G464" s="270">
        <f t="shared" si="297"/>
        <v>6.594012781701984</v>
      </c>
      <c r="H464" s="267">
        <v>45154</v>
      </c>
      <c r="I464" s="111">
        <f t="shared" si="298"/>
        <v>15.818028927009756</v>
      </c>
      <c r="J464" s="30">
        <f t="shared" si="299"/>
        <v>94054</v>
      </c>
      <c r="K464" s="157">
        <v>45154</v>
      </c>
      <c r="L464" s="142">
        <f t="shared" si="300"/>
        <v>-1</v>
      </c>
      <c r="M464" s="143">
        <f t="shared" si="301"/>
        <v>-100000</v>
      </c>
      <c r="N464" s="147"/>
      <c r="O464" s="146" t="e">
        <f t="shared" si="267"/>
        <v>#DIV/0!</v>
      </c>
      <c r="P464" s="146">
        <v>0.075</v>
      </c>
      <c r="Q464" s="178">
        <v>0.08</v>
      </c>
      <c r="R464" s="147">
        <f>(N464*P464)+N464</f>
        <v>0</v>
      </c>
      <c r="S464" s="147">
        <f>(R464*P464)+R464</f>
        <v>0</v>
      </c>
      <c r="T464" s="147">
        <f>(S464*P464)+S464</f>
        <v>0</v>
      </c>
      <c r="U464" s="147">
        <f>(T464*P464)+T464</f>
        <v>0</v>
      </c>
      <c r="V464" s="147">
        <f>(U464*P464)+U464</f>
        <v>0</v>
      </c>
      <c r="W464" s="147">
        <f>(V464*P464)+V464</f>
        <v>0</v>
      </c>
      <c r="X464" s="147">
        <f>(W464*P464)+W464</f>
        <v>0</v>
      </c>
      <c r="Y464" s="147">
        <f>(X464*P464)+X464</f>
        <v>0</v>
      </c>
      <c r="Z464" s="147">
        <f>(Y464*P464)+Y464</f>
        <v>0</v>
      </c>
    </row>
    <row r="465" spans="1:26" ht="12.75">
      <c r="A465" s="86" t="s">
        <v>1073</v>
      </c>
      <c r="B465" s="30"/>
      <c r="C465" s="78"/>
      <c r="D465" s="111" t="e">
        <f t="shared" si="266"/>
        <v>#DIV/0!</v>
      </c>
      <c r="E465" s="30">
        <f t="shared" si="260"/>
        <v>0</v>
      </c>
      <c r="F465" s="104"/>
      <c r="G465" s="270" t="e">
        <f t="shared" si="297"/>
        <v>#DIV/0!</v>
      </c>
      <c r="H465" s="267">
        <v>1000</v>
      </c>
      <c r="I465" s="111" t="e">
        <f t="shared" si="298"/>
        <v>#DIV/0!</v>
      </c>
      <c r="J465" s="30">
        <f t="shared" si="299"/>
        <v>50001</v>
      </c>
      <c r="K465" s="84">
        <f>SUM(K466)</f>
        <v>1000</v>
      </c>
      <c r="L465" s="142">
        <f t="shared" si="300"/>
        <v>-1</v>
      </c>
      <c r="M465" s="143">
        <f t="shared" si="301"/>
        <v>-50001</v>
      </c>
      <c r="N465" s="167">
        <f>SUM(N466)</f>
        <v>0</v>
      </c>
      <c r="O465" s="146" t="e">
        <f t="shared" si="267"/>
        <v>#DIV/0!</v>
      </c>
      <c r="P465" s="146"/>
      <c r="R465" s="167">
        <f aca="true" t="shared" si="305" ref="R465:Z466">SUM(R466)</f>
        <v>0</v>
      </c>
      <c r="S465" s="167">
        <f t="shared" si="305"/>
        <v>0</v>
      </c>
      <c r="T465" s="167">
        <f t="shared" si="305"/>
        <v>0</v>
      </c>
      <c r="U465" s="167">
        <f t="shared" si="305"/>
        <v>0</v>
      </c>
      <c r="V465" s="167">
        <f t="shared" si="305"/>
        <v>0</v>
      </c>
      <c r="W465" s="167">
        <f t="shared" si="305"/>
        <v>0</v>
      </c>
      <c r="X465" s="167">
        <f t="shared" si="305"/>
        <v>0</v>
      </c>
      <c r="Y465" s="167">
        <f t="shared" si="305"/>
        <v>0</v>
      </c>
      <c r="Z465" s="167">
        <f t="shared" si="305"/>
        <v>0</v>
      </c>
    </row>
    <row r="466" spans="1:26" ht="12.75">
      <c r="A466" s="86" t="s">
        <v>1074</v>
      </c>
      <c r="B466" s="30"/>
      <c r="C466" s="78"/>
      <c r="D466" s="111" t="e">
        <f t="shared" si="266"/>
        <v>#DIV/0!</v>
      </c>
      <c r="E466" s="30">
        <f t="shared" si="260"/>
        <v>0</v>
      </c>
      <c r="F466" s="104"/>
      <c r="G466" s="270" t="e">
        <f t="shared" si="297"/>
        <v>#DIV/0!</v>
      </c>
      <c r="H466" s="267">
        <v>1000</v>
      </c>
      <c r="I466" s="111" t="e">
        <f t="shared" si="298"/>
        <v>#DIV/0!</v>
      </c>
      <c r="J466" s="30">
        <f t="shared" si="299"/>
        <v>62500</v>
      </c>
      <c r="K466" s="84">
        <f>SUM(K467)</f>
        <v>1000</v>
      </c>
      <c r="L466" s="142">
        <f t="shared" si="300"/>
        <v>-1</v>
      </c>
      <c r="M466" s="143">
        <f t="shared" si="301"/>
        <v>-62500</v>
      </c>
      <c r="N466" s="167">
        <f>SUM(N467)</f>
        <v>0</v>
      </c>
      <c r="O466" s="146" t="e">
        <f t="shared" si="267"/>
        <v>#DIV/0!</v>
      </c>
      <c r="P466" s="146"/>
      <c r="R466" s="167">
        <f t="shared" si="305"/>
        <v>0</v>
      </c>
      <c r="S466" s="167">
        <f t="shared" si="305"/>
        <v>0</v>
      </c>
      <c r="T466" s="167">
        <f t="shared" si="305"/>
        <v>0</v>
      </c>
      <c r="U466" s="167">
        <f t="shared" si="305"/>
        <v>0</v>
      </c>
      <c r="V466" s="167">
        <f t="shared" si="305"/>
        <v>0</v>
      </c>
      <c r="W466" s="167">
        <f t="shared" si="305"/>
        <v>0</v>
      </c>
      <c r="X466" s="167">
        <f t="shared" si="305"/>
        <v>0</v>
      </c>
      <c r="Y466" s="167">
        <f t="shared" si="305"/>
        <v>0</v>
      </c>
      <c r="Z466" s="167">
        <f t="shared" si="305"/>
        <v>0</v>
      </c>
    </row>
    <row r="467" spans="1:26" ht="12.75">
      <c r="A467" s="81" t="s">
        <v>1075</v>
      </c>
      <c r="B467" s="30"/>
      <c r="C467" s="78"/>
      <c r="D467" s="111" t="e">
        <f t="shared" si="266"/>
        <v>#DIV/0!</v>
      </c>
      <c r="E467" s="30">
        <f t="shared" si="260"/>
        <v>0</v>
      </c>
      <c r="F467" s="104"/>
      <c r="G467" s="270" t="e">
        <f t="shared" si="297"/>
        <v>#DIV/0!</v>
      </c>
      <c r="H467" s="267">
        <v>1000</v>
      </c>
      <c r="I467" s="111" t="e">
        <f t="shared" si="298"/>
        <v>#DIV/0!</v>
      </c>
      <c r="J467" s="30">
        <f t="shared" si="299"/>
        <v>152524</v>
      </c>
      <c r="K467" s="157">
        <v>1000</v>
      </c>
      <c r="L467" s="142">
        <f t="shared" si="300"/>
        <v>-1</v>
      </c>
      <c r="M467" s="143">
        <f t="shared" si="301"/>
        <v>-152524</v>
      </c>
      <c r="N467" s="147">
        <v>0</v>
      </c>
      <c r="O467" s="146" t="e">
        <f t="shared" si="267"/>
        <v>#DIV/0!</v>
      </c>
      <c r="P467" s="146"/>
      <c r="R467" s="147">
        <f>(N467*P467)+N467</f>
        <v>0</v>
      </c>
      <c r="S467" s="147">
        <f>(R467*P467)+R467</f>
        <v>0</v>
      </c>
      <c r="T467" s="147">
        <f>(S467*P467)+S467</f>
        <v>0</v>
      </c>
      <c r="U467" s="147">
        <f>(T467*P467)+T467</f>
        <v>0</v>
      </c>
      <c r="V467" s="147">
        <f>(U467*P467)+U467</f>
        <v>0</v>
      </c>
      <c r="W467" s="147">
        <f>(V467*P467)+V467</f>
        <v>0</v>
      </c>
      <c r="X467" s="147">
        <f>(W467*P467)+W467</f>
        <v>0</v>
      </c>
      <c r="Y467" s="147">
        <f>(X467*P467)+X467</f>
        <v>0</v>
      </c>
      <c r="Z467" s="147">
        <f>(Y467*P467)+Y467</f>
        <v>0</v>
      </c>
    </row>
    <row r="468" spans="1:26" ht="12.75">
      <c r="A468" s="83" t="s">
        <v>1076</v>
      </c>
      <c r="B468" s="84">
        <f>SUM(B469)</f>
        <v>107770</v>
      </c>
      <c r="C468" s="78"/>
      <c r="D468" s="111">
        <f t="shared" si="266"/>
        <v>1.6440103925025515</v>
      </c>
      <c r="E468" s="30">
        <f t="shared" si="260"/>
        <v>177175</v>
      </c>
      <c r="F468" s="84">
        <f>SUM(F469)</f>
        <v>284945</v>
      </c>
      <c r="G468" s="270">
        <f t="shared" si="297"/>
        <v>1.2920037200161434</v>
      </c>
      <c r="H468" s="267">
        <v>653095</v>
      </c>
      <c r="I468" s="111">
        <f t="shared" si="298"/>
        <v>-0.7744722665777606</v>
      </c>
      <c r="J468" s="30">
        <f t="shared" si="299"/>
        <v>-220682</v>
      </c>
      <c r="K468" s="84">
        <f>SUM(K469)</f>
        <v>856599</v>
      </c>
      <c r="L468" s="142">
        <f t="shared" si="300"/>
        <v>14.511538521388669</v>
      </c>
      <c r="M468" s="143">
        <f t="shared" si="301"/>
        <v>932555</v>
      </c>
      <c r="N468" s="167">
        <f aca="true" t="shared" si="306" ref="N468:Z469">SUM(N469)</f>
        <v>996818</v>
      </c>
      <c r="O468" s="84" t="e">
        <f t="shared" si="306"/>
        <v>#DIV/0!</v>
      </c>
      <c r="P468" s="84">
        <v>0</v>
      </c>
      <c r="Q468" s="84">
        <f t="shared" si="306"/>
        <v>0</v>
      </c>
      <c r="R468" s="167">
        <f t="shared" si="306"/>
        <v>494999</v>
      </c>
      <c r="S468" s="167">
        <f t="shared" si="306"/>
        <v>46000</v>
      </c>
      <c r="T468" s="167">
        <f t="shared" si="306"/>
        <v>0</v>
      </c>
      <c r="U468" s="167">
        <f t="shared" si="306"/>
        <v>0</v>
      </c>
      <c r="V468" s="167">
        <f t="shared" si="306"/>
        <v>0</v>
      </c>
      <c r="W468" s="167">
        <f t="shared" si="306"/>
        <v>0</v>
      </c>
      <c r="X468" s="167">
        <f t="shared" si="306"/>
        <v>0</v>
      </c>
      <c r="Y468" s="167">
        <f t="shared" si="306"/>
        <v>0</v>
      </c>
      <c r="Z468" s="167">
        <f t="shared" si="306"/>
        <v>0</v>
      </c>
    </row>
    <row r="469" spans="1:26" ht="12.75">
      <c r="A469" s="83" t="s">
        <v>1077</v>
      </c>
      <c r="B469" s="84">
        <f>SUM(B470)</f>
        <v>107770</v>
      </c>
      <c r="C469" s="78"/>
      <c r="D469" s="111">
        <f t="shared" si="266"/>
        <v>1.6440103925025515</v>
      </c>
      <c r="E469" s="30">
        <f t="shared" si="260"/>
        <v>177175</v>
      </c>
      <c r="F469" s="84">
        <f>SUM(F470)</f>
        <v>284945</v>
      </c>
      <c r="G469" s="270">
        <f t="shared" si="297"/>
        <v>1.2920037200161434</v>
      </c>
      <c r="H469" s="267">
        <v>653095</v>
      </c>
      <c r="I469" s="111">
        <f t="shared" si="298"/>
        <v>-0.8811314464194845</v>
      </c>
      <c r="J469" s="30">
        <f t="shared" si="299"/>
        <v>-251074</v>
      </c>
      <c r="K469" s="84">
        <f>SUM(K470)</f>
        <v>856599</v>
      </c>
      <c r="L469" s="142">
        <f t="shared" si="300"/>
        <v>28.429836733488827</v>
      </c>
      <c r="M469" s="143">
        <f t="shared" si="301"/>
        <v>962947</v>
      </c>
      <c r="N469" s="167">
        <f t="shared" si="306"/>
        <v>996818</v>
      </c>
      <c r="O469" s="84" t="e">
        <f t="shared" si="306"/>
        <v>#DIV/0!</v>
      </c>
      <c r="P469" s="84">
        <f t="shared" si="306"/>
        <v>0.03</v>
      </c>
      <c r="Q469" s="84">
        <f t="shared" si="306"/>
        <v>0</v>
      </c>
      <c r="R469" s="167">
        <f t="shared" si="306"/>
        <v>494999</v>
      </c>
      <c r="S469" s="167">
        <f t="shared" si="306"/>
        <v>46000</v>
      </c>
      <c r="T469" s="167">
        <f t="shared" si="306"/>
        <v>0</v>
      </c>
      <c r="U469" s="167">
        <f t="shared" si="306"/>
        <v>0</v>
      </c>
      <c r="V469" s="167">
        <f t="shared" si="306"/>
        <v>0</v>
      </c>
      <c r="W469" s="167">
        <f t="shared" si="306"/>
        <v>0</v>
      </c>
      <c r="X469" s="167">
        <f t="shared" si="306"/>
        <v>0</v>
      </c>
      <c r="Y469" s="167">
        <f t="shared" si="306"/>
        <v>0</v>
      </c>
      <c r="Z469" s="167">
        <f t="shared" si="306"/>
        <v>0</v>
      </c>
    </row>
    <row r="470" spans="1:26" ht="12.75">
      <c r="A470" s="83" t="s">
        <v>1078</v>
      </c>
      <c r="B470" s="160">
        <f>+B471+B484+B487+B494</f>
        <v>107770</v>
      </c>
      <c r="C470" s="78"/>
      <c r="D470" s="111">
        <f t="shared" si="266"/>
        <v>1.6440103925025515</v>
      </c>
      <c r="E470" s="30">
        <f aca="true" t="shared" si="307" ref="E470:E498">F470-B470</f>
        <v>177175</v>
      </c>
      <c r="F470" s="160">
        <f>+F471+F484+F487+F494</f>
        <v>284945</v>
      </c>
      <c r="G470" s="270">
        <f t="shared" si="297"/>
        <v>1.2920037200161434</v>
      </c>
      <c r="H470" s="267">
        <v>653095</v>
      </c>
      <c r="I470" s="111">
        <f t="shared" si="298"/>
        <v>-0.9153380476934145</v>
      </c>
      <c r="J470" s="30">
        <f t="shared" si="299"/>
        <v>-260821</v>
      </c>
      <c r="K470" s="160">
        <f>+K471+K484+K487+K494</f>
        <v>856599</v>
      </c>
      <c r="L470" s="142">
        <f t="shared" si="300"/>
        <v>40.32059359973471</v>
      </c>
      <c r="M470" s="143">
        <f t="shared" si="301"/>
        <v>972694</v>
      </c>
      <c r="N470" s="175">
        <f aca="true" t="shared" si="308" ref="N470:Z470">+N471+N484+N487+N494</f>
        <v>996818</v>
      </c>
      <c r="O470" s="160" t="e">
        <f t="shared" si="308"/>
        <v>#DIV/0!</v>
      </c>
      <c r="P470" s="160">
        <f t="shared" si="308"/>
        <v>0.03</v>
      </c>
      <c r="Q470" s="160">
        <f t="shared" si="308"/>
        <v>0</v>
      </c>
      <c r="R470" s="175">
        <f t="shared" si="308"/>
        <v>494999</v>
      </c>
      <c r="S470" s="175">
        <f t="shared" si="308"/>
        <v>46000</v>
      </c>
      <c r="T470" s="175">
        <f t="shared" si="308"/>
        <v>0</v>
      </c>
      <c r="U470" s="175">
        <f t="shared" si="308"/>
        <v>0</v>
      </c>
      <c r="V470" s="175">
        <f t="shared" si="308"/>
        <v>0</v>
      </c>
      <c r="W470" s="175">
        <f t="shared" si="308"/>
        <v>0</v>
      </c>
      <c r="X470" s="175">
        <f t="shared" si="308"/>
        <v>0</v>
      </c>
      <c r="Y470" s="175">
        <f t="shared" si="308"/>
        <v>0</v>
      </c>
      <c r="Z470" s="175">
        <f t="shared" si="308"/>
        <v>0</v>
      </c>
    </row>
    <row r="471" spans="1:26" ht="12.75">
      <c r="A471" s="92" t="s">
        <v>1079</v>
      </c>
      <c r="B471" s="84">
        <f>SUM(B472)</f>
        <v>107770</v>
      </c>
      <c r="C471" s="78"/>
      <c r="D471" s="111">
        <f t="shared" si="266"/>
        <v>1.6440103925025515</v>
      </c>
      <c r="E471" s="30">
        <f t="shared" si="307"/>
        <v>177175</v>
      </c>
      <c r="F471" s="84">
        <f>SUM(F472)</f>
        <v>284945</v>
      </c>
      <c r="G471" s="270">
        <f t="shared" si="297"/>
        <v>1.149737668672902</v>
      </c>
      <c r="H471" s="267">
        <v>612557</v>
      </c>
      <c r="I471" s="111">
        <f t="shared" si="298"/>
        <v>-0.8937830107564617</v>
      </c>
      <c r="J471" s="30">
        <f t="shared" si="299"/>
        <v>-254679</v>
      </c>
      <c r="K471" s="84">
        <f>SUM(K472)</f>
        <v>615025</v>
      </c>
      <c r="L471" s="142">
        <f t="shared" si="300"/>
        <v>25.36843322540144</v>
      </c>
      <c r="M471" s="143">
        <f t="shared" si="301"/>
        <v>767801</v>
      </c>
      <c r="N471" s="167">
        <f aca="true" t="shared" si="309" ref="N471:Z471">SUM(N472)</f>
        <v>798067</v>
      </c>
      <c r="O471" s="84">
        <f t="shared" si="309"/>
        <v>21.96660478531087</v>
      </c>
      <c r="P471" s="84">
        <f t="shared" si="309"/>
        <v>0</v>
      </c>
      <c r="Q471" s="84">
        <f t="shared" si="309"/>
        <v>0</v>
      </c>
      <c r="R471" s="167">
        <f t="shared" si="309"/>
        <v>494999</v>
      </c>
      <c r="S471" s="167">
        <f t="shared" si="309"/>
        <v>46000</v>
      </c>
      <c r="T471" s="167">
        <f t="shared" si="309"/>
        <v>0</v>
      </c>
      <c r="U471" s="167">
        <f t="shared" si="309"/>
        <v>0</v>
      </c>
      <c r="V471" s="167">
        <f t="shared" si="309"/>
        <v>0</v>
      </c>
      <c r="W471" s="167">
        <f t="shared" si="309"/>
        <v>0</v>
      </c>
      <c r="X471" s="167">
        <f t="shared" si="309"/>
        <v>0</v>
      </c>
      <c r="Y471" s="167">
        <f t="shared" si="309"/>
        <v>0</v>
      </c>
      <c r="Z471" s="167">
        <f t="shared" si="309"/>
        <v>0</v>
      </c>
    </row>
    <row r="472" spans="1:26" ht="12.75">
      <c r="A472" s="92" t="s">
        <v>1080</v>
      </c>
      <c r="B472" s="167">
        <f>B473+B478</f>
        <v>107770</v>
      </c>
      <c r="C472" s="78"/>
      <c r="D472" s="111">
        <f t="shared" si="266"/>
        <v>1.6440103925025515</v>
      </c>
      <c r="E472" s="30">
        <f t="shared" si="307"/>
        <v>177175</v>
      </c>
      <c r="F472" s="167">
        <f>F473+F478</f>
        <v>284945</v>
      </c>
      <c r="G472" s="270">
        <f t="shared" si="297"/>
        <v>1.149737668672902</v>
      </c>
      <c r="H472" s="267">
        <v>612557</v>
      </c>
      <c r="I472" s="111">
        <f aca="true" t="shared" si="310" ref="I472:I486">K484/F472-1</f>
        <v>-0.9161417115583709</v>
      </c>
      <c r="J472" s="30">
        <f aca="true" t="shared" si="311" ref="J472:J486">K484-F472</f>
        <v>-261050</v>
      </c>
      <c r="K472" s="167">
        <f>K473+K478</f>
        <v>615025</v>
      </c>
      <c r="L472" s="142">
        <f aca="true" t="shared" si="312" ref="L472:L486">N472/K484-1</f>
        <v>32.39891190625654</v>
      </c>
      <c r="M472" s="143">
        <f aca="true" t="shared" si="313" ref="M472:M486">N472-K484</f>
        <v>774172</v>
      </c>
      <c r="N472" s="167">
        <f aca="true" t="shared" si="314" ref="N472:Z472">N473+N478</f>
        <v>798067</v>
      </c>
      <c r="O472" s="84">
        <f t="shared" si="314"/>
        <v>21.96660478531087</v>
      </c>
      <c r="P472" s="84">
        <f t="shared" si="314"/>
        <v>0</v>
      </c>
      <c r="Q472" s="84">
        <f t="shared" si="314"/>
        <v>0</v>
      </c>
      <c r="R472" s="167">
        <f t="shared" si="314"/>
        <v>494999</v>
      </c>
      <c r="S472" s="167">
        <f t="shared" si="314"/>
        <v>46000</v>
      </c>
      <c r="T472" s="167">
        <f t="shared" si="314"/>
        <v>0</v>
      </c>
      <c r="U472" s="167">
        <f t="shared" si="314"/>
        <v>0</v>
      </c>
      <c r="V472" s="167">
        <f t="shared" si="314"/>
        <v>0</v>
      </c>
      <c r="W472" s="167">
        <f t="shared" si="314"/>
        <v>0</v>
      </c>
      <c r="X472" s="167">
        <f t="shared" si="314"/>
        <v>0</v>
      </c>
      <c r="Y472" s="167">
        <f t="shared" si="314"/>
        <v>0</v>
      </c>
      <c r="Z472" s="167">
        <f t="shared" si="314"/>
        <v>0</v>
      </c>
    </row>
    <row r="473" spans="1:26" ht="12.75">
      <c r="A473" s="92" t="s">
        <v>1081</v>
      </c>
      <c r="B473" s="145">
        <f>SUM(B474:B477)</f>
        <v>50236</v>
      </c>
      <c r="C473" s="78"/>
      <c r="D473" s="111">
        <f t="shared" si="266"/>
        <v>1.4882554343498686</v>
      </c>
      <c r="E473" s="30">
        <f t="shared" si="307"/>
        <v>74764</v>
      </c>
      <c r="F473" s="145">
        <f>SUM(F474:F477)</f>
        <v>125000</v>
      </c>
      <c r="G473" s="270">
        <f t="shared" si="297"/>
        <v>2.7</v>
      </c>
      <c r="H473" s="271">
        <v>462500</v>
      </c>
      <c r="I473" s="111">
        <f t="shared" si="310"/>
        <v>-0.80884</v>
      </c>
      <c r="J473" s="30">
        <f t="shared" si="311"/>
        <v>-101105</v>
      </c>
      <c r="K473" s="145">
        <f>SUM(K474:K477)</f>
        <v>462501</v>
      </c>
      <c r="L473" s="142">
        <f t="shared" si="312"/>
        <v>19.2241054613936</v>
      </c>
      <c r="M473" s="143">
        <f t="shared" si="313"/>
        <v>459360</v>
      </c>
      <c r="N473" s="171">
        <f>SUM(N474:N477)</f>
        <v>483255</v>
      </c>
      <c r="O473" s="146">
        <f t="shared" si="267"/>
        <v>6.634506965247823</v>
      </c>
      <c r="P473" s="146"/>
      <c r="R473" s="171">
        <f aca="true" t="shared" si="315" ref="R473:Z473">SUM(R474:R477)</f>
        <v>374999</v>
      </c>
      <c r="S473" s="171">
        <f t="shared" si="315"/>
        <v>37000</v>
      </c>
      <c r="T473" s="171">
        <f t="shared" si="315"/>
        <v>0</v>
      </c>
      <c r="U473" s="171">
        <f t="shared" si="315"/>
        <v>0</v>
      </c>
      <c r="V473" s="171">
        <f t="shared" si="315"/>
        <v>0</v>
      </c>
      <c r="W473" s="171">
        <f t="shared" si="315"/>
        <v>0</v>
      </c>
      <c r="X473" s="171">
        <f t="shared" si="315"/>
        <v>0</v>
      </c>
      <c r="Y473" s="171">
        <f t="shared" si="315"/>
        <v>0</v>
      </c>
      <c r="Z473" s="171">
        <f t="shared" si="315"/>
        <v>0</v>
      </c>
    </row>
    <row r="474" spans="1:26" ht="12.75">
      <c r="A474" s="81" t="s">
        <v>1082</v>
      </c>
      <c r="B474" s="30">
        <v>50236</v>
      </c>
      <c r="C474" s="78"/>
      <c r="D474" s="111">
        <f t="shared" si="266"/>
        <v>1.4882554343498686</v>
      </c>
      <c r="E474" s="30">
        <f t="shared" si="307"/>
        <v>74764</v>
      </c>
      <c r="F474" s="104">
        <v>125000</v>
      </c>
      <c r="G474" s="270">
        <f t="shared" si="297"/>
        <v>1</v>
      </c>
      <c r="H474" s="267">
        <v>250000</v>
      </c>
      <c r="I474" s="111">
        <f t="shared" si="310"/>
        <v>-0.80884</v>
      </c>
      <c r="J474" s="30">
        <f t="shared" si="311"/>
        <v>-101105</v>
      </c>
      <c r="K474" s="157">
        <v>250000</v>
      </c>
      <c r="L474" s="142">
        <f t="shared" si="312"/>
        <v>8.761665620422683</v>
      </c>
      <c r="M474" s="143">
        <f t="shared" si="313"/>
        <v>209360</v>
      </c>
      <c r="N474" s="179">
        <v>233255</v>
      </c>
      <c r="O474" s="146">
        <f t="shared" si="267"/>
        <v>3.1470270182575173</v>
      </c>
      <c r="P474" s="146">
        <v>0.03</v>
      </c>
      <c r="R474" s="147">
        <v>374999</v>
      </c>
      <c r="S474" s="147">
        <v>37000</v>
      </c>
      <c r="T474" s="162">
        <v>0</v>
      </c>
      <c r="U474" s="162">
        <f>(T474*P474)+T474</f>
        <v>0</v>
      </c>
      <c r="V474" s="147">
        <f>(U474*P474)+U474</f>
        <v>0</v>
      </c>
      <c r="W474" s="147">
        <f>(V474*P474)+V474</f>
        <v>0</v>
      </c>
      <c r="X474" s="147">
        <f>(W474*P474)+W474</f>
        <v>0</v>
      </c>
      <c r="Y474" s="162">
        <f>(X474*P474)+X474</f>
        <v>0</v>
      </c>
      <c r="Z474" s="147">
        <f>(Y474*P474)+Y474</f>
        <v>0</v>
      </c>
    </row>
    <row r="475" spans="1:26" ht="12.75">
      <c r="A475" s="81" t="s">
        <v>1083</v>
      </c>
      <c r="B475" s="30"/>
      <c r="C475" s="78"/>
      <c r="D475" s="111" t="e">
        <f t="shared" si="266"/>
        <v>#DIV/0!</v>
      </c>
      <c r="E475" s="30">
        <f t="shared" si="307"/>
        <v>0</v>
      </c>
      <c r="F475" s="104"/>
      <c r="G475" s="270" t="e">
        <f t="shared" si="297"/>
        <v>#DIV/0!</v>
      </c>
      <c r="H475" s="267">
        <v>100000</v>
      </c>
      <c r="I475" s="111" t="e">
        <f t="shared" si="310"/>
        <v>#DIV/0!</v>
      </c>
      <c r="J475" s="30">
        <f t="shared" si="311"/>
        <v>18928</v>
      </c>
      <c r="K475" s="157">
        <v>100000</v>
      </c>
      <c r="L475" s="142">
        <f t="shared" si="312"/>
        <v>4.283178360101437</v>
      </c>
      <c r="M475" s="143">
        <f t="shared" si="313"/>
        <v>81072</v>
      </c>
      <c r="N475" s="179">
        <v>100000</v>
      </c>
      <c r="O475" s="146" t="e">
        <f>(D475+I475+L475)/3</f>
        <v>#DIV/0!</v>
      </c>
      <c r="P475" s="146">
        <v>0.03</v>
      </c>
      <c r="R475" s="147">
        <v>0</v>
      </c>
      <c r="S475" s="147">
        <f>(R475*P475)+R475</f>
        <v>0</v>
      </c>
      <c r="T475" s="162">
        <v>0</v>
      </c>
      <c r="U475" s="162">
        <f>(T475*P475)+T475</f>
        <v>0</v>
      </c>
      <c r="V475" s="147">
        <f>(U475*P475)+U475</f>
        <v>0</v>
      </c>
      <c r="W475" s="147">
        <f>(V475*P475)+V475</f>
        <v>0</v>
      </c>
      <c r="X475" s="147">
        <f>(W475*P475)+W475</f>
        <v>0</v>
      </c>
      <c r="Y475" s="162">
        <f>(X475*P475)+X475</f>
        <v>0</v>
      </c>
      <c r="Z475" s="147">
        <f>(Y475*P475)+Y475</f>
        <v>0</v>
      </c>
    </row>
    <row r="476" spans="1:26" ht="12.75">
      <c r="A476" s="81" t="s">
        <v>1084</v>
      </c>
      <c r="B476" s="30"/>
      <c r="C476" s="78"/>
      <c r="D476" s="111" t="e">
        <f t="shared" si="266"/>
        <v>#DIV/0!</v>
      </c>
      <c r="E476" s="30">
        <f t="shared" si="307"/>
        <v>0</v>
      </c>
      <c r="F476" s="104"/>
      <c r="G476" s="270" t="e">
        <f t="shared" si="297"/>
        <v>#DIV/0!</v>
      </c>
      <c r="H476" s="267">
        <v>50000</v>
      </c>
      <c r="I476" s="111" t="e">
        <f t="shared" si="310"/>
        <v>#DIV/0!</v>
      </c>
      <c r="J476" s="30">
        <f t="shared" si="311"/>
        <v>9852</v>
      </c>
      <c r="K476" s="157">
        <v>50001</v>
      </c>
      <c r="L476" s="142">
        <f t="shared" si="312"/>
        <v>5.766849370686155</v>
      </c>
      <c r="M476" s="143">
        <f t="shared" si="313"/>
        <v>56815</v>
      </c>
      <c r="N476" s="179">
        <v>66667</v>
      </c>
      <c r="O476" s="146" t="e">
        <f t="shared" si="267"/>
        <v>#DIV/0!</v>
      </c>
      <c r="P476" s="146">
        <v>0.03</v>
      </c>
      <c r="R476" s="147">
        <v>0</v>
      </c>
      <c r="S476" s="147">
        <f aca="true" t="shared" si="316" ref="S476:S498">(R476*P476)+R476</f>
        <v>0</v>
      </c>
      <c r="T476" s="162">
        <v>0</v>
      </c>
      <c r="U476" s="162">
        <f aca="true" t="shared" si="317" ref="U476:U498">(T476*P476)+T476</f>
        <v>0</v>
      </c>
      <c r="V476" s="147">
        <f aca="true" t="shared" si="318" ref="V476:V498">(U476*P476)+U476</f>
        <v>0</v>
      </c>
      <c r="W476" s="147">
        <f aca="true" t="shared" si="319" ref="W476:W498">(V476*P476)+V476</f>
        <v>0</v>
      </c>
      <c r="X476" s="147">
        <f aca="true" t="shared" si="320" ref="X476:X498">(W476*P476)+W476</f>
        <v>0</v>
      </c>
      <c r="Y476" s="162">
        <f aca="true" t="shared" si="321" ref="Y476:Y498">(X476*P476)+X476</f>
        <v>0</v>
      </c>
      <c r="Z476" s="147">
        <f aca="true" t="shared" si="322" ref="Z476:Z498">(Y476*P476)+Y476</f>
        <v>0</v>
      </c>
    </row>
    <row r="477" spans="1:26" ht="12.75">
      <c r="A477" s="81" t="s">
        <v>1085</v>
      </c>
      <c r="B477" s="30"/>
      <c r="C477" s="78"/>
      <c r="D477" s="111" t="e">
        <f t="shared" si="266"/>
        <v>#DIV/0!</v>
      </c>
      <c r="E477" s="30">
        <f t="shared" si="307"/>
        <v>0</v>
      </c>
      <c r="F477" s="104"/>
      <c r="G477" s="270" t="e">
        <f t="shared" si="297"/>
        <v>#DIV/0!</v>
      </c>
      <c r="H477" s="267">
        <v>62500</v>
      </c>
      <c r="I477" s="111" t="e">
        <f t="shared" si="310"/>
        <v>#DIV/0!</v>
      </c>
      <c r="J477" s="30">
        <f t="shared" si="311"/>
        <v>9852</v>
      </c>
      <c r="K477" s="157">
        <v>62500</v>
      </c>
      <c r="L477" s="142">
        <f t="shared" si="312"/>
        <v>7.458485586682906</v>
      </c>
      <c r="M477" s="143">
        <f t="shared" si="313"/>
        <v>73481</v>
      </c>
      <c r="N477" s="179">
        <v>83333</v>
      </c>
      <c r="O477" s="146" t="e">
        <f t="shared" si="267"/>
        <v>#DIV/0!</v>
      </c>
      <c r="P477" s="146">
        <v>0.03</v>
      </c>
      <c r="R477" s="147">
        <v>0</v>
      </c>
      <c r="S477" s="147">
        <f t="shared" si="316"/>
        <v>0</v>
      </c>
      <c r="T477" s="162">
        <v>0</v>
      </c>
      <c r="U477" s="162">
        <f t="shared" si="317"/>
        <v>0</v>
      </c>
      <c r="V477" s="147">
        <f t="shared" si="318"/>
        <v>0</v>
      </c>
      <c r="W477" s="147">
        <f t="shared" si="319"/>
        <v>0</v>
      </c>
      <c r="X477" s="147">
        <f t="shared" si="320"/>
        <v>0</v>
      </c>
      <c r="Y477" s="162">
        <f t="shared" si="321"/>
        <v>0</v>
      </c>
      <c r="Z477" s="147">
        <f t="shared" si="322"/>
        <v>0</v>
      </c>
    </row>
    <row r="478" spans="1:26" ht="12.75">
      <c r="A478" s="86" t="s">
        <v>1086</v>
      </c>
      <c r="B478" s="84">
        <f>SUM(B479:B482)+B483</f>
        <v>57534</v>
      </c>
      <c r="C478" s="78"/>
      <c r="D478" s="111">
        <f t="shared" si="266"/>
        <v>1.780008342892898</v>
      </c>
      <c r="E478" s="30">
        <f t="shared" si="307"/>
        <v>102411</v>
      </c>
      <c r="F478" s="84">
        <f>SUM(F479:F482)+F483</f>
        <v>159945</v>
      </c>
      <c r="G478" s="270">
        <f t="shared" si="297"/>
        <v>-0.06182125105505021</v>
      </c>
      <c r="H478" s="271">
        <v>150057</v>
      </c>
      <c r="I478" s="111">
        <f t="shared" si="310"/>
        <v>-0.9573728469161275</v>
      </c>
      <c r="J478" s="30">
        <f t="shared" si="311"/>
        <v>-153127</v>
      </c>
      <c r="K478" s="84">
        <f>SUM(K479:K482)+K483</f>
        <v>152524</v>
      </c>
      <c r="L478" s="142">
        <f t="shared" si="312"/>
        <v>45.17365796421238</v>
      </c>
      <c r="M478" s="143">
        <f t="shared" si="313"/>
        <v>307994</v>
      </c>
      <c r="N478" s="167">
        <f>SUM(N479:N482)+N483</f>
        <v>314812</v>
      </c>
      <c r="O478" s="146">
        <f t="shared" si="267"/>
        <v>15.33209782006305</v>
      </c>
      <c r="P478" s="146"/>
      <c r="R478" s="167">
        <f aca="true" t="shared" si="323" ref="R478:Z478">SUM(R479:R482)+R483</f>
        <v>120000</v>
      </c>
      <c r="S478" s="167">
        <f t="shared" si="323"/>
        <v>9000</v>
      </c>
      <c r="T478" s="167">
        <v>0</v>
      </c>
      <c r="U478" s="167">
        <f t="shared" si="323"/>
        <v>0</v>
      </c>
      <c r="V478" s="167">
        <f t="shared" si="323"/>
        <v>0</v>
      </c>
      <c r="W478" s="167">
        <f t="shared" si="323"/>
        <v>0</v>
      </c>
      <c r="X478" s="167">
        <f t="shared" si="323"/>
        <v>0</v>
      </c>
      <c r="Y478" s="167">
        <f t="shared" si="323"/>
        <v>0</v>
      </c>
      <c r="Z478" s="167">
        <f t="shared" si="323"/>
        <v>0</v>
      </c>
    </row>
    <row r="479" spans="1:26" ht="12.75">
      <c r="A479" s="81" t="s">
        <v>1082</v>
      </c>
      <c r="B479" s="30">
        <v>57534</v>
      </c>
      <c r="C479" s="78"/>
      <c r="D479" s="111">
        <f t="shared" si="266"/>
        <v>0.5286960753641325</v>
      </c>
      <c r="E479" s="30">
        <f t="shared" si="307"/>
        <v>30418</v>
      </c>
      <c r="F479" s="104">
        <v>87952</v>
      </c>
      <c r="G479" s="270">
        <f t="shared" si="297"/>
        <v>-0.2973781153356376</v>
      </c>
      <c r="H479" s="267">
        <v>61797</v>
      </c>
      <c r="I479" s="111">
        <f t="shared" si="310"/>
        <v>-0.9224804438784792</v>
      </c>
      <c r="J479" s="30">
        <f t="shared" si="311"/>
        <v>-81134</v>
      </c>
      <c r="K479" s="157">
        <v>64263</v>
      </c>
      <c r="L479" s="142">
        <f t="shared" si="312"/>
        <v>3.949545321208565</v>
      </c>
      <c r="M479" s="143">
        <f t="shared" si="313"/>
        <v>26928</v>
      </c>
      <c r="N479" s="179">
        <v>33746</v>
      </c>
      <c r="O479" s="146">
        <f t="shared" si="267"/>
        <v>1.1852536508980729</v>
      </c>
      <c r="P479" s="146">
        <v>0.03</v>
      </c>
      <c r="R479" s="147">
        <v>120000</v>
      </c>
      <c r="S479" s="147">
        <v>9000</v>
      </c>
      <c r="T479" s="162">
        <v>0</v>
      </c>
      <c r="U479" s="162">
        <f t="shared" si="317"/>
        <v>0</v>
      </c>
      <c r="V479" s="147">
        <f t="shared" si="318"/>
        <v>0</v>
      </c>
      <c r="W479" s="147">
        <f t="shared" si="319"/>
        <v>0</v>
      </c>
      <c r="X479" s="147">
        <f t="shared" si="320"/>
        <v>0</v>
      </c>
      <c r="Y479" s="162">
        <f t="shared" si="321"/>
        <v>0</v>
      </c>
      <c r="Z479" s="147">
        <f t="shared" si="322"/>
        <v>0</v>
      </c>
    </row>
    <row r="480" spans="1:26" ht="12.75">
      <c r="A480" s="81" t="s">
        <v>1083</v>
      </c>
      <c r="B480" s="30"/>
      <c r="C480" s="78"/>
      <c r="D480" s="111" t="e">
        <f t="shared" si="266"/>
        <v>#DIV/0!</v>
      </c>
      <c r="E480" s="30">
        <f t="shared" si="307"/>
        <v>28772</v>
      </c>
      <c r="F480" s="104">
        <v>28772</v>
      </c>
      <c r="G480" s="270">
        <f t="shared" si="297"/>
        <v>0.17718615320450448</v>
      </c>
      <c r="H480" s="267">
        <v>33870</v>
      </c>
      <c r="I480" s="111">
        <f t="shared" si="310"/>
        <v>-0.9215209231196997</v>
      </c>
      <c r="J480" s="30">
        <f t="shared" si="311"/>
        <v>-26514</v>
      </c>
      <c r="K480" s="157">
        <v>33871</v>
      </c>
      <c r="L480" s="142">
        <f t="shared" si="312"/>
        <v>8.255093002657219</v>
      </c>
      <c r="M480" s="143">
        <f t="shared" si="313"/>
        <v>18640</v>
      </c>
      <c r="N480" s="179">
        <v>20898</v>
      </c>
      <c r="O480" s="146" t="e">
        <f t="shared" si="267"/>
        <v>#DIV/0!</v>
      </c>
      <c r="P480" s="146">
        <v>0.03</v>
      </c>
      <c r="R480" s="147">
        <v>0</v>
      </c>
      <c r="S480" s="147">
        <f t="shared" si="316"/>
        <v>0</v>
      </c>
      <c r="T480" s="162">
        <v>0</v>
      </c>
      <c r="U480" s="162">
        <f t="shared" si="317"/>
        <v>0</v>
      </c>
      <c r="V480" s="147">
        <f t="shared" si="318"/>
        <v>0</v>
      </c>
      <c r="W480" s="147">
        <f t="shared" si="319"/>
        <v>0</v>
      </c>
      <c r="X480" s="147">
        <f t="shared" si="320"/>
        <v>0</v>
      </c>
      <c r="Y480" s="162">
        <f t="shared" si="321"/>
        <v>0</v>
      </c>
      <c r="Z480" s="147">
        <f t="shared" si="322"/>
        <v>0</v>
      </c>
    </row>
    <row r="481" spans="1:26" ht="12.75">
      <c r="A481" s="81" t="s">
        <v>1084</v>
      </c>
      <c r="B481" s="30"/>
      <c r="C481" s="78"/>
      <c r="D481" s="111" t="e">
        <f t="shared" si="266"/>
        <v>#DIV/0!</v>
      </c>
      <c r="E481" s="30">
        <f t="shared" si="307"/>
        <v>43221</v>
      </c>
      <c r="F481" s="104">
        <v>43221</v>
      </c>
      <c r="G481" s="270">
        <f t="shared" si="297"/>
        <v>-0.44184539922722754</v>
      </c>
      <c r="H481" s="267">
        <v>24124</v>
      </c>
      <c r="I481" s="111">
        <f t="shared" si="310"/>
        <v>-0.9477568774438352</v>
      </c>
      <c r="J481" s="30">
        <f t="shared" si="311"/>
        <v>-40963</v>
      </c>
      <c r="K481" s="157">
        <v>24124</v>
      </c>
      <c r="L481" s="142">
        <f t="shared" si="312"/>
        <v>6.119131975199291</v>
      </c>
      <c r="M481" s="143">
        <f t="shared" si="313"/>
        <v>13817</v>
      </c>
      <c r="N481" s="179">
        <v>16075</v>
      </c>
      <c r="O481" s="146" t="e">
        <f t="shared" si="267"/>
        <v>#DIV/0!</v>
      </c>
      <c r="P481" s="146">
        <v>0.03</v>
      </c>
      <c r="R481" s="147">
        <v>0</v>
      </c>
      <c r="S481" s="147">
        <f t="shared" si="316"/>
        <v>0</v>
      </c>
      <c r="T481" s="162">
        <v>0</v>
      </c>
      <c r="U481" s="162">
        <f t="shared" si="317"/>
        <v>0</v>
      </c>
      <c r="V481" s="147">
        <f t="shared" si="318"/>
        <v>0</v>
      </c>
      <c r="W481" s="147">
        <f t="shared" si="319"/>
        <v>0</v>
      </c>
      <c r="X481" s="147">
        <f t="shared" si="320"/>
        <v>0</v>
      </c>
      <c r="Y481" s="162">
        <f t="shared" si="321"/>
        <v>0</v>
      </c>
      <c r="Z481" s="147">
        <f t="shared" si="322"/>
        <v>0</v>
      </c>
    </row>
    <row r="482" spans="1:26" ht="12.75">
      <c r="A482" s="81" t="s">
        <v>1085</v>
      </c>
      <c r="B482" s="30"/>
      <c r="C482" s="78"/>
      <c r="D482" s="111" t="e">
        <f t="shared" si="266"/>
        <v>#DIV/0!</v>
      </c>
      <c r="E482" s="30">
        <f t="shared" si="307"/>
        <v>0</v>
      </c>
      <c r="F482" s="104"/>
      <c r="G482" s="270" t="e">
        <f t="shared" si="297"/>
        <v>#DIV/0!</v>
      </c>
      <c r="H482" s="267">
        <v>30266</v>
      </c>
      <c r="I482" s="111" t="e">
        <f t="shared" si="310"/>
        <v>#DIV/0!</v>
      </c>
      <c r="J482" s="30">
        <f t="shared" si="311"/>
        <v>198751</v>
      </c>
      <c r="K482" s="157">
        <v>30266</v>
      </c>
      <c r="L482" s="142">
        <f t="shared" si="312"/>
        <v>-0.8988986218937263</v>
      </c>
      <c r="M482" s="143">
        <f t="shared" si="313"/>
        <v>-178657</v>
      </c>
      <c r="N482" s="179">
        <v>20094</v>
      </c>
      <c r="O482" s="146" t="e">
        <f t="shared" si="267"/>
        <v>#DIV/0!</v>
      </c>
      <c r="P482" s="146">
        <v>0.03</v>
      </c>
      <c r="R482" s="147">
        <v>0</v>
      </c>
      <c r="S482" s="147">
        <f t="shared" si="316"/>
        <v>0</v>
      </c>
      <c r="T482" s="162">
        <v>0</v>
      </c>
      <c r="U482" s="162">
        <f t="shared" si="317"/>
        <v>0</v>
      </c>
      <c r="V482" s="147">
        <f t="shared" si="318"/>
        <v>0</v>
      </c>
      <c r="W482" s="147">
        <f t="shared" si="319"/>
        <v>0</v>
      </c>
      <c r="X482" s="147">
        <f t="shared" si="320"/>
        <v>0</v>
      </c>
      <c r="Y482" s="162">
        <f t="shared" si="321"/>
        <v>0</v>
      </c>
      <c r="Z482" s="147">
        <f t="shared" si="322"/>
        <v>0</v>
      </c>
    </row>
    <row r="483" spans="1:26" ht="12.75">
      <c r="A483" s="148" t="s">
        <v>1105</v>
      </c>
      <c r="B483" s="30"/>
      <c r="C483" s="78"/>
      <c r="D483" s="111"/>
      <c r="E483" s="30"/>
      <c r="F483" s="104"/>
      <c r="G483" s="270" t="e">
        <f t="shared" si="297"/>
        <v>#DIV/0!</v>
      </c>
      <c r="H483" s="79"/>
      <c r="I483" s="111" t="e">
        <f t="shared" si="310"/>
        <v>#DIV/0!</v>
      </c>
      <c r="J483" s="30">
        <f t="shared" si="311"/>
        <v>198751</v>
      </c>
      <c r="L483" s="142">
        <f t="shared" si="312"/>
        <v>0.12703332310277693</v>
      </c>
      <c r="M483" s="143">
        <f t="shared" si="313"/>
        <v>25248</v>
      </c>
      <c r="N483" s="179">
        <v>223999</v>
      </c>
      <c r="O483" s="146"/>
      <c r="P483" s="146">
        <v>0.03</v>
      </c>
      <c r="R483" s="147">
        <v>0</v>
      </c>
      <c r="S483" s="147">
        <f t="shared" si="316"/>
        <v>0</v>
      </c>
      <c r="T483" s="162">
        <v>0</v>
      </c>
      <c r="U483" s="162">
        <f t="shared" si="317"/>
        <v>0</v>
      </c>
      <c r="V483" s="147">
        <f t="shared" si="318"/>
        <v>0</v>
      </c>
      <c r="W483" s="147">
        <f t="shared" si="319"/>
        <v>0</v>
      </c>
      <c r="X483" s="147">
        <f t="shared" si="320"/>
        <v>0</v>
      </c>
      <c r="Y483" s="162">
        <f t="shared" si="321"/>
        <v>0</v>
      </c>
      <c r="Z483" s="147">
        <f t="shared" si="322"/>
        <v>0</v>
      </c>
    </row>
    <row r="484" spans="1:26" ht="12.75">
      <c r="A484" s="86" t="s">
        <v>1087</v>
      </c>
      <c r="B484" s="30"/>
      <c r="C484" s="78"/>
      <c r="D484" s="111" t="e">
        <f t="shared" si="266"/>
        <v>#DIV/0!</v>
      </c>
      <c r="E484" s="30">
        <f t="shared" si="307"/>
        <v>0</v>
      </c>
      <c r="F484" s="104"/>
      <c r="G484" s="270" t="e">
        <f t="shared" si="297"/>
        <v>#DIV/0!</v>
      </c>
      <c r="H484" s="267">
        <v>23895</v>
      </c>
      <c r="I484" s="111" t="e">
        <f t="shared" si="310"/>
        <v>#DIV/0!</v>
      </c>
      <c r="J484" s="30">
        <f t="shared" si="311"/>
        <v>198751</v>
      </c>
      <c r="K484" s="152">
        <f>K485</f>
        <v>23895</v>
      </c>
      <c r="L484" s="142">
        <f t="shared" si="312"/>
        <v>-1</v>
      </c>
      <c r="M484" s="143">
        <f t="shared" si="313"/>
        <v>-198751</v>
      </c>
      <c r="N484" s="173">
        <f>N485</f>
        <v>0</v>
      </c>
      <c r="O484" s="146" t="e">
        <f t="shared" si="267"/>
        <v>#DIV/0!</v>
      </c>
      <c r="P484" s="146"/>
      <c r="R484" s="173">
        <f aca="true" t="shared" si="324" ref="R484:Z484">R485</f>
        <v>0</v>
      </c>
      <c r="S484" s="173">
        <f t="shared" si="324"/>
        <v>0</v>
      </c>
      <c r="T484" s="173">
        <f t="shared" si="324"/>
        <v>0</v>
      </c>
      <c r="U484" s="173">
        <f t="shared" si="324"/>
        <v>0</v>
      </c>
      <c r="V484" s="173">
        <f t="shared" si="324"/>
        <v>0</v>
      </c>
      <c r="W484" s="173">
        <f t="shared" si="324"/>
        <v>0</v>
      </c>
      <c r="X484" s="173">
        <f t="shared" si="324"/>
        <v>0</v>
      </c>
      <c r="Y484" s="173">
        <f t="shared" si="324"/>
        <v>0</v>
      </c>
      <c r="Z484" s="173">
        <f t="shared" si="324"/>
        <v>0</v>
      </c>
    </row>
    <row r="485" spans="1:26" ht="12.75">
      <c r="A485" s="86" t="s">
        <v>1088</v>
      </c>
      <c r="B485" s="30"/>
      <c r="C485" s="78"/>
      <c r="D485" s="111" t="e">
        <f aca="true" t="shared" si="325" ref="D485:D498">F485/B485-1</f>
        <v>#DIV/0!</v>
      </c>
      <c r="E485" s="30">
        <f t="shared" si="307"/>
        <v>0</v>
      </c>
      <c r="F485" s="104"/>
      <c r="G485" s="270" t="e">
        <f t="shared" si="297"/>
        <v>#DIV/0!</v>
      </c>
      <c r="H485" s="267">
        <v>23895</v>
      </c>
      <c r="I485" s="111" t="e">
        <f t="shared" si="310"/>
        <v>#DIV/0!</v>
      </c>
      <c r="J485" s="30">
        <f t="shared" si="311"/>
        <v>198751</v>
      </c>
      <c r="K485" s="84">
        <f>SUM(K486)</f>
        <v>23895</v>
      </c>
      <c r="L485" s="142">
        <f t="shared" si="312"/>
        <v>-1</v>
      </c>
      <c r="M485" s="143">
        <f t="shared" si="313"/>
        <v>-198751</v>
      </c>
      <c r="N485" s="167">
        <f>SUM(N486)</f>
        <v>0</v>
      </c>
      <c r="O485" s="146" t="e">
        <f aca="true" t="shared" si="326" ref="O485:O498">(D485+I485+L485)/3</f>
        <v>#DIV/0!</v>
      </c>
      <c r="P485" s="146"/>
      <c r="R485" s="167">
        <f aca="true" t="shared" si="327" ref="R485:Z485">SUM(R486)</f>
        <v>0</v>
      </c>
      <c r="S485" s="167">
        <f t="shared" si="327"/>
        <v>0</v>
      </c>
      <c r="T485" s="167">
        <f t="shared" si="327"/>
        <v>0</v>
      </c>
      <c r="U485" s="167">
        <f t="shared" si="327"/>
        <v>0</v>
      </c>
      <c r="V485" s="167">
        <f t="shared" si="327"/>
        <v>0</v>
      </c>
      <c r="W485" s="167">
        <f t="shared" si="327"/>
        <v>0</v>
      </c>
      <c r="X485" s="167">
        <f t="shared" si="327"/>
        <v>0</v>
      </c>
      <c r="Y485" s="167">
        <f t="shared" si="327"/>
        <v>0</v>
      </c>
      <c r="Z485" s="167">
        <f t="shared" si="327"/>
        <v>0</v>
      </c>
    </row>
    <row r="486" spans="1:26" ht="12.75">
      <c r="A486" s="93" t="s">
        <v>1089</v>
      </c>
      <c r="B486" s="30"/>
      <c r="C486" s="78"/>
      <c r="D486" s="111" t="e">
        <f t="shared" si="325"/>
        <v>#DIV/0!</v>
      </c>
      <c r="E486" s="30">
        <f t="shared" si="307"/>
        <v>0</v>
      </c>
      <c r="F486" s="104"/>
      <c r="G486" s="270" t="e">
        <f t="shared" si="297"/>
        <v>#DIV/0!</v>
      </c>
      <c r="H486" s="267">
        <v>23895</v>
      </c>
      <c r="I486" s="111" t="e">
        <f t="shared" si="310"/>
        <v>#DIV/0!</v>
      </c>
      <c r="J486" s="30">
        <f t="shared" si="311"/>
        <v>18008899</v>
      </c>
      <c r="K486" s="157">
        <v>23895</v>
      </c>
      <c r="L486" s="142">
        <f t="shared" si="312"/>
        <v>-1</v>
      </c>
      <c r="M486" s="143">
        <f t="shared" si="313"/>
        <v>-18008899</v>
      </c>
      <c r="N486" s="147">
        <v>0</v>
      </c>
      <c r="O486" s="146" t="e">
        <f t="shared" si="326"/>
        <v>#DIV/0!</v>
      </c>
      <c r="P486" s="146"/>
      <c r="R486" s="147">
        <f>(N486*P486)+N486</f>
        <v>0</v>
      </c>
      <c r="S486" s="147">
        <f t="shared" si="316"/>
        <v>0</v>
      </c>
      <c r="T486" s="147">
        <f>(S486*P486)+S486</f>
        <v>0</v>
      </c>
      <c r="U486" s="147">
        <f t="shared" si="317"/>
        <v>0</v>
      </c>
      <c r="V486" s="147">
        <f t="shared" si="318"/>
        <v>0</v>
      </c>
      <c r="W486" s="147">
        <f t="shared" si="319"/>
        <v>0</v>
      </c>
      <c r="X486" s="147">
        <f t="shared" si="320"/>
        <v>0</v>
      </c>
      <c r="Y486" s="147">
        <f t="shared" si="321"/>
        <v>0</v>
      </c>
      <c r="Z486" s="147">
        <f t="shared" si="322"/>
        <v>0</v>
      </c>
    </row>
    <row r="487" spans="1:26" ht="12.75">
      <c r="A487" s="86" t="s">
        <v>1090</v>
      </c>
      <c r="B487" s="30"/>
      <c r="C487" s="78"/>
      <c r="D487" s="111" t="e">
        <f t="shared" si="325"/>
        <v>#DIV/0!</v>
      </c>
      <c r="E487" s="30">
        <f t="shared" si="307"/>
        <v>0</v>
      </c>
      <c r="F487" s="104"/>
      <c r="G487" s="270" t="e">
        <f t="shared" si="297"/>
        <v>#DIV/0!</v>
      </c>
      <c r="H487" s="267">
        <v>16643</v>
      </c>
      <c r="I487" s="111" t="e">
        <f>#REF!/F487-1</f>
        <v>#REF!</v>
      </c>
      <c r="J487" s="30" t="e">
        <f>#REF!-F487</f>
        <v>#REF!</v>
      </c>
      <c r="K487" s="84">
        <f>SUM(K488+K490+K492)</f>
        <v>18928</v>
      </c>
      <c r="L487" s="142" t="e">
        <f>N487/#REF!-1</f>
        <v>#REF!</v>
      </c>
      <c r="M487" s="143" t="e">
        <f>N487-#REF!</f>
        <v>#REF!</v>
      </c>
      <c r="N487" s="167">
        <f>SUM(N488+N490+N492)</f>
        <v>0</v>
      </c>
      <c r="O487" s="146" t="e">
        <f t="shared" si="326"/>
        <v>#DIV/0!</v>
      </c>
      <c r="P487" s="146"/>
      <c r="R487" s="167">
        <f aca="true" t="shared" si="328" ref="R487:Z487">SUM(R488+R490+R492)</f>
        <v>0</v>
      </c>
      <c r="S487" s="167">
        <f t="shared" si="328"/>
        <v>0</v>
      </c>
      <c r="T487" s="167">
        <f t="shared" si="328"/>
        <v>0</v>
      </c>
      <c r="U487" s="167">
        <f t="shared" si="328"/>
        <v>0</v>
      </c>
      <c r="V487" s="167">
        <f t="shared" si="328"/>
        <v>0</v>
      </c>
      <c r="W487" s="167">
        <f t="shared" si="328"/>
        <v>0</v>
      </c>
      <c r="X487" s="167">
        <f t="shared" si="328"/>
        <v>0</v>
      </c>
      <c r="Y487" s="167">
        <f t="shared" si="328"/>
        <v>0</v>
      </c>
      <c r="Z487" s="167">
        <f t="shared" si="328"/>
        <v>0</v>
      </c>
    </row>
    <row r="488" spans="1:26" ht="12.75">
      <c r="A488" s="86" t="s">
        <v>1091</v>
      </c>
      <c r="B488" s="30"/>
      <c r="C488" s="78"/>
      <c r="D488" s="111" t="e">
        <f t="shared" si="325"/>
        <v>#DIV/0!</v>
      </c>
      <c r="E488" s="30">
        <f t="shared" si="307"/>
        <v>0</v>
      </c>
      <c r="F488" s="104"/>
      <c r="G488" s="270" t="e">
        <f t="shared" si="297"/>
        <v>#DIV/0!</v>
      </c>
      <c r="H488" s="267">
        <v>9852</v>
      </c>
      <c r="I488" s="111" t="e">
        <f aca="true" t="shared" si="329" ref="I488:I498">K499/F488-1</f>
        <v>#DIV/0!</v>
      </c>
      <c r="J488" s="30">
        <f aca="true" t="shared" si="330" ref="J488:J498">K499-F488</f>
        <v>0</v>
      </c>
      <c r="K488" s="84">
        <f>SUM(K489)</f>
        <v>9852</v>
      </c>
      <c r="L488" s="142" t="e">
        <f aca="true" t="shared" si="331" ref="L488:L498">N488/K499-1</f>
        <v>#DIV/0!</v>
      </c>
      <c r="M488" s="143">
        <f aca="true" t="shared" si="332" ref="M488:M498">N488-K499</f>
        <v>0</v>
      </c>
      <c r="N488" s="167">
        <f>SUM(N489)</f>
        <v>0</v>
      </c>
      <c r="O488" s="146" t="e">
        <f t="shared" si="326"/>
        <v>#DIV/0!</v>
      </c>
      <c r="P488" s="146"/>
      <c r="R488" s="167">
        <f aca="true" t="shared" si="333" ref="R488:Z488">SUM(R489)</f>
        <v>0</v>
      </c>
      <c r="S488" s="167">
        <f t="shared" si="333"/>
        <v>0</v>
      </c>
      <c r="T488" s="167">
        <f t="shared" si="333"/>
        <v>0</v>
      </c>
      <c r="U488" s="167">
        <f t="shared" si="333"/>
        <v>0</v>
      </c>
      <c r="V488" s="167">
        <f t="shared" si="333"/>
        <v>0</v>
      </c>
      <c r="W488" s="167">
        <f t="shared" si="333"/>
        <v>0</v>
      </c>
      <c r="X488" s="167">
        <f t="shared" si="333"/>
        <v>0</v>
      </c>
      <c r="Y488" s="167">
        <f t="shared" si="333"/>
        <v>0</v>
      </c>
      <c r="Z488" s="167">
        <f t="shared" si="333"/>
        <v>0</v>
      </c>
    </row>
    <row r="489" spans="1:26" ht="12.75">
      <c r="A489" s="93" t="s">
        <v>1092</v>
      </c>
      <c r="B489" s="30"/>
      <c r="C489" s="78"/>
      <c r="D489" s="111" t="e">
        <f t="shared" si="325"/>
        <v>#DIV/0!</v>
      </c>
      <c r="E489" s="30">
        <f t="shared" si="307"/>
        <v>0</v>
      </c>
      <c r="F489" s="104"/>
      <c r="G489" s="270" t="e">
        <f t="shared" si="297"/>
        <v>#DIV/0!</v>
      </c>
      <c r="H489" s="267">
        <v>9852</v>
      </c>
      <c r="I489" s="111" t="e">
        <f t="shared" si="329"/>
        <v>#DIV/0!</v>
      </c>
      <c r="J489" s="30">
        <f t="shared" si="330"/>
        <v>0</v>
      </c>
      <c r="K489" s="157">
        <v>9852</v>
      </c>
      <c r="L489" s="142" t="e">
        <f t="shared" si="331"/>
        <v>#DIV/0!</v>
      </c>
      <c r="M489" s="143">
        <f t="shared" si="332"/>
        <v>0</v>
      </c>
      <c r="N489" s="147">
        <v>0</v>
      </c>
      <c r="O489" s="146" t="e">
        <f t="shared" si="326"/>
        <v>#DIV/0!</v>
      </c>
      <c r="P489" s="146"/>
      <c r="R489" s="147">
        <f>(N489*P489)+N489</f>
        <v>0</v>
      </c>
      <c r="S489" s="147">
        <f t="shared" si="316"/>
        <v>0</v>
      </c>
      <c r="T489" s="147">
        <f>(S489*P489)+S489</f>
        <v>0</v>
      </c>
      <c r="U489" s="147">
        <f t="shared" si="317"/>
        <v>0</v>
      </c>
      <c r="V489" s="147">
        <f t="shared" si="318"/>
        <v>0</v>
      </c>
      <c r="W489" s="147">
        <f t="shared" si="319"/>
        <v>0</v>
      </c>
      <c r="X489" s="147">
        <f t="shared" si="320"/>
        <v>0</v>
      </c>
      <c r="Y489" s="147">
        <f t="shared" si="321"/>
        <v>0</v>
      </c>
      <c r="Z489" s="147">
        <f t="shared" si="322"/>
        <v>0</v>
      </c>
    </row>
    <row r="490" spans="1:26" ht="12.75">
      <c r="A490" s="92" t="s">
        <v>1093</v>
      </c>
      <c r="B490" s="30"/>
      <c r="C490" s="78"/>
      <c r="D490" s="111" t="e">
        <f t="shared" si="325"/>
        <v>#DIV/0!</v>
      </c>
      <c r="E490" s="30">
        <f t="shared" si="307"/>
        <v>0</v>
      </c>
      <c r="F490" s="104"/>
      <c r="G490" s="270" t="e">
        <f t="shared" si="297"/>
        <v>#DIV/0!</v>
      </c>
      <c r="H490" s="267">
        <v>6791</v>
      </c>
      <c r="I490" s="111" t="e">
        <f t="shared" si="329"/>
        <v>#DIV/0!</v>
      </c>
      <c r="J490" s="30">
        <f t="shared" si="330"/>
        <v>0</v>
      </c>
      <c r="K490" s="84">
        <f>SUM(K491)</f>
        <v>6818</v>
      </c>
      <c r="L490" s="142" t="e">
        <f t="shared" si="331"/>
        <v>#DIV/0!</v>
      </c>
      <c r="M490" s="143">
        <f t="shared" si="332"/>
        <v>0</v>
      </c>
      <c r="N490" s="167">
        <f>SUM(N491)</f>
        <v>0</v>
      </c>
      <c r="O490" s="146" t="e">
        <f t="shared" si="326"/>
        <v>#DIV/0!</v>
      </c>
      <c r="P490" s="146"/>
      <c r="R490" s="167">
        <f aca="true" t="shared" si="334" ref="R490:Z490">SUM(R491)</f>
        <v>0</v>
      </c>
      <c r="S490" s="167">
        <f t="shared" si="334"/>
        <v>0</v>
      </c>
      <c r="T490" s="167">
        <f t="shared" si="334"/>
        <v>0</v>
      </c>
      <c r="U490" s="167">
        <f t="shared" si="334"/>
        <v>0</v>
      </c>
      <c r="V490" s="167">
        <f t="shared" si="334"/>
        <v>0</v>
      </c>
      <c r="W490" s="167">
        <f t="shared" si="334"/>
        <v>0</v>
      </c>
      <c r="X490" s="167">
        <f t="shared" si="334"/>
        <v>0</v>
      </c>
      <c r="Y490" s="167">
        <f t="shared" si="334"/>
        <v>0</v>
      </c>
      <c r="Z490" s="167">
        <f t="shared" si="334"/>
        <v>0</v>
      </c>
    </row>
    <row r="491" spans="1:26" ht="12.75">
      <c r="A491" s="93" t="s">
        <v>1094</v>
      </c>
      <c r="B491" s="30"/>
      <c r="C491" s="78"/>
      <c r="D491" s="111" t="e">
        <f t="shared" si="325"/>
        <v>#DIV/0!</v>
      </c>
      <c r="E491" s="30">
        <f t="shared" si="307"/>
        <v>0</v>
      </c>
      <c r="F491" s="104"/>
      <c r="G491" s="270" t="e">
        <f t="shared" si="297"/>
        <v>#DIV/0!</v>
      </c>
      <c r="H491" s="267">
        <v>6791</v>
      </c>
      <c r="I491" s="111" t="e">
        <f t="shared" si="329"/>
        <v>#DIV/0!</v>
      </c>
      <c r="J491" s="30">
        <f t="shared" si="330"/>
        <v>0</v>
      </c>
      <c r="K491" s="157">
        <v>6818</v>
      </c>
      <c r="L491" s="142" t="e">
        <f t="shared" si="331"/>
        <v>#DIV/0!</v>
      </c>
      <c r="M491" s="143">
        <f t="shared" si="332"/>
        <v>0</v>
      </c>
      <c r="N491" s="147">
        <v>0</v>
      </c>
      <c r="O491" s="146" t="e">
        <f t="shared" si="326"/>
        <v>#DIV/0!</v>
      </c>
      <c r="P491" s="146"/>
      <c r="R491" s="147">
        <f>(N491*P491)+N491</f>
        <v>0</v>
      </c>
      <c r="S491" s="147">
        <f t="shared" si="316"/>
        <v>0</v>
      </c>
      <c r="T491" s="147">
        <f>(S491*P491)+S491</f>
        <v>0</v>
      </c>
      <c r="U491" s="147">
        <f t="shared" si="317"/>
        <v>0</v>
      </c>
      <c r="V491" s="147">
        <f t="shared" si="318"/>
        <v>0</v>
      </c>
      <c r="W491" s="147">
        <f t="shared" si="319"/>
        <v>0</v>
      </c>
      <c r="X491" s="147">
        <f t="shared" si="320"/>
        <v>0</v>
      </c>
      <c r="Y491" s="147">
        <f t="shared" si="321"/>
        <v>0</v>
      </c>
      <c r="Z491" s="147">
        <f t="shared" si="322"/>
        <v>0</v>
      </c>
    </row>
    <row r="492" spans="1:26" ht="12.75">
      <c r="A492" s="86" t="s">
        <v>1095</v>
      </c>
      <c r="B492" s="30"/>
      <c r="C492" s="78"/>
      <c r="D492" s="111" t="e">
        <f t="shared" si="325"/>
        <v>#DIV/0!</v>
      </c>
      <c r="E492" s="30">
        <f t="shared" si="307"/>
        <v>0</v>
      </c>
      <c r="F492" s="104"/>
      <c r="G492" s="270" t="e">
        <f t="shared" si="297"/>
        <v>#DIV/0!</v>
      </c>
      <c r="H492" s="79"/>
      <c r="I492" s="111" t="e">
        <f t="shared" si="329"/>
        <v>#DIV/0!</v>
      </c>
      <c r="J492" s="30">
        <f t="shared" si="330"/>
        <v>0</v>
      </c>
      <c r="K492" s="145">
        <f>K493</f>
        <v>2258</v>
      </c>
      <c r="L492" s="142" t="e">
        <f t="shared" si="331"/>
        <v>#DIV/0!</v>
      </c>
      <c r="M492" s="143">
        <f t="shared" si="332"/>
        <v>0</v>
      </c>
      <c r="N492" s="171">
        <f>N493</f>
        <v>0</v>
      </c>
      <c r="O492" s="146" t="e">
        <f t="shared" si="326"/>
        <v>#DIV/0!</v>
      </c>
      <c r="P492" s="146"/>
      <c r="R492" s="171">
        <f aca="true" t="shared" si="335" ref="R492:Z492">R493</f>
        <v>0</v>
      </c>
      <c r="S492" s="171">
        <f t="shared" si="335"/>
        <v>0</v>
      </c>
      <c r="T492" s="171">
        <f t="shared" si="335"/>
        <v>0</v>
      </c>
      <c r="U492" s="171">
        <f t="shared" si="335"/>
        <v>0</v>
      </c>
      <c r="V492" s="171">
        <f t="shared" si="335"/>
        <v>0</v>
      </c>
      <c r="W492" s="171">
        <f t="shared" si="335"/>
        <v>0</v>
      </c>
      <c r="X492" s="171">
        <f t="shared" si="335"/>
        <v>0</v>
      </c>
      <c r="Y492" s="171">
        <f t="shared" si="335"/>
        <v>0</v>
      </c>
      <c r="Z492" s="171">
        <f t="shared" si="335"/>
        <v>0</v>
      </c>
    </row>
    <row r="493" spans="1:26" ht="12.75">
      <c r="A493" s="93" t="s">
        <v>1092</v>
      </c>
      <c r="B493" s="30"/>
      <c r="C493" s="78"/>
      <c r="D493" s="111" t="e">
        <f t="shared" si="325"/>
        <v>#DIV/0!</v>
      </c>
      <c r="E493" s="30">
        <f t="shared" si="307"/>
        <v>0</v>
      </c>
      <c r="F493" s="104"/>
      <c r="G493" s="270" t="e">
        <f t="shared" si="297"/>
        <v>#DIV/0!</v>
      </c>
      <c r="H493" s="79"/>
      <c r="I493" s="111" t="e">
        <f t="shared" si="329"/>
        <v>#DIV/0!</v>
      </c>
      <c r="J493" s="30">
        <f t="shared" si="330"/>
        <v>0</v>
      </c>
      <c r="K493" s="157">
        <v>2258</v>
      </c>
      <c r="L493" s="142" t="e">
        <f t="shared" si="331"/>
        <v>#DIV/0!</v>
      </c>
      <c r="M493" s="143">
        <f t="shared" si="332"/>
        <v>0</v>
      </c>
      <c r="N493" s="147">
        <v>0</v>
      </c>
      <c r="O493" s="146" t="e">
        <f t="shared" si="326"/>
        <v>#DIV/0!</v>
      </c>
      <c r="P493" s="146"/>
      <c r="R493" s="147">
        <f>(N493*P493)+N493</f>
        <v>0</v>
      </c>
      <c r="S493" s="147">
        <f t="shared" si="316"/>
        <v>0</v>
      </c>
      <c r="T493" s="147">
        <f>(S493*P493)+S493</f>
        <v>0</v>
      </c>
      <c r="U493" s="147">
        <f t="shared" si="317"/>
        <v>0</v>
      </c>
      <c r="V493" s="147">
        <f t="shared" si="318"/>
        <v>0</v>
      </c>
      <c r="W493" s="147">
        <f t="shared" si="319"/>
        <v>0</v>
      </c>
      <c r="X493" s="147">
        <f t="shared" si="320"/>
        <v>0</v>
      </c>
      <c r="Y493" s="147">
        <f t="shared" si="321"/>
        <v>0</v>
      </c>
      <c r="Z493" s="147">
        <f t="shared" si="322"/>
        <v>0</v>
      </c>
    </row>
    <row r="494" spans="1:26" ht="12.75">
      <c r="A494" s="86" t="s">
        <v>1096</v>
      </c>
      <c r="B494" s="30"/>
      <c r="C494" s="78"/>
      <c r="D494" s="111" t="e">
        <f t="shared" si="325"/>
        <v>#DIV/0!</v>
      </c>
      <c r="E494" s="30">
        <f t="shared" si="307"/>
        <v>0</v>
      </c>
      <c r="F494" s="104"/>
      <c r="G494" s="270" t="e">
        <f t="shared" si="297"/>
        <v>#DIV/0!</v>
      </c>
      <c r="H494" s="79"/>
      <c r="I494" s="111" t="e">
        <f t="shared" si="329"/>
        <v>#DIV/0!</v>
      </c>
      <c r="J494" s="30">
        <f t="shared" si="330"/>
        <v>0</v>
      </c>
      <c r="K494" s="84">
        <f>K495</f>
        <v>198751</v>
      </c>
      <c r="L494" s="142" t="e">
        <f t="shared" si="331"/>
        <v>#DIV/0!</v>
      </c>
      <c r="M494" s="143">
        <f t="shared" si="332"/>
        <v>198751</v>
      </c>
      <c r="N494" s="167">
        <f aca="true" t="shared" si="336" ref="N494:Z496">N495</f>
        <v>198751</v>
      </c>
      <c r="O494" s="84" t="e">
        <f t="shared" si="336"/>
        <v>#DIV/0!</v>
      </c>
      <c r="P494" s="84">
        <f t="shared" si="336"/>
        <v>0.03</v>
      </c>
      <c r="Q494" s="84">
        <f t="shared" si="336"/>
        <v>0</v>
      </c>
      <c r="R494" s="167">
        <f t="shared" si="336"/>
        <v>0</v>
      </c>
      <c r="S494" s="167">
        <f t="shared" si="336"/>
        <v>0</v>
      </c>
      <c r="T494" s="167">
        <f t="shared" si="336"/>
        <v>0</v>
      </c>
      <c r="U494" s="167">
        <f t="shared" si="336"/>
        <v>0</v>
      </c>
      <c r="V494" s="167">
        <f t="shared" si="336"/>
        <v>0</v>
      </c>
      <c r="W494" s="167">
        <f t="shared" si="336"/>
        <v>0</v>
      </c>
      <c r="X494" s="167">
        <f t="shared" si="336"/>
        <v>0</v>
      </c>
      <c r="Y494" s="167">
        <f t="shared" si="336"/>
        <v>0</v>
      </c>
      <c r="Z494" s="167">
        <f t="shared" si="336"/>
        <v>0</v>
      </c>
    </row>
    <row r="495" spans="1:26" ht="13.5" thickBot="1">
      <c r="A495" s="86" t="s">
        <v>1097</v>
      </c>
      <c r="B495" s="30"/>
      <c r="C495" s="78"/>
      <c r="D495" s="111" t="e">
        <f t="shared" si="325"/>
        <v>#DIV/0!</v>
      </c>
      <c r="E495" s="30">
        <f t="shared" si="307"/>
        <v>0</v>
      </c>
      <c r="F495" s="104"/>
      <c r="G495" s="270" t="e">
        <f t="shared" si="297"/>
        <v>#DIV/0!</v>
      </c>
      <c r="H495" s="79"/>
      <c r="I495" s="111" t="e">
        <f t="shared" si="329"/>
        <v>#DIV/0!</v>
      </c>
      <c r="J495" s="30">
        <f t="shared" si="330"/>
        <v>0</v>
      </c>
      <c r="K495" s="91">
        <f>K496</f>
        <v>198751</v>
      </c>
      <c r="L495" s="142" t="e">
        <f t="shared" si="331"/>
        <v>#DIV/0!</v>
      </c>
      <c r="M495" s="143">
        <f t="shared" si="332"/>
        <v>198751</v>
      </c>
      <c r="N495" s="170">
        <f t="shared" si="336"/>
        <v>198751</v>
      </c>
      <c r="O495" s="91" t="e">
        <f t="shared" si="336"/>
        <v>#DIV/0!</v>
      </c>
      <c r="P495" s="91">
        <f t="shared" si="336"/>
        <v>0.03</v>
      </c>
      <c r="Q495" s="91">
        <f t="shared" si="336"/>
        <v>0</v>
      </c>
      <c r="R495" s="170">
        <f t="shared" si="336"/>
        <v>0</v>
      </c>
      <c r="S495" s="170">
        <f t="shared" si="336"/>
        <v>0</v>
      </c>
      <c r="T495" s="170">
        <f t="shared" si="336"/>
        <v>0</v>
      </c>
      <c r="U495" s="170">
        <f t="shared" si="336"/>
        <v>0</v>
      </c>
      <c r="V495" s="170">
        <f t="shared" si="336"/>
        <v>0</v>
      </c>
      <c r="W495" s="170">
        <f t="shared" si="336"/>
        <v>0</v>
      </c>
      <c r="X495" s="170">
        <f t="shared" si="336"/>
        <v>0</v>
      </c>
      <c r="Y495" s="170">
        <f t="shared" si="336"/>
        <v>0</v>
      </c>
      <c r="Z495" s="170">
        <f t="shared" si="336"/>
        <v>0</v>
      </c>
    </row>
    <row r="496" spans="1:26" ht="23.25" thickBot="1">
      <c r="A496" s="94" t="s">
        <v>1098</v>
      </c>
      <c r="B496" s="30"/>
      <c r="C496" s="78"/>
      <c r="D496" s="111" t="e">
        <f t="shared" si="325"/>
        <v>#DIV/0!</v>
      </c>
      <c r="E496" s="30">
        <f t="shared" si="307"/>
        <v>0</v>
      </c>
      <c r="F496" s="104"/>
      <c r="G496" s="270" t="e">
        <f t="shared" si="297"/>
        <v>#DIV/0!</v>
      </c>
      <c r="H496" s="79"/>
      <c r="I496" s="111" t="e">
        <f t="shared" si="329"/>
        <v>#DIV/0!</v>
      </c>
      <c r="J496" s="30">
        <f t="shared" si="330"/>
        <v>0</v>
      </c>
      <c r="K496" s="91">
        <f>K497</f>
        <v>198751</v>
      </c>
      <c r="L496" s="142" t="e">
        <f t="shared" si="331"/>
        <v>#DIV/0!</v>
      </c>
      <c r="M496" s="143">
        <f t="shared" si="332"/>
        <v>198751</v>
      </c>
      <c r="N496" s="170">
        <f t="shared" si="336"/>
        <v>198751</v>
      </c>
      <c r="O496" s="91" t="e">
        <f t="shared" si="336"/>
        <v>#DIV/0!</v>
      </c>
      <c r="P496" s="91">
        <f t="shared" si="336"/>
        <v>0.03</v>
      </c>
      <c r="Q496" s="91">
        <f t="shared" si="336"/>
        <v>0</v>
      </c>
      <c r="R496" s="170">
        <f t="shared" si="336"/>
        <v>0</v>
      </c>
      <c r="S496" s="170">
        <f t="shared" si="336"/>
        <v>0</v>
      </c>
      <c r="T496" s="170">
        <f t="shared" si="336"/>
        <v>0</v>
      </c>
      <c r="U496" s="170">
        <f t="shared" si="336"/>
        <v>0</v>
      </c>
      <c r="V496" s="170">
        <f t="shared" si="336"/>
        <v>0</v>
      </c>
      <c r="W496" s="170">
        <f t="shared" si="336"/>
        <v>0</v>
      </c>
      <c r="X496" s="170">
        <f t="shared" si="336"/>
        <v>0</v>
      </c>
      <c r="Y496" s="170">
        <f t="shared" si="336"/>
        <v>0</v>
      </c>
      <c r="Z496" s="170">
        <f t="shared" si="336"/>
        <v>0</v>
      </c>
    </row>
    <row r="497" spans="1:26" ht="23.25" thickBot="1">
      <c r="A497" s="95" t="s">
        <v>1099</v>
      </c>
      <c r="B497" s="30"/>
      <c r="C497" s="78"/>
      <c r="D497" s="111" t="e">
        <f t="shared" si="325"/>
        <v>#DIV/0!</v>
      </c>
      <c r="E497" s="30">
        <f t="shared" si="307"/>
        <v>0</v>
      </c>
      <c r="F497" s="104"/>
      <c r="G497" s="270" t="e">
        <f t="shared" si="297"/>
        <v>#DIV/0!</v>
      </c>
      <c r="H497" s="79"/>
      <c r="I497" s="111" t="e">
        <f t="shared" si="329"/>
        <v>#DIV/0!</v>
      </c>
      <c r="J497" s="30">
        <f t="shared" si="330"/>
        <v>0</v>
      </c>
      <c r="K497" s="156">
        <v>198751</v>
      </c>
      <c r="L497" s="142" t="e">
        <f t="shared" si="331"/>
        <v>#DIV/0!</v>
      </c>
      <c r="M497" s="143">
        <f t="shared" si="332"/>
        <v>198751</v>
      </c>
      <c r="N497" s="182">
        <v>198751</v>
      </c>
      <c r="O497" s="146" t="e">
        <f t="shared" si="326"/>
        <v>#DIV/0!</v>
      </c>
      <c r="P497" s="146">
        <v>0.03</v>
      </c>
      <c r="R497" s="147">
        <v>0</v>
      </c>
      <c r="S497" s="147">
        <v>0</v>
      </c>
      <c r="T497" s="162">
        <v>0</v>
      </c>
      <c r="U497" s="147">
        <f t="shared" si="317"/>
        <v>0</v>
      </c>
      <c r="V497" s="147">
        <f t="shared" si="318"/>
        <v>0</v>
      </c>
      <c r="W497" s="147">
        <f t="shared" si="319"/>
        <v>0</v>
      </c>
      <c r="X497" s="147">
        <f t="shared" si="320"/>
        <v>0</v>
      </c>
      <c r="Y497" s="162">
        <f t="shared" si="321"/>
        <v>0</v>
      </c>
      <c r="Z497" s="147">
        <f t="shared" si="322"/>
        <v>0</v>
      </c>
    </row>
    <row r="498" spans="1:26" ht="13.5" thickBot="1">
      <c r="A498" s="96"/>
      <c r="B498" s="30"/>
      <c r="C498" s="78"/>
      <c r="D498" s="111" t="e">
        <f t="shared" si="325"/>
        <v>#DIV/0!</v>
      </c>
      <c r="E498" s="30">
        <f t="shared" si="307"/>
        <v>0</v>
      </c>
      <c r="F498" s="104"/>
      <c r="G498" s="270" t="e">
        <f t="shared" si="297"/>
        <v>#DIV/0!</v>
      </c>
      <c r="H498" s="79"/>
      <c r="I498" s="111" t="e">
        <f t="shared" si="329"/>
        <v>#DIV/0!</v>
      </c>
      <c r="J498" s="30">
        <f t="shared" si="330"/>
        <v>0</v>
      </c>
      <c r="K498" s="159">
        <v>18008899</v>
      </c>
      <c r="L498" s="142" t="e">
        <f t="shared" si="331"/>
        <v>#DIV/0!</v>
      </c>
      <c r="M498" s="143">
        <f t="shared" si="332"/>
        <v>0</v>
      </c>
      <c r="N498" s="100"/>
      <c r="O498" s="146" t="e">
        <f t="shared" si="326"/>
        <v>#DIV/0!</v>
      </c>
      <c r="P498" s="146"/>
      <c r="R498" s="100">
        <f>(N498*P498)+N498</f>
        <v>0</v>
      </c>
      <c r="S498" s="100">
        <f t="shared" si="316"/>
        <v>0</v>
      </c>
      <c r="T498" s="100">
        <f>(S498*P498)+S498</f>
        <v>0</v>
      </c>
      <c r="U498" s="100">
        <f t="shared" si="317"/>
        <v>0</v>
      </c>
      <c r="V498" s="147">
        <f t="shared" si="318"/>
        <v>0</v>
      </c>
      <c r="W498" s="100">
        <f t="shared" si="319"/>
        <v>0</v>
      </c>
      <c r="X498" s="100">
        <f t="shared" si="320"/>
        <v>0</v>
      </c>
      <c r="Y498" s="100">
        <f t="shared" si="321"/>
        <v>0</v>
      </c>
      <c r="Z498" s="100">
        <f t="shared" si="322"/>
        <v>0</v>
      </c>
    </row>
    <row r="499" spans="11:18" ht="12.75">
      <c r="K499" s="84"/>
      <c r="R499" s="100"/>
    </row>
    <row r="500" ht="12.75">
      <c r="K500" s="82"/>
    </row>
    <row r="501" ht="13.5" thickBot="1">
      <c r="K501" s="84"/>
    </row>
    <row r="502" spans="1:17" ht="12.75">
      <c r="A502" s="192" t="s">
        <v>1124</v>
      </c>
      <c r="B502" s="193">
        <f>+B503+B549+B676+B699+B707</f>
        <v>18008899</v>
      </c>
      <c r="C502" s="193">
        <f aca="true" t="shared" si="337" ref="C502:Q502">+C503+C549+C676+C699+C707</f>
        <v>21390027</v>
      </c>
      <c r="D502" s="193">
        <f t="shared" si="337"/>
        <v>22907321</v>
      </c>
      <c r="E502" s="193">
        <f t="shared" si="337"/>
        <v>24548314</v>
      </c>
      <c r="F502" s="193">
        <f t="shared" si="337"/>
        <v>26298865</v>
      </c>
      <c r="G502" s="193"/>
      <c r="H502" s="193">
        <f t="shared" si="337"/>
        <v>28252775</v>
      </c>
      <c r="I502" s="193">
        <f t="shared" si="337"/>
        <v>0</v>
      </c>
      <c r="J502" s="193">
        <f t="shared" si="337"/>
        <v>0</v>
      </c>
      <c r="K502" s="193">
        <f t="shared" si="337"/>
        <v>0</v>
      </c>
      <c r="L502" s="193">
        <f t="shared" si="337"/>
        <v>0</v>
      </c>
      <c r="M502" s="193">
        <f t="shared" si="337"/>
        <v>0</v>
      </c>
      <c r="N502" s="193">
        <f t="shared" si="337"/>
        <v>0</v>
      </c>
      <c r="O502" s="193">
        <f t="shared" si="337"/>
        <v>0</v>
      </c>
      <c r="P502" s="193">
        <f t="shared" si="337"/>
        <v>0</v>
      </c>
      <c r="Q502" s="193">
        <f t="shared" si="337"/>
        <v>0</v>
      </c>
    </row>
    <row r="503" spans="1:17" ht="12.75">
      <c r="A503" s="194" t="s">
        <v>1125</v>
      </c>
      <c r="B503" s="195">
        <f>+B504+B519+B523+B546</f>
        <v>4293051</v>
      </c>
      <c r="C503" s="195">
        <f aca="true" t="shared" si="338" ref="C503:Q503">+C504+C519+C523+C546</f>
        <v>4828588</v>
      </c>
      <c r="D503" s="195">
        <f t="shared" si="338"/>
        <v>5263778</v>
      </c>
      <c r="E503" s="195">
        <f t="shared" si="338"/>
        <v>5746248</v>
      </c>
      <c r="F503" s="195">
        <f t="shared" si="338"/>
        <v>6254590</v>
      </c>
      <c r="G503" s="195"/>
      <c r="H503" s="195">
        <f t="shared" si="338"/>
        <v>6877003</v>
      </c>
      <c r="I503" s="195">
        <f t="shared" si="338"/>
        <v>0</v>
      </c>
      <c r="J503" s="195">
        <f t="shared" si="338"/>
        <v>0</v>
      </c>
      <c r="K503" s="195">
        <f t="shared" si="338"/>
        <v>0</v>
      </c>
      <c r="L503" s="195">
        <f t="shared" si="338"/>
        <v>0</v>
      </c>
      <c r="M503" s="195">
        <f t="shared" si="338"/>
        <v>0</v>
      </c>
      <c r="N503" s="195">
        <f t="shared" si="338"/>
        <v>0</v>
      </c>
      <c r="O503" s="195">
        <f t="shared" si="338"/>
        <v>0</v>
      </c>
      <c r="P503" s="195">
        <f t="shared" si="338"/>
        <v>0</v>
      </c>
      <c r="Q503" s="195">
        <f t="shared" si="338"/>
        <v>0</v>
      </c>
    </row>
    <row r="504" spans="1:17" ht="12.75">
      <c r="A504" s="194" t="s">
        <v>1126</v>
      </c>
      <c r="B504" s="196">
        <f>+B505+B506+B512</f>
        <v>1515931</v>
      </c>
      <c r="C504" s="196">
        <f aca="true" t="shared" si="339" ref="C504:Q504">+C505+C506+C512</f>
        <v>1998963</v>
      </c>
      <c r="D504" s="196">
        <f t="shared" si="339"/>
        <v>2150817</v>
      </c>
      <c r="E504" s="196">
        <f t="shared" si="339"/>
        <v>2315113</v>
      </c>
      <c r="F504" s="196">
        <f t="shared" si="339"/>
        <v>2492969</v>
      </c>
      <c r="G504" s="196"/>
      <c r="H504" s="196">
        <f t="shared" si="339"/>
        <v>2685808</v>
      </c>
      <c r="I504" s="196">
        <f t="shared" si="339"/>
        <v>0</v>
      </c>
      <c r="J504" s="196">
        <f t="shared" si="339"/>
        <v>0</v>
      </c>
      <c r="K504" s="196">
        <f t="shared" si="339"/>
        <v>0</v>
      </c>
      <c r="L504" s="196">
        <f t="shared" si="339"/>
        <v>0</v>
      </c>
      <c r="M504" s="196">
        <f t="shared" si="339"/>
        <v>0</v>
      </c>
      <c r="N504" s="196">
        <f t="shared" si="339"/>
        <v>0</v>
      </c>
      <c r="O504" s="196">
        <f t="shared" si="339"/>
        <v>0</v>
      </c>
      <c r="P504" s="196">
        <f t="shared" si="339"/>
        <v>0</v>
      </c>
      <c r="Q504" s="196">
        <f t="shared" si="339"/>
        <v>0</v>
      </c>
    </row>
    <row r="505" spans="1:17" ht="12.75">
      <c r="A505" s="194" t="s">
        <v>1127</v>
      </c>
      <c r="B505" s="197">
        <f>740544+119430+29519</f>
        <v>889493</v>
      </c>
      <c r="C505" s="197">
        <f>1003170+183970+163042</f>
        <v>1350182</v>
      </c>
      <c r="D505" s="197">
        <f>1083424+193169+176085</f>
        <v>1452678</v>
      </c>
      <c r="E505" s="197">
        <f>1170097+202827+190172</f>
        <v>1563096</v>
      </c>
      <c r="F505" s="197">
        <f>1263705+212968+205386</f>
        <v>1682059</v>
      </c>
      <c r="G505" s="197"/>
      <c r="H505" s="197">
        <f>1364802+223817+221817</f>
        <v>1810436</v>
      </c>
      <c r="I505" s="197"/>
      <c r="J505" s="197"/>
      <c r="K505" s="197"/>
      <c r="L505" s="197"/>
      <c r="M505" s="197"/>
      <c r="N505" s="197"/>
      <c r="O505" s="197"/>
      <c r="P505" s="197"/>
      <c r="Q505" s="197"/>
    </row>
    <row r="506" spans="1:17" ht="12.75">
      <c r="A506" s="194" t="s">
        <v>1128</v>
      </c>
      <c r="B506" s="196">
        <f>SUM(B507:B511)</f>
        <v>547402</v>
      </c>
      <c r="C506" s="196">
        <f aca="true" t="shared" si="340" ref="C506:Q506">SUM(C507:C511)</f>
        <v>360381</v>
      </c>
      <c r="D506" s="196">
        <f t="shared" si="340"/>
        <v>378400</v>
      </c>
      <c r="E506" s="196">
        <f t="shared" si="340"/>
        <v>397320</v>
      </c>
      <c r="F506" s="196">
        <f t="shared" si="340"/>
        <v>417187</v>
      </c>
      <c r="G506" s="196"/>
      <c r="H506" s="196">
        <f t="shared" si="340"/>
        <v>438046</v>
      </c>
      <c r="I506" s="196">
        <f t="shared" si="340"/>
        <v>0</v>
      </c>
      <c r="J506" s="196">
        <f t="shared" si="340"/>
        <v>0</v>
      </c>
      <c r="K506" s="196">
        <f t="shared" si="340"/>
        <v>0</v>
      </c>
      <c r="L506" s="196">
        <f t="shared" si="340"/>
        <v>0</v>
      </c>
      <c r="M506" s="196">
        <f t="shared" si="340"/>
        <v>0</v>
      </c>
      <c r="N506" s="196">
        <f t="shared" si="340"/>
        <v>0</v>
      </c>
      <c r="O506" s="196">
        <f t="shared" si="340"/>
        <v>0</v>
      </c>
      <c r="P506" s="196">
        <f t="shared" si="340"/>
        <v>0</v>
      </c>
      <c r="Q506" s="196">
        <f t="shared" si="340"/>
        <v>0</v>
      </c>
    </row>
    <row r="507" spans="1:17" ht="12.75">
      <c r="A507" s="198" t="s">
        <v>1129</v>
      </c>
      <c r="B507" s="197">
        <v>232429</v>
      </c>
      <c r="C507" s="197">
        <v>180000</v>
      </c>
      <c r="D507" s="197">
        <v>189000</v>
      </c>
      <c r="E507" s="197">
        <v>198450</v>
      </c>
      <c r="F507" s="197">
        <v>208373</v>
      </c>
      <c r="G507" s="197"/>
      <c r="H507" s="197">
        <v>218791</v>
      </c>
      <c r="I507" s="197"/>
      <c r="J507" s="197"/>
      <c r="K507" s="197"/>
      <c r="L507" s="197"/>
      <c r="M507" s="197"/>
      <c r="N507" s="197"/>
      <c r="O507" s="197"/>
      <c r="P507" s="197"/>
      <c r="Q507" s="197"/>
    </row>
    <row r="508" spans="1:17" ht="12.75">
      <c r="A508" s="198" t="s">
        <v>1130</v>
      </c>
      <c r="B508" s="197">
        <v>109000</v>
      </c>
      <c r="C508" s="197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</row>
    <row r="509" spans="1:17" ht="12.75">
      <c r="A509" s="198" t="s">
        <v>1131</v>
      </c>
      <c r="B509" s="197">
        <v>0</v>
      </c>
      <c r="C509" s="197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</row>
    <row r="510" spans="1:17" ht="12.75">
      <c r="A510" s="198" t="s">
        <v>1132</v>
      </c>
      <c r="B510" s="197">
        <v>3280</v>
      </c>
      <c r="C510" s="197">
        <v>70381</v>
      </c>
      <c r="D510" s="197">
        <v>73900</v>
      </c>
      <c r="E510" s="197">
        <v>77595</v>
      </c>
      <c r="F510" s="197">
        <v>81475</v>
      </c>
      <c r="G510" s="197"/>
      <c r="H510" s="197">
        <v>85549</v>
      </c>
      <c r="I510" s="197"/>
      <c r="J510" s="197"/>
      <c r="K510" s="197"/>
      <c r="L510" s="197"/>
      <c r="M510" s="197"/>
      <c r="N510" s="197"/>
      <c r="O510" s="197"/>
      <c r="P510" s="197"/>
      <c r="Q510" s="197"/>
    </row>
    <row r="511" spans="1:17" ht="12.75">
      <c r="A511" s="198" t="s">
        <v>1133</v>
      </c>
      <c r="B511" s="197">
        <v>202693</v>
      </c>
      <c r="C511" s="197">
        <v>110000</v>
      </c>
      <c r="D511" s="197">
        <v>115500</v>
      </c>
      <c r="E511" s="197">
        <v>121275</v>
      </c>
      <c r="F511" s="197">
        <v>127339</v>
      </c>
      <c r="G511" s="197"/>
      <c r="H511" s="197">
        <v>133706</v>
      </c>
      <c r="I511" s="197"/>
      <c r="J511" s="197"/>
      <c r="K511" s="197"/>
      <c r="L511" s="197"/>
      <c r="M511" s="197"/>
      <c r="N511" s="197"/>
      <c r="O511" s="197"/>
      <c r="P511" s="197"/>
      <c r="Q511" s="197"/>
    </row>
    <row r="512" spans="1:17" ht="12.75">
      <c r="A512" s="194" t="s">
        <v>1134</v>
      </c>
      <c r="B512" s="196">
        <f>+B513+B516</f>
        <v>79036</v>
      </c>
      <c r="C512" s="196">
        <f aca="true" t="shared" si="341" ref="C512:Q512">+C513+C516</f>
        <v>288400</v>
      </c>
      <c r="D512" s="196">
        <f t="shared" si="341"/>
        <v>319739</v>
      </c>
      <c r="E512" s="196">
        <f t="shared" si="341"/>
        <v>354697</v>
      </c>
      <c r="F512" s="196">
        <f t="shared" si="341"/>
        <v>393723</v>
      </c>
      <c r="G512" s="196"/>
      <c r="H512" s="196">
        <f t="shared" si="341"/>
        <v>437326</v>
      </c>
      <c r="I512" s="196">
        <f t="shared" si="341"/>
        <v>0</v>
      </c>
      <c r="J512" s="196">
        <f t="shared" si="341"/>
        <v>0</v>
      </c>
      <c r="K512" s="196">
        <f t="shared" si="341"/>
        <v>0</v>
      </c>
      <c r="L512" s="196">
        <f t="shared" si="341"/>
        <v>0</v>
      </c>
      <c r="M512" s="196">
        <f t="shared" si="341"/>
        <v>0</v>
      </c>
      <c r="N512" s="196">
        <f t="shared" si="341"/>
        <v>0</v>
      </c>
      <c r="O512" s="196">
        <f t="shared" si="341"/>
        <v>0</v>
      </c>
      <c r="P512" s="196">
        <f t="shared" si="341"/>
        <v>0</v>
      </c>
      <c r="Q512" s="196">
        <f t="shared" si="341"/>
        <v>0</v>
      </c>
    </row>
    <row r="513" spans="1:17" ht="12.75">
      <c r="A513" s="194" t="s">
        <v>1135</v>
      </c>
      <c r="B513" s="196">
        <f>SUM(B514:B515)</f>
        <v>43816</v>
      </c>
      <c r="C513" s="196">
        <f aca="true" t="shared" si="342" ref="C513:Q513">SUM(C514:C515)</f>
        <v>51450</v>
      </c>
      <c r="D513" s="196">
        <f t="shared" si="342"/>
        <v>60042</v>
      </c>
      <c r="E513" s="196">
        <f t="shared" si="342"/>
        <v>70069</v>
      </c>
      <c r="F513" s="196">
        <f t="shared" si="342"/>
        <v>81771</v>
      </c>
      <c r="G513" s="196"/>
      <c r="H513" s="196">
        <f t="shared" si="342"/>
        <v>95426</v>
      </c>
      <c r="I513" s="196">
        <f t="shared" si="342"/>
        <v>0</v>
      </c>
      <c r="J513" s="196">
        <f t="shared" si="342"/>
        <v>0</v>
      </c>
      <c r="K513" s="196">
        <f t="shared" si="342"/>
        <v>0</v>
      </c>
      <c r="L513" s="196">
        <f t="shared" si="342"/>
        <v>0</v>
      </c>
      <c r="M513" s="196">
        <f t="shared" si="342"/>
        <v>0</v>
      </c>
      <c r="N513" s="196">
        <f t="shared" si="342"/>
        <v>0</v>
      </c>
      <c r="O513" s="196">
        <f t="shared" si="342"/>
        <v>0</v>
      </c>
      <c r="P513" s="196">
        <f t="shared" si="342"/>
        <v>0</v>
      </c>
      <c r="Q513" s="196">
        <f t="shared" si="342"/>
        <v>0</v>
      </c>
    </row>
    <row r="514" spans="1:17" ht="12.75">
      <c r="A514" s="198" t="s">
        <v>1136</v>
      </c>
      <c r="B514" s="197">
        <v>0</v>
      </c>
      <c r="C514" s="197">
        <v>0</v>
      </c>
      <c r="D514" s="197">
        <v>0</v>
      </c>
      <c r="E514" s="197">
        <v>0</v>
      </c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</row>
    <row r="515" spans="1:17" ht="12.75">
      <c r="A515" s="198" t="s">
        <v>1137</v>
      </c>
      <c r="B515" s="197">
        <v>43816</v>
      </c>
      <c r="C515" s="197">
        <v>51450</v>
      </c>
      <c r="D515" s="197">
        <v>60042</v>
      </c>
      <c r="E515" s="197">
        <v>70069</v>
      </c>
      <c r="F515" s="197">
        <v>81771</v>
      </c>
      <c r="G515" s="197"/>
      <c r="H515" s="197">
        <v>95426</v>
      </c>
      <c r="I515" s="197"/>
      <c r="J515" s="197"/>
      <c r="K515" s="197"/>
      <c r="L515" s="197"/>
      <c r="M515" s="197"/>
      <c r="N515" s="197"/>
      <c r="O515" s="197"/>
      <c r="P515" s="197"/>
      <c r="Q515" s="197"/>
    </row>
    <row r="516" spans="1:17" ht="12.75">
      <c r="A516" s="194" t="s">
        <v>1138</v>
      </c>
      <c r="B516" s="196">
        <f>SUM(B517:B518)</f>
        <v>35220</v>
      </c>
      <c r="C516" s="196">
        <f aca="true" t="shared" si="343" ref="C516:Q516">SUM(C517:C518)</f>
        <v>236950</v>
      </c>
      <c r="D516" s="196">
        <f t="shared" si="343"/>
        <v>259697</v>
      </c>
      <c r="E516" s="196">
        <f t="shared" si="343"/>
        <v>284628</v>
      </c>
      <c r="F516" s="196">
        <f t="shared" si="343"/>
        <v>311952</v>
      </c>
      <c r="G516" s="196"/>
      <c r="H516" s="196">
        <f t="shared" si="343"/>
        <v>341900</v>
      </c>
      <c r="I516" s="196">
        <f t="shared" si="343"/>
        <v>0</v>
      </c>
      <c r="J516" s="196">
        <f t="shared" si="343"/>
        <v>0</v>
      </c>
      <c r="K516" s="196">
        <f t="shared" si="343"/>
        <v>0</v>
      </c>
      <c r="L516" s="196">
        <f t="shared" si="343"/>
        <v>0</v>
      </c>
      <c r="M516" s="196">
        <f t="shared" si="343"/>
        <v>0</v>
      </c>
      <c r="N516" s="196">
        <f t="shared" si="343"/>
        <v>0</v>
      </c>
      <c r="O516" s="196">
        <f t="shared" si="343"/>
        <v>0</v>
      </c>
      <c r="P516" s="196">
        <f t="shared" si="343"/>
        <v>0</v>
      </c>
      <c r="Q516" s="196">
        <f t="shared" si="343"/>
        <v>0</v>
      </c>
    </row>
    <row r="517" spans="1:17" ht="12.75">
      <c r="A517" s="198" t="s">
        <v>1136</v>
      </c>
      <c r="B517" s="197">
        <v>35220</v>
      </c>
      <c r="C517" s="197">
        <v>236950</v>
      </c>
      <c r="D517" s="197">
        <v>259697</v>
      </c>
      <c r="E517" s="197">
        <v>284628</v>
      </c>
      <c r="F517" s="197">
        <v>311952</v>
      </c>
      <c r="G517" s="197"/>
      <c r="H517" s="197">
        <v>341900</v>
      </c>
      <c r="I517" s="197"/>
      <c r="J517" s="197"/>
      <c r="K517" s="197"/>
      <c r="L517" s="197"/>
      <c r="M517" s="197"/>
      <c r="N517" s="197"/>
      <c r="O517" s="197"/>
      <c r="P517" s="197"/>
      <c r="Q517" s="197"/>
    </row>
    <row r="518" spans="1:17" ht="12.75">
      <c r="A518" s="198" t="s">
        <v>1137</v>
      </c>
      <c r="B518" s="197">
        <v>0</v>
      </c>
      <c r="C518" s="197">
        <v>0</v>
      </c>
      <c r="D518" s="197">
        <v>0</v>
      </c>
      <c r="E518" s="197">
        <v>0</v>
      </c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</row>
    <row r="519" spans="1:17" ht="12.75">
      <c r="A519" s="194" t="s">
        <v>1139</v>
      </c>
      <c r="B519" s="196">
        <f>SUM(B520:B522)</f>
        <v>777883</v>
      </c>
      <c r="C519" s="196">
        <f aca="true" t="shared" si="344" ref="C519:Q519">SUM(C520:C522)</f>
        <v>1181112</v>
      </c>
      <c r="D519" s="196">
        <f t="shared" si="344"/>
        <v>1348679</v>
      </c>
      <c r="E519" s="196">
        <f t="shared" si="344"/>
        <v>1540709</v>
      </c>
      <c r="F519" s="196">
        <f t="shared" si="344"/>
        <v>1760824</v>
      </c>
      <c r="G519" s="196"/>
      <c r="H519" s="196">
        <f t="shared" si="344"/>
        <v>2013188</v>
      </c>
      <c r="I519" s="196">
        <f t="shared" si="344"/>
        <v>0</v>
      </c>
      <c r="J519" s="196">
        <f t="shared" si="344"/>
        <v>0</v>
      </c>
      <c r="K519" s="196">
        <f t="shared" si="344"/>
        <v>0</v>
      </c>
      <c r="L519" s="196">
        <f t="shared" si="344"/>
        <v>0</v>
      </c>
      <c r="M519" s="196">
        <f t="shared" si="344"/>
        <v>0</v>
      </c>
      <c r="N519" s="196">
        <f t="shared" si="344"/>
        <v>0</v>
      </c>
      <c r="O519" s="196">
        <f t="shared" si="344"/>
        <v>0</v>
      </c>
      <c r="P519" s="196">
        <f t="shared" si="344"/>
        <v>0</v>
      </c>
      <c r="Q519" s="196">
        <f t="shared" si="344"/>
        <v>0</v>
      </c>
    </row>
    <row r="520" spans="1:17" ht="12.75">
      <c r="A520" s="198" t="s">
        <v>1140</v>
      </c>
      <c r="B520" s="197">
        <v>279818</v>
      </c>
      <c r="C520" s="197">
        <v>442650</v>
      </c>
      <c r="D520" s="197">
        <v>509048</v>
      </c>
      <c r="E520" s="197">
        <v>585405</v>
      </c>
      <c r="F520" s="197">
        <v>673215</v>
      </c>
      <c r="G520" s="197"/>
      <c r="H520" s="197">
        <v>774198</v>
      </c>
      <c r="I520" s="197"/>
      <c r="J520" s="197"/>
      <c r="K520" s="197"/>
      <c r="L520" s="197"/>
      <c r="M520" s="197"/>
      <c r="N520" s="197"/>
      <c r="O520" s="197"/>
      <c r="P520" s="197"/>
      <c r="Q520" s="197"/>
    </row>
    <row r="521" spans="1:17" ht="12.75">
      <c r="A521" s="198" t="s">
        <v>1141</v>
      </c>
      <c r="B521" s="197">
        <v>465937</v>
      </c>
      <c r="C521" s="197">
        <v>638462</v>
      </c>
      <c r="D521" s="197">
        <v>724631</v>
      </c>
      <c r="E521" s="197">
        <v>823054</v>
      </c>
      <c r="F521" s="197">
        <v>935521</v>
      </c>
      <c r="G521" s="197"/>
      <c r="H521" s="197">
        <v>1064089</v>
      </c>
      <c r="I521" s="197"/>
      <c r="J521" s="197"/>
      <c r="K521" s="197"/>
      <c r="L521" s="197"/>
      <c r="M521" s="197"/>
      <c r="N521" s="197"/>
      <c r="O521" s="197"/>
      <c r="P521" s="197"/>
      <c r="Q521" s="197"/>
    </row>
    <row r="522" spans="1:17" ht="12.75">
      <c r="A522" s="198" t="s">
        <v>1142</v>
      </c>
      <c r="B522" s="197">
        <v>32128</v>
      </c>
      <c r="C522" s="197">
        <v>100000</v>
      </c>
      <c r="D522" s="197">
        <v>115000</v>
      </c>
      <c r="E522" s="197">
        <v>132250</v>
      </c>
      <c r="F522" s="197">
        <v>152088</v>
      </c>
      <c r="G522" s="197"/>
      <c r="H522" s="197">
        <v>174901</v>
      </c>
      <c r="I522" s="197"/>
      <c r="J522" s="197"/>
      <c r="K522" s="197"/>
      <c r="L522" s="197"/>
      <c r="M522" s="197"/>
      <c r="N522" s="197"/>
      <c r="O522" s="197"/>
      <c r="P522" s="197"/>
      <c r="Q522" s="197"/>
    </row>
    <row r="523" spans="1:17" ht="12.75">
      <c r="A523" s="194" t="s">
        <v>39</v>
      </c>
      <c r="B523" s="199">
        <f>+B524+B535+B543+B544+B545+B541+B542</f>
        <v>1682083</v>
      </c>
      <c r="C523" s="199">
        <f aca="true" t="shared" si="345" ref="C523:Q523">+C524+C535+C543+C544+C545+C541+C542</f>
        <v>1495013</v>
      </c>
      <c r="D523" s="199">
        <f t="shared" si="345"/>
        <v>1603107</v>
      </c>
      <c r="E523" s="199">
        <f t="shared" si="345"/>
        <v>1721192</v>
      </c>
      <c r="F523" s="199">
        <f t="shared" si="345"/>
        <v>1823102</v>
      </c>
      <c r="G523" s="199"/>
      <c r="H523" s="199">
        <f t="shared" si="345"/>
        <v>1991427</v>
      </c>
      <c r="I523" s="199">
        <f t="shared" si="345"/>
        <v>0</v>
      </c>
      <c r="J523" s="199">
        <f t="shared" si="345"/>
        <v>0</v>
      </c>
      <c r="K523" s="199">
        <f t="shared" si="345"/>
        <v>0</v>
      </c>
      <c r="L523" s="199">
        <f t="shared" si="345"/>
        <v>0</v>
      </c>
      <c r="M523" s="199">
        <f t="shared" si="345"/>
        <v>0</v>
      </c>
      <c r="N523" s="199">
        <f t="shared" si="345"/>
        <v>0</v>
      </c>
      <c r="O523" s="199">
        <f t="shared" si="345"/>
        <v>0</v>
      </c>
      <c r="P523" s="199">
        <f t="shared" si="345"/>
        <v>0</v>
      </c>
      <c r="Q523" s="199">
        <f t="shared" si="345"/>
        <v>0</v>
      </c>
    </row>
    <row r="524" spans="1:17" ht="12.75">
      <c r="A524" s="194" t="s">
        <v>40</v>
      </c>
      <c r="B524" s="196">
        <f>+B525+B529</f>
        <v>1508973</v>
      </c>
      <c r="C524" s="196">
        <f aca="true" t="shared" si="346" ref="C524:Q524">+C525+C529</f>
        <v>1356820</v>
      </c>
      <c r="D524" s="196">
        <f t="shared" si="346"/>
        <v>1444185</v>
      </c>
      <c r="E524" s="196">
        <f t="shared" si="346"/>
        <v>1538432</v>
      </c>
      <c r="F524" s="196">
        <f t="shared" si="346"/>
        <v>1612928</v>
      </c>
      <c r="G524" s="196"/>
      <c r="H524" s="196">
        <f t="shared" si="346"/>
        <v>1749727</v>
      </c>
      <c r="I524" s="196">
        <f t="shared" si="346"/>
        <v>0</v>
      </c>
      <c r="J524" s="196">
        <f t="shared" si="346"/>
        <v>0</v>
      </c>
      <c r="K524" s="196">
        <f t="shared" si="346"/>
        <v>0</v>
      </c>
      <c r="L524" s="196">
        <f t="shared" si="346"/>
        <v>0</v>
      </c>
      <c r="M524" s="196">
        <f t="shared" si="346"/>
        <v>0</v>
      </c>
      <c r="N524" s="196">
        <f t="shared" si="346"/>
        <v>0</v>
      </c>
      <c r="O524" s="196">
        <f t="shared" si="346"/>
        <v>0</v>
      </c>
      <c r="P524" s="196">
        <f t="shared" si="346"/>
        <v>0</v>
      </c>
      <c r="Q524" s="196">
        <f t="shared" si="346"/>
        <v>0</v>
      </c>
    </row>
    <row r="525" spans="1:17" ht="12.75">
      <c r="A525" s="194" t="s">
        <v>41</v>
      </c>
      <c r="B525" s="196">
        <f>SUM(B526:B528)</f>
        <v>851223</v>
      </c>
      <c r="C525" s="196">
        <f aca="true" t="shared" si="347" ref="C525:Q525">SUM(C526:C528)</f>
        <v>707505</v>
      </c>
      <c r="D525" s="196">
        <f t="shared" si="347"/>
        <v>762312</v>
      </c>
      <c r="E525" s="196">
        <f t="shared" si="347"/>
        <v>822261</v>
      </c>
      <c r="F525" s="196">
        <f t="shared" si="347"/>
        <v>887939</v>
      </c>
      <c r="G525" s="196"/>
      <c r="H525" s="196">
        <f t="shared" si="347"/>
        <v>960010</v>
      </c>
      <c r="I525" s="196">
        <f t="shared" si="347"/>
        <v>0</v>
      </c>
      <c r="J525" s="196">
        <f t="shared" si="347"/>
        <v>0</v>
      </c>
      <c r="K525" s="196">
        <f t="shared" si="347"/>
        <v>0</v>
      </c>
      <c r="L525" s="196">
        <f t="shared" si="347"/>
        <v>0</v>
      </c>
      <c r="M525" s="196">
        <f t="shared" si="347"/>
        <v>0</v>
      </c>
      <c r="N525" s="196">
        <f t="shared" si="347"/>
        <v>0</v>
      </c>
      <c r="O525" s="196">
        <f t="shared" si="347"/>
        <v>0</v>
      </c>
      <c r="P525" s="196">
        <f t="shared" si="347"/>
        <v>0</v>
      </c>
      <c r="Q525" s="196">
        <f t="shared" si="347"/>
        <v>0</v>
      </c>
    </row>
    <row r="526" spans="1:17" ht="12.75">
      <c r="A526" s="198" t="s">
        <v>42</v>
      </c>
      <c r="B526" s="197">
        <v>83608</v>
      </c>
      <c r="C526" s="197">
        <v>137300</v>
      </c>
      <c r="D526" s="197">
        <v>157895</v>
      </c>
      <c r="E526" s="197">
        <v>181579</v>
      </c>
      <c r="F526" s="197">
        <v>208816</v>
      </c>
      <c r="G526" s="197"/>
      <c r="H526" s="197">
        <v>240139</v>
      </c>
      <c r="I526" s="197"/>
      <c r="J526" s="197"/>
      <c r="K526" s="197"/>
      <c r="L526" s="197"/>
      <c r="M526" s="197"/>
      <c r="N526" s="197"/>
      <c r="O526" s="197"/>
      <c r="P526" s="197"/>
      <c r="Q526" s="197"/>
    </row>
    <row r="527" spans="1:17" ht="12.75">
      <c r="A527" s="198" t="s">
        <v>43</v>
      </c>
      <c r="B527" s="197">
        <v>671005</v>
      </c>
      <c r="C527" s="197">
        <v>570205</v>
      </c>
      <c r="D527" s="197">
        <v>604417</v>
      </c>
      <c r="E527" s="197">
        <v>640682</v>
      </c>
      <c r="F527" s="197">
        <v>679123</v>
      </c>
      <c r="G527" s="197"/>
      <c r="H527" s="197">
        <v>719871</v>
      </c>
      <c r="I527" s="197"/>
      <c r="J527" s="197"/>
      <c r="K527" s="197"/>
      <c r="L527" s="197"/>
      <c r="M527" s="197"/>
      <c r="N527" s="197"/>
      <c r="O527" s="197"/>
      <c r="P527" s="197"/>
      <c r="Q527" s="197"/>
    </row>
    <row r="528" spans="1:17" ht="12.75">
      <c r="A528" s="198" t="s">
        <v>44</v>
      </c>
      <c r="B528" s="197">
        <v>96610</v>
      </c>
      <c r="C528" s="197">
        <v>0</v>
      </c>
      <c r="D528" s="197">
        <v>0</v>
      </c>
      <c r="E528" s="197">
        <v>0</v>
      </c>
      <c r="F528" s="197">
        <v>0</v>
      </c>
      <c r="G528" s="197"/>
      <c r="H528" s="197">
        <v>0</v>
      </c>
      <c r="I528" s="197"/>
      <c r="J528" s="197"/>
      <c r="K528" s="197"/>
      <c r="L528" s="197"/>
      <c r="M528" s="197"/>
      <c r="N528" s="197"/>
      <c r="O528" s="197"/>
      <c r="P528" s="197"/>
      <c r="Q528" s="197"/>
    </row>
    <row r="529" spans="1:17" ht="12.75">
      <c r="A529" s="194" t="s">
        <v>45</v>
      </c>
      <c r="B529" s="199">
        <f>+B530+B531+B534+B532+B533</f>
        <v>657750</v>
      </c>
      <c r="C529" s="199">
        <f aca="true" t="shared" si="348" ref="C529:Q529">+C530+C531+C534+C532+C533</f>
        <v>649315</v>
      </c>
      <c r="D529" s="199">
        <f t="shared" si="348"/>
        <v>681873</v>
      </c>
      <c r="E529" s="199">
        <f t="shared" si="348"/>
        <v>716171</v>
      </c>
      <c r="F529" s="199">
        <f t="shared" si="348"/>
        <v>724989</v>
      </c>
      <c r="G529" s="199"/>
      <c r="H529" s="199">
        <f t="shared" si="348"/>
        <v>789717</v>
      </c>
      <c r="I529" s="199">
        <f t="shared" si="348"/>
        <v>0</v>
      </c>
      <c r="J529" s="199">
        <f t="shared" si="348"/>
        <v>0</v>
      </c>
      <c r="K529" s="199">
        <f t="shared" si="348"/>
        <v>0</v>
      </c>
      <c r="L529" s="199">
        <f t="shared" si="348"/>
        <v>0</v>
      </c>
      <c r="M529" s="199">
        <f t="shared" si="348"/>
        <v>0</v>
      </c>
      <c r="N529" s="199">
        <f t="shared" si="348"/>
        <v>0</v>
      </c>
      <c r="O529" s="199">
        <f t="shared" si="348"/>
        <v>0</v>
      </c>
      <c r="P529" s="199">
        <f t="shared" si="348"/>
        <v>0</v>
      </c>
      <c r="Q529" s="199">
        <f t="shared" si="348"/>
        <v>0</v>
      </c>
    </row>
    <row r="530" spans="1:17" ht="12.75">
      <c r="A530" s="198" t="s">
        <v>46</v>
      </c>
      <c r="B530" s="197">
        <f>5000+1144</f>
        <v>6144</v>
      </c>
      <c r="C530" s="197">
        <f>7000+1450</f>
        <v>8450</v>
      </c>
      <c r="D530" s="197">
        <f>7350+1615</f>
        <v>8965</v>
      </c>
      <c r="E530" s="197">
        <f>7718+1799</f>
        <v>9517</v>
      </c>
      <c r="F530" s="197">
        <f>8103+2005</f>
        <v>10108</v>
      </c>
      <c r="G530" s="197"/>
      <c r="H530" s="197">
        <f>8509+2233</f>
        <v>10742</v>
      </c>
      <c r="I530" s="197"/>
      <c r="J530" s="197"/>
      <c r="K530" s="197"/>
      <c r="L530" s="197"/>
      <c r="M530" s="197"/>
      <c r="N530" s="197"/>
      <c r="O530" s="197"/>
      <c r="P530" s="197"/>
      <c r="Q530" s="197"/>
    </row>
    <row r="531" spans="1:17" ht="12.75">
      <c r="A531" s="198" t="s">
        <v>47</v>
      </c>
      <c r="B531" s="197"/>
      <c r="C531" s="197"/>
      <c r="D531" s="197"/>
      <c r="E531" s="197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</row>
    <row r="532" spans="1:17" ht="12.75">
      <c r="A532" s="198" t="s">
        <v>48</v>
      </c>
      <c r="B532" s="197"/>
      <c r="C532" s="197"/>
      <c r="D532" s="197"/>
      <c r="E532" s="197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</row>
    <row r="533" spans="1:17" ht="12.75">
      <c r="A533" s="198" t="s">
        <v>49</v>
      </c>
      <c r="B533" s="197"/>
      <c r="C533" s="197"/>
      <c r="D533" s="197"/>
      <c r="E533" s="197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</row>
    <row r="534" spans="1:17" ht="12.75">
      <c r="A534" s="198" t="s">
        <v>50</v>
      </c>
      <c r="B534" s="197">
        <v>651606</v>
      </c>
      <c r="C534" s="197">
        <v>640865</v>
      </c>
      <c r="D534" s="197">
        <v>672908</v>
      </c>
      <c r="E534" s="197">
        <v>706654</v>
      </c>
      <c r="F534" s="197">
        <v>714881</v>
      </c>
      <c r="G534" s="197"/>
      <c r="H534" s="197">
        <v>778975</v>
      </c>
      <c r="I534" s="197"/>
      <c r="J534" s="197"/>
      <c r="K534" s="197"/>
      <c r="L534" s="197"/>
      <c r="M534" s="197"/>
      <c r="N534" s="197"/>
      <c r="O534" s="197"/>
      <c r="P534" s="197"/>
      <c r="Q534" s="197"/>
    </row>
    <row r="535" spans="1:17" ht="12.75">
      <c r="A535" s="194" t="s">
        <v>51</v>
      </c>
      <c r="B535" s="196">
        <f>+B536+B540</f>
        <v>0</v>
      </c>
      <c r="C535" s="196">
        <f aca="true" t="shared" si="349" ref="C535:Q535">+C536+C540</f>
        <v>0</v>
      </c>
      <c r="D535" s="196">
        <f t="shared" si="349"/>
        <v>0</v>
      </c>
      <c r="E535" s="196">
        <f t="shared" si="349"/>
        <v>0</v>
      </c>
      <c r="F535" s="196">
        <f t="shared" si="349"/>
        <v>0</v>
      </c>
      <c r="G535" s="196"/>
      <c r="H535" s="196">
        <f t="shared" si="349"/>
        <v>0</v>
      </c>
      <c r="I535" s="196">
        <f t="shared" si="349"/>
        <v>0</v>
      </c>
      <c r="J535" s="196">
        <f t="shared" si="349"/>
        <v>0</v>
      </c>
      <c r="K535" s="196">
        <f t="shared" si="349"/>
        <v>0</v>
      </c>
      <c r="L535" s="196">
        <f t="shared" si="349"/>
        <v>0</v>
      </c>
      <c r="M535" s="196">
        <f t="shared" si="349"/>
        <v>0</v>
      </c>
      <c r="N535" s="196">
        <f t="shared" si="349"/>
        <v>0</v>
      </c>
      <c r="O535" s="196">
        <f t="shared" si="349"/>
        <v>0</v>
      </c>
      <c r="P535" s="196">
        <f t="shared" si="349"/>
        <v>0</v>
      </c>
      <c r="Q535" s="196">
        <f t="shared" si="349"/>
        <v>0</v>
      </c>
    </row>
    <row r="536" spans="1:17" ht="12.75">
      <c r="A536" s="194" t="s">
        <v>41</v>
      </c>
      <c r="B536" s="196">
        <f>SUM(B537:B539)</f>
        <v>0</v>
      </c>
      <c r="C536" s="196">
        <f aca="true" t="shared" si="350" ref="C536:Q536">SUM(C537:C539)</f>
        <v>0</v>
      </c>
      <c r="D536" s="196">
        <f t="shared" si="350"/>
        <v>0</v>
      </c>
      <c r="E536" s="196">
        <f t="shared" si="350"/>
        <v>0</v>
      </c>
      <c r="F536" s="196">
        <f t="shared" si="350"/>
        <v>0</v>
      </c>
      <c r="G536" s="196"/>
      <c r="H536" s="196">
        <f t="shared" si="350"/>
        <v>0</v>
      </c>
      <c r="I536" s="196">
        <f t="shared" si="350"/>
        <v>0</v>
      </c>
      <c r="J536" s="196">
        <f t="shared" si="350"/>
        <v>0</v>
      </c>
      <c r="K536" s="196">
        <f t="shared" si="350"/>
        <v>0</v>
      </c>
      <c r="L536" s="196">
        <f t="shared" si="350"/>
        <v>0</v>
      </c>
      <c r="M536" s="196">
        <f t="shared" si="350"/>
        <v>0</v>
      </c>
      <c r="N536" s="196">
        <f t="shared" si="350"/>
        <v>0</v>
      </c>
      <c r="O536" s="196">
        <f t="shared" si="350"/>
        <v>0</v>
      </c>
      <c r="P536" s="196">
        <f t="shared" si="350"/>
        <v>0</v>
      </c>
      <c r="Q536" s="196">
        <f t="shared" si="350"/>
        <v>0</v>
      </c>
    </row>
    <row r="537" spans="1:17" ht="12.75">
      <c r="A537" s="198" t="s">
        <v>42</v>
      </c>
      <c r="B537" s="197"/>
      <c r="C537" s="197">
        <v>0</v>
      </c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</row>
    <row r="538" spans="1:17" ht="12.75">
      <c r="A538" s="198" t="s">
        <v>43</v>
      </c>
      <c r="B538" s="197"/>
      <c r="C538" s="197">
        <v>0</v>
      </c>
      <c r="D538" s="197"/>
      <c r="E538" s="197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</row>
    <row r="539" spans="1:17" ht="12.75">
      <c r="A539" s="198" t="s">
        <v>44</v>
      </c>
      <c r="B539" s="197"/>
      <c r="C539" s="197">
        <v>0</v>
      </c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</row>
    <row r="540" spans="1:17" ht="12.75">
      <c r="A540" s="198" t="s">
        <v>52</v>
      </c>
      <c r="B540" s="197"/>
      <c r="C540" s="197">
        <v>0</v>
      </c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</row>
    <row r="541" spans="1:17" ht="12.75">
      <c r="A541" s="198" t="s">
        <v>53</v>
      </c>
      <c r="B541" s="197"/>
      <c r="C541" s="197">
        <v>0</v>
      </c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</row>
    <row r="542" spans="1:17" ht="12.75">
      <c r="A542" s="194" t="s">
        <v>54</v>
      </c>
      <c r="B542" s="197"/>
      <c r="C542" s="197">
        <v>0</v>
      </c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</row>
    <row r="543" spans="1:17" ht="12.75">
      <c r="A543" s="194" t="s">
        <v>55</v>
      </c>
      <c r="B543" s="197"/>
      <c r="C543" s="197">
        <v>0</v>
      </c>
      <c r="D543" s="197"/>
      <c r="E543" s="197"/>
      <c r="F543" s="197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</row>
    <row r="544" spans="1:17" ht="12.75">
      <c r="A544" s="194" t="s">
        <v>56</v>
      </c>
      <c r="B544" s="197">
        <v>116110</v>
      </c>
      <c r="C544" s="197">
        <v>138193</v>
      </c>
      <c r="D544" s="197">
        <v>158922</v>
      </c>
      <c r="E544" s="197">
        <v>182760</v>
      </c>
      <c r="F544" s="197">
        <v>210174</v>
      </c>
      <c r="G544" s="197"/>
      <c r="H544" s="197">
        <v>241700</v>
      </c>
      <c r="I544" s="197"/>
      <c r="J544" s="197"/>
      <c r="K544" s="197"/>
      <c r="L544" s="197"/>
      <c r="M544" s="197"/>
      <c r="N544" s="197"/>
      <c r="O544" s="197"/>
      <c r="P544" s="197"/>
      <c r="Q544" s="197"/>
    </row>
    <row r="545" spans="1:17" ht="12.75">
      <c r="A545" s="194" t="s">
        <v>57</v>
      </c>
      <c r="B545" s="197">
        <v>57000</v>
      </c>
      <c r="C545" s="197">
        <v>0</v>
      </c>
      <c r="D545" s="197"/>
      <c r="E545" s="197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</row>
    <row r="546" spans="1:17" ht="12.75">
      <c r="A546" s="200" t="s">
        <v>58</v>
      </c>
      <c r="B546" s="196">
        <f>SUM(B547:B548)</f>
        <v>317154</v>
      </c>
      <c r="C546" s="196">
        <f aca="true" t="shared" si="351" ref="C546:Q546">SUM(C547:C548)</f>
        <v>153500</v>
      </c>
      <c r="D546" s="196">
        <f t="shared" si="351"/>
        <v>161175</v>
      </c>
      <c r="E546" s="196">
        <f t="shared" si="351"/>
        <v>169234</v>
      </c>
      <c r="F546" s="196">
        <f t="shared" si="351"/>
        <v>177695</v>
      </c>
      <c r="G546" s="196"/>
      <c r="H546" s="196">
        <f t="shared" si="351"/>
        <v>186580</v>
      </c>
      <c r="I546" s="196">
        <f t="shared" si="351"/>
        <v>0</v>
      </c>
      <c r="J546" s="196">
        <f t="shared" si="351"/>
        <v>0</v>
      </c>
      <c r="K546" s="196">
        <f t="shared" si="351"/>
        <v>0</v>
      </c>
      <c r="L546" s="196">
        <f t="shared" si="351"/>
        <v>0</v>
      </c>
      <c r="M546" s="196">
        <f t="shared" si="351"/>
        <v>0</v>
      </c>
      <c r="N546" s="196">
        <f t="shared" si="351"/>
        <v>0</v>
      </c>
      <c r="O546" s="196">
        <f t="shared" si="351"/>
        <v>0</v>
      </c>
      <c r="P546" s="196">
        <f t="shared" si="351"/>
        <v>0</v>
      </c>
      <c r="Q546" s="196">
        <f t="shared" si="351"/>
        <v>0</v>
      </c>
    </row>
    <row r="547" spans="1:17" ht="12.75">
      <c r="A547" s="201" t="s">
        <v>59</v>
      </c>
      <c r="B547" s="197">
        <v>317154</v>
      </c>
      <c r="C547" s="197">
        <v>153500</v>
      </c>
      <c r="D547" s="197">
        <v>161175</v>
      </c>
      <c r="E547" s="197">
        <v>169234</v>
      </c>
      <c r="F547" s="197">
        <v>177695</v>
      </c>
      <c r="G547" s="197"/>
      <c r="H547" s="197">
        <v>186580</v>
      </c>
      <c r="I547" s="197"/>
      <c r="J547" s="197"/>
      <c r="K547" s="197"/>
      <c r="L547" s="197"/>
      <c r="M547" s="197"/>
      <c r="N547" s="197"/>
      <c r="O547" s="197"/>
      <c r="P547" s="197"/>
      <c r="Q547" s="197"/>
    </row>
    <row r="548" spans="1:17" ht="12.75">
      <c r="A548" s="201" t="s">
        <v>60</v>
      </c>
      <c r="B548" s="197">
        <v>0</v>
      </c>
      <c r="C548" s="197"/>
      <c r="D548" s="197"/>
      <c r="E548" s="197"/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</row>
    <row r="549" spans="1:17" ht="12.75">
      <c r="A549" s="202" t="s">
        <v>61</v>
      </c>
      <c r="B549" s="196">
        <f>+B550+B602+B639+B675</f>
        <v>12590577</v>
      </c>
      <c r="C549" s="196">
        <f aca="true" t="shared" si="352" ref="C549:Q549">+C550+C602+C639+C675</f>
        <v>15243770</v>
      </c>
      <c r="D549" s="196">
        <f t="shared" si="352"/>
        <v>16271724</v>
      </c>
      <c r="E549" s="196">
        <f t="shared" si="352"/>
        <v>17373757</v>
      </c>
      <c r="F549" s="196">
        <f t="shared" si="352"/>
        <v>18556430</v>
      </c>
      <c r="G549" s="196"/>
      <c r="H549" s="196">
        <f t="shared" si="352"/>
        <v>19826033</v>
      </c>
      <c r="I549" s="196">
        <f t="shared" si="352"/>
        <v>0</v>
      </c>
      <c r="J549" s="196">
        <f t="shared" si="352"/>
        <v>0</v>
      </c>
      <c r="K549" s="196">
        <f t="shared" si="352"/>
        <v>0</v>
      </c>
      <c r="L549" s="196">
        <f t="shared" si="352"/>
        <v>0</v>
      </c>
      <c r="M549" s="196">
        <f t="shared" si="352"/>
        <v>0</v>
      </c>
      <c r="N549" s="196">
        <f t="shared" si="352"/>
        <v>0</v>
      </c>
      <c r="O549" s="196">
        <f t="shared" si="352"/>
        <v>0</v>
      </c>
      <c r="P549" s="196">
        <f t="shared" si="352"/>
        <v>0</v>
      </c>
      <c r="Q549" s="196">
        <f t="shared" si="352"/>
        <v>0</v>
      </c>
    </row>
    <row r="550" spans="1:17" ht="12.75">
      <c r="A550" s="200" t="s">
        <v>62</v>
      </c>
      <c r="B550" s="196">
        <f>+B551+B558+B565</f>
        <v>4691301</v>
      </c>
      <c r="C550" s="196">
        <f aca="true" t="shared" si="353" ref="C550:Q550">+C551+C558+C565</f>
        <v>4612075</v>
      </c>
      <c r="D550" s="196">
        <f t="shared" si="353"/>
        <v>4957890</v>
      </c>
      <c r="E550" s="196">
        <f t="shared" si="353"/>
        <v>5329830</v>
      </c>
      <c r="F550" s="196">
        <f t="shared" si="353"/>
        <v>5729566</v>
      </c>
      <c r="G550" s="196"/>
      <c r="H550" s="196">
        <f t="shared" si="353"/>
        <v>6159284</v>
      </c>
      <c r="I550" s="196">
        <f t="shared" si="353"/>
        <v>0</v>
      </c>
      <c r="J550" s="196">
        <f t="shared" si="353"/>
        <v>0</v>
      </c>
      <c r="K550" s="196">
        <f t="shared" si="353"/>
        <v>0</v>
      </c>
      <c r="L550" s="196">
        <f t="shared" si="353"/>
        <v>0</v>
      </c>
      <c r="M550" s="196">
        <f t="shared" si="353"/>
        <v>0</v>
      </c>
      <c r="N550" s="196">
        <f t="shared" si="353"/>
        <v>0</v>
      </c>
      <c r="O550" s="196">
        <f t="shared" si="353"/>
        <v>0</v>
      </c>
      <c r="P550" s="196">
        <f t="shared" si="353"/>
        <v>0</v>
      </c>
      <c r="Q550" s="196">
        <f t="shared" si="353"/>
        <v>0</v>
      </c>
    </row>
    <row r="551" spans="1:17" ht="12.75">
      <c r="A551" s="200" t="s">
        <v>63</v>
      </c>
      <c r="B551" s="196">
        <f>SUM(B552:B557)</f>
        <v>416744</v>
      </c>
      <c r="C551" s="196">
        <f aca="true" t="shared" si="354" ref="C551:Q551">SUM(C552:C557)</f>
        <v>327474</v>
      </c>
      <c r="D551" s="196">
        <f t="shared" si="354"/>
        <v>352034</v>
      </c>
      <c r="E551" s="196">
        <f t="shared" si="354"/>
        <v>378438</v>
      </c>
      <c r="F551" s="196">
        <f t="shared" si="354"/>
        <v>406820</v>
      </c>
      <c r="G551" s="196"/>
      <c r="H551" s="196">
        <f t="shared" si="354"/>
        <v>437331</v>
      </c>
      <c r="I551" s="196">
        <f t="shared" si="354"/>
        <v>0</v>
      </c>
      <c r="J551" s="196">
        <f t="shared" si="354"/>
        <v>0</v>
      </c>
      <c r="K551" s="196">
        <f t="shared" si="354"/>
        <v>0</v>
      </c>
      <c r="L551" s="196">
        <f t="shared" si="354"/>
        <v>0</v>
      </c>
      <c r="M551" s="196">
        <f t="shared" si="354"/>
        <v>0</v>
      </c>
      <c r="N551" s="196">
        <f t="shared" si="354"/>
        <v>0</v>
      </c>
      <c r="O551" s="196">
        <f t="shared" si="354"/>
        <v>0</v>
      </c>
      <c r="P551" s="196">
        <f t="shared" si="354"/>
        <v>0</v>
      </c>
      <c r="Q551" s="196">
        <f t="shared" si="354"/>
        <v>0</v>
      </c>
    </row>
    <row r="552" spans="1:17" ht="12.75">
      <c r="A552" s="201" t="s">
        <v>64</v>
      </c>
      <c r="B552" s="197">
        <v>104811</v>
      </c>
      <c r="C552" s="197">
        <v>33989</v>
      </c>
      <c r="D552" s="197">
        <v>36538</v>
      </c>
      <c r="E552" s="197">
        <v>39279</v>
      </c>
      <c r="F552" s="197">
        <v>42224</v>
      </c>
      <c r="G552" s="197"/>
      <c r="H552" s="197">
        <v>45391</v>
      </c>
      <c r="I552" s="197"/>
      <c r="J552" s="197"/>
      <c r="K552" s="197"/>
      <c r="L552" s="197"/>
      <c r="M552" s="197"/>
      <c r="N552" s="197"/>
      <c r="O552" s="197"/>
      <c r="P552" s="197"/>
      <c r="Q552" s="197"/>
    </row>
    <row r="553" spans="1:17" ht="12.75">
      <c r="A553" s="201" t="s">
        <v>65</v>
      </c>
      <c r="B553" s="197"/>
      <c r="C553" s="197"/>
      <c r="D553" s="197"/>
      <c r="E553" s="197"/>
      <c r="F553" s="197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</row>
    <row r="554" spans="1:17" ht="12.75">
      <c r="A554" s="201" t="s">
        <v>66</v>
      </c>
      <c r="B554" s="197"/>
      <c r="C554" s="197"/>
      <c r="D554" s="197"/>
      <c r="E554" s="197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</row>
    <row r="555" spans="1:17" ht="12.75">
      <c r="A555" s="201" t="s">
        <v>67</v>
      </c>
      <c r="B555" s="197"/>
      <c r="C555" s="197"/>
      <c r="D555" s="197"/>
      <c r="E555" s="197"/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</row>
    <row r="556" spans="1:17" ht="12.75">
      <c r="A556" s="201" t="s">
        <v>68</v>
      </c>
      <c r="B556" s="197"/>
      <c r="C556" s="197"/>
      <c r="D556" s="197"/>
      <c r="E556" s="197"/>
      <c r="F556" s="197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</row>
    <row r="557" spans="1:17" ht="12.75">
      <c r="A557" s="201" t="s">
        <v>69</v>
      </c>
      <c r="B557" s="197">
        <f>151360+79088+8000+73485</f>
        <v>311933</v>
      </c>
      <c r="C557" s="197">
        <f>60000+160000+73485</f>
        <v>293485</v>
      </c>
      <c r="D557" s="197">
        <f>172000+64500+78996</f>
        <v>315496</v>
      </c>
      <c r="E557" s="197">
        <f>184900+84921+69338</f>
        <v>339159</v>
      </c>
      <c r="F557" s="197">
        <f>74538+198768+91290</f>
        <v>364596</v>
      </c>
      <c r="G557" s="197"/>
      <c r="H557" s="197">
        <f>98137+213675+80128</f>
        <v>391940</v>
      </c>
      <c r="I557" s="197"/>
      <c r="J557" s="197"/>
      <c r="K557" s="197"/>
      <c r="L557" s="197"/>
      <c r="M557" s="197"/>
      <c r="N557" s="197"/>
      <c r="O557" s="197"/>
      <c r="P557" s="197"/>
      <c r="Q557" s="197"/>
    </row>
    <row r="558" spans="1:17" ht="12.75">
      <c r="A558" s="194" t="s">
        <v>70</v>
      </c>
      <c r="B558" s="196">
        <f>SUM(B559:B564)</f>
        <v>2814875</v>
      </c>
      <c r="C558" s="196">
        <f aca="true" t="shared" si="355" ref="C558:Q558">SUM(C559:C564)</f>
        <v>2677039</v>
      </c>
      <c r="D558" s="196">
        <f t="shared" si="355"/>
        <v>2877817</v>
      </c>
      <c r="E558" s="196">
        <f t="shared" si="355"/>
        <v>3093653</v>
      </c>
      <c r="F558" s="196">
        <f t="shared" si="355"/>
        <v>3325677</v>
      </c>
      <c r="G558" s="196"/>
      <c r="H558" s="196">
        <f t="shared" si="355"/>
        <v>3575103</v>
      </c>
      <c r="I558" s="196">
        <f t="shared" si="355"/>
        <v>0</v>
      </c>
      <c r="J558" s="196">
        <f t="shared" si="355"/>
        <v>0</v>
      </c>
      <c r="K558" s="196">
        <f t="shared" si="355"/>
        <v>0</v>
      </c>
      <c r="L558" s="196">
        <f t="shared" si="355"/>
        <v>0</v>
      </c>
      <c r="M558" s="196">
        <f t="shared" si="355"/>
        <v>0</v>
      </c>
      <c r="N558" s="196">
        <f t="shared" si="355"/>
        <v>0</v>
      </c>
      <c r="O558" s="196">
        <f t="shared" si="355"/>
        <v>0</v>
      </c>
      <c r="P558" s="196">
        <f t="shared" si="355"/>
        <v>0</v>
      </c>
      <c r="Q558" s="196">
        <f t="shared" si="355"/>
        <v>0</v>
      </c>
    </row>
    <row r="559" spans="1:17" ht="12.75">
      <c r="A559" s="201" t="s">
        <v>71</v>
      </c>
      <c r="B559" s="197"/>
      <c r="C559" s="197"/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</row>
    <row r="560" spans="1:17" ht="12.75">
      <c r="A560" s="201" t="s">
        <v>65</v>
      </c>
      <c r="B560" s="197"/>
      <c r="C560" s="197"/>
      <c r="D560" s="197"/>
      <c r="E560" s="197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</row>
    <row r="561" spans="1:17" ht="12.75">
      <c r="A561" s="201" t="s">
        <v>72</v>
      </c>
      <c r="B561" s="197"/>
      <c r="C561" s="197"/>
      <c r="D561" s="197"/>
      <c r="E561" s="197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</row>
    <row r="562" spans="1:17" ht="12.75">
      <c r="A562" s="201" t="s">
        <v>67</v>
      </c>
      <c r="B562" s="197"/>
      <c r="C562" s="197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</row>
    <row r="563" spans="1:17" ht="12.75">
      <c r="A563" s="201" t="s">
        <v>73</v>
      </c>
      <c r="B563" s="197">
        <f>2579218+235657</f>
        <v>2814875</v>
      </c>
      <c r="C563" s="197">
        <f>2304802+372237</f>
        <v>2677039</v>
      </c>
      <c r="D563" s="197">
        <v>2877817</v>
      </c>
      <c r="E563" s="197">
        <v>3093653</v>
      </c>
      <c r="F563" s="197">
        <v>3325677</v>
      </c>
      <c r="G563" s="197"/>
      <c r="H563" s="197">
        <v>3575103</v>
      </c>
      <c r="I563" s="197"/>
      <c r="J563" s="197"/>
      <c r="K563" s="197"/>
      <c r="L563" s="197"/>
      <c r="M563" s="197"/>
      <c r="N563" s="197"/>
      <c r="O563" s="197"/>
      <c r="P563" s="197"/>
      <c r="Q563" s="197"/>
    </row>
    <row r="564" spans="1:17" ht="12.75">
      <c r="A564" s="201" t="s">
        <v>74</v>
      </c>
      <c r="B564" s="197"/>
      <c r="C564" s="197"/>
      <c r="D564" s="197"/>
      <c r="E564" s="197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</row>
    <row r="565" spans="1:17" ht="12.75">
      <c r="A565" s="200" t="s">
        <v>75</v>
      </c>
      <c r="B565" s="196">
        <f>+B566+B580+B587</f>
        <v>1459682</v>
      </c>
      <c r="C565" s="196">
        <f aca="true" t="shared" si="356" ref="C565:Q565">+C566+C580+C587</f>
        <v>1607562</v>
      </c>
      <c r="D565" s="196">
        <f t="shared" si="356"/>
        <v>1728039</v>
      </c>
      <c r="E565" s="196">
        <f t="shared" si="356"/>
        <v>1857739</v>
      </c>
      <c r="F565" s="196">
        <f t="shared" si="356"/>
        <v>1997069</v>
      </c>
      <c r="G565" s="196"/>
      <c r="H565" s="196">
        <f t="shared" si="356"/>
        <v>2146850</v>
      </c>
      <c r="I565" s="196">
        <f t="shared" si="356"/>
        <v>0</v>
      </c>
      <c r="J565" s="196">
        <f t="shared" si="356"/>
        <v>0</v>
      </c>
      <c r="K565" s="196">
        <f t="shared" si="356"/>
        <v>0</v>
      </c>
      <c r="L565" s="196">
        <f t="shared" si="356"/>
        <v>0</v>
      </c>
      <c r="M565" s="196">
        <f t="shared" si="356"/>
        <v>0</v>
      </c>
      <c r="N565" s="196">
        <f t="shared" si="356"/>
        <v>0</v>
      </c>
      <c r="O565" s="196">
        <f t="shared" si="356"/>
        <v>0</v>
      </c>
      <c r="P565" s="196">
        <f t="shared" si="356"/>
        <v>0</v>
      </c>
      <c r="Q565" s="196">
        <f t="shared" si="356"/>
        <v>0</v>
      </c>
    </row>
    <row r="566" spans="1:17" ht="12.75">
      <c r="A566" s="200" t="s">
        <v>76</v>
      </c>
      <c r="B566" s="196">
        <f>SUM(B567:B579)</f>
        <v>0</v>
      </c>
      <c r="C566" s="196">
        <f aca="true" t="shared" si="357" ref="C566:Q566">SUM(C567:C579)</f>
        <v>0</v>
      </c>
      <c r="D566" s="196">
        <f t="shared" si="357"/>
        <v>0</v>
      </c>
      <c r="E566" s="196">
        <f t="shared" si="357"/>
        <v>0</v>
      </c>
      <c r="F566" s="196">
        <f t="shared" si="357"/>
        <v>0</v>
      </c>
      <c r="G566" s="196"/>
      <c r="H566" s="196">
        <f t="shared" si="357"/>
        <v>0</v>
      </c>
      <c r="I566" s="196">
        <f t="shared" si="357"/>
        <v>0</v>
      </c>
      <c r="J566" s="196">
        <f t="shared" si="357"/>
        <v>0</v>
      </c>
      <c r="K566" s="196">
        <f t="shared" si="357"/>
        <v>0</v>
      </c>
      <c r="L566" s="196">
        <f t="shared" si="357"/>
        <v>0</v>
      </c>
      <c r="M566" s="196">
        <f t="shared" si="357"/>
        <v>0</v>
      </c>
      <c r="N566" s="196">
        <f t="shared" si="357"/>
        <v>0</v>
      </c>
      <c r="O566" s="196">
        <f t="shared" si="357"/>
        <v>0</v>
      </c>
      <c r="P566" s="196">
        <f t="shared" si="357"/>
        <v>0</v>
      </c>
      <c r="Q566" s="196">
        <f t="shared" si="357"/>
        <v>0</v>
      </c>
    </row>
    <row r="567" spans="1:17" ht="12.75">
      <c r="A567" s="201" t="s">
        <v>77</v>
      </c>
      <c r="B567" s="197"/>
      <c r="C567" s="197"/>
      <c r="D567" s="197"/>
      <c r="E567" s="197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</row>
    <row r="568" spans="1:17" ht="12.75">
      <c r="A568" s="201" t="s">
        <v>78</v>
      </c>
      <c r="B568" s="197"/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</row>
    <row r="569" spans="1:17" ht="12.75">
      <c r="A569" s="201" t="s">
        <v>79</v>
      </c>
      <c r="B569" s="197"/>
      <c r="C569" s="197"/>
      <c r="D569" s="197"/>
      <c r="E569" s="197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</row>
    <row r="570" spans="1:17" ht="12.75">
      <c r="A570" s="201" t="s">
        <v>80</v>
      </c>
      <c r="B570" s="197"/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</row>
    <row r="571" spans="1:17" ht="12.75">
      <c r="A571" s="201" t="s">
        <v>81</v>
      </c>
      <c r="B571" s="197"/>
      <c r="C571" s="197"/>
      <c r="D571" s="197"/>
      <c r="E571" s="197"/>
      <c r="F571" s="197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</row>
    <row r="572" spans="1:17" ht="12.75">
      <c r="A572" s="201" t="s">
        <v>82</v>
      </c>
      <c r="B572" s="197"/>
      <c r="C572" s="197"/>
      <c r="D572" s="197"/>
      <c r="E572" s="197"/>
      <c r="F572" s="197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</row>
    <row r="573" spans="1:17" ht="12.75">
      <c r="A573" s="201" t="s">
        <v>83</v>
      </c>
      <c r="B573" s="197"/>
      <c r="C573" s="197"/>
      <c r="D573" s="197"/>
      <c r="E573" s="197"/>
      <c r="F573" s="197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</row>
    <row r="574" spans="1:17" ht="12.75">
      <c r="A574" s="201" t="s">
        <v>84</v>
      </c>
      <c r="B574" s="197"/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</row>
    <row r="575" spans="1:17" ht="12.75">
      <c r="A575" s="201" t="s">
        <v>85</v>
      </c>
      <c r="B575" s="197"/>
      <c r="C575" s="197"/>
      <c r="D575" s="197"/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</row>
    <row r="576" spans="1:17" ht="12.75">
      <c r="A576" s="201" t="s">
        <v>86</v>
      </c>
      <c r="B576" s="197"/>
      <c r="C576" s="197"/>
      <c r="D576" s="197"/>
      <c r="E576" s="197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</row>
    <row r="577" spans="1:17" ht="12.75">
      <c r="A577" s="201" t="s">
        <v>87</v>
      </c>
      <c r="B577" s="197"/>
      <c r="C577" s="197"/>
      <c r="D577" s="197"/>
      <c r="E577" s="197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</row>
    <row r="578" spans="1:17" ht="12.75">
      <c r="A578" s="201" t="s">
        <v>88</v>
      </c>
      <c r="B578" s="197"/>
      <c r="C578" s="197"/>
      <c r="D578" s="197"/>
      <c r="E578" s="197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</row>
    <row r="579" spans="1:17" ht="12.75">
      <c r="A579" s="201" t="s">
        <v>89</v>
      </c>
      <c r="B579" s="197"/>
      <c r="C579" s="197"/>
      <c r="D579" s="197"/>
      <c r="E579" s="197"/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</row>
    <row r="580" spans="1:17" ht="12.75">
      <c r="A580" s="200" t="s">
        <v>90</v>
      </c>
      <c r="B580" s="196">
        <f>SUM(B581:B586)</f>
        <v>0</v>
      </c>
      <c r="C580" s="196">
        <f aca="true" t="shared" si="358" ref="C580:Q580">SUM(C581:C586)</f>
        <v>0</v>
      </c>
      <c r="D580" s="196">
        <f t="shared" si="358"/>
        <v>0</v>
      </c>
      <c r="E580" s="196">
        <f t="shared" si="358"/>
        <v>0</v>
      </c>
      <c r="F580" s="196">
        <f t="shared" si="358"/>
        <v>0</v>
      </c>
      <c r="G580" s="196"/>
      <c r="H580" s="196">
        <f t="shared" si="358"/>
        <v>0</v>
      </c>
      <c r="I580" s="196">
        <f t="shared" si="358"/>
        <v>0</v>
      </c>
      <c r="J580" s="196">
        <f t="shared" si="358"/>
        <v>0</v>
      </c>
      <c r="K580" s="196">
        <f t="shared" si="358"/>
        <v>0</v>
      </c>
      <c r="L580" s="196">
        <f t="shared" si="358"/>
        <v>0</v>
      </c>
      <c r="M580" s="196">
        <f t="shared" si="358"/>
        <v>0</v>
      </c>
      <c r="N580" s="196">
        <f t="shared" si="358"/>
        <v>0</v>
      </c>
      <c r="O580" s="196">
        <f t="shared" si="358"/>
        <v>0</v>
      </c>
      <c r="P580" s="196">
        <f t="shared" si="358"/>
        <v>0</v>
      </c>
      <c r="Q580" s="196">
        <f t="shared" si="358"/>
        <v>0</v>
      </c>
    </row>
    <row r="581" spans="1:17" ht="12.75">
      <c r="A581" s="201" t="s">
        <v>77</v>
      </c>
      <c r="B581" s="197"/>
      <c r="C581" s="197"/>
      <c r="D581" s="197"/>
      <c r="E581" s="197"/>
      <c r="F581" s="197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</row>
    <row r="582" spans="1:17" ht="12.75">
      <c r="A582" s="201" t="s">
        <v>79</v>
      </c>
      <c r="B582" s="197"/>
      <c r="C582" s="197"/>
      <c r="D582" s="197"/>
      <c r="E582" s="197"/>
      <c r="F582" s="197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</row>
    <row r="583" spans="1:17" ht="12.75">
      <c r="A583" s="201" t="s">
        <v>80</v>
      </c>
      <c r="B583" s="197"/>
      <c r="C583" s="197"/>
      <c r="D583" s="197"/>
      <c r="E583" s="197"/>
      <c r="F583" s="197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</row>
    <row r="584" spans="1:17" ht="12.75">
      <c r="A584" s="201" t="s">
        <v>82</v>
      </c>
      <c r="B584" s="197"/>
      <c r="C584" s="197"/>
      <c r="D584" s="197"/>
      <c r="E584" s="197"/>
      <c r="F584" s="197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</row>
    <row r="585" spans="1:17" ht="12.75">
      <c r="A585" s="201" t="s">
        <v>91</v>
      </c>
      <c r="B585" s="197"/>
      <c r="C585" s="197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</row>
    <row r="586" spans="1:17" ht="12.75">
      <c r="A586" s="201" t="s">
        <v>85</v>
      </c>
      <c r="B586" s="197"/>
      <c r="C586" s="197"/>
      <c r="D586" s="197"/>
      <c r="E586" s="197"/>
      <c r="F586" s="197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</row>
    <row r="587" spans="1:17" ht="12.75">
      <c r="A587" s="200" t="s">
        <v>92</v>
      </c>
      <c r="B587" s="196">
        <f>SUM(B588:B601)</f>
        <v>1459682</v>
      </c>
      <c r="C587" s="196">
        <f aca="true" t="shared" si="359" ref="C587:Q587">SUM(C588:C601)</f>
        <v>1607562</v>
      </c>
      <c r="D587" s="196">
        <f t="shared" si="359"/>
        <v>1728039</v>
      </c>
      <c r="E587" s="196">
        <f t="shared" si="359"/>
        <v>1857739</v>
      </c>
      <c r="F587" s="196">
        <f t="shared" si="359"/>
        <v>1997069</v>
      </c>
      <c r="G587" s="196"/>
      <c r="H587" s="196">
        <f t="shared" si="359"/>
        <v>2146850</v>
      </c>
      <c r="I587" s="196">
        <f t="shared" si="359"/>
        <v>0</v>
      </c>
      <c r="J587" s="196">
        <f t="shared" si="359"/>
        <v>0</v>
      </c>
      <c r="K587" s="196">
        <f t="shared" si="359"/>
        <v>0</v>
      </c>
      <c r="L587" s="196">
        <f t="shared" si="359"/>
        <v>0</v>
      </c>
      <c r="M587" s="196">
        <f t="shared" si="359"/>
        <v>0</v>
      </c>
      <c r="N587" s="196">
        <f t="shared" si="359"/>
        <v>0</v>
      </c>
      <c r="O587" s="196">
        <f t="shared" si="359"/>
        <v>0</v>
      </c>
      <c r="P587" s="196">
        <f t="shared" si="359"/>
        <v>0</v>
      </c>
      <c r="Q587" s="196">
        <f t="shared" si="359"/>
        <v>0</v>
      </c>
    </row>
    <row r="588" spans="1:17" ht="12.75">
      <c r="A588" s="201" t="s">
        <v>77</v>
      </c>
      <c r="B588" s="197">
        <v>615445</v>
      </c>
      <c r="C588" s="197">
        <f>615445+92601</f>
        <v>708046</v>
      </c>
      <c r="D588" s="197">
        <f>661603+99456</f>
        <v>761059</v>
      </c>
      <c r="E588" s="197">
        <f>711224+107012</f>
        <v>818236</v>
      </c>
      <c r="F588" s="197">
        <f>764565+115038</f>
        <v>879603</v>
      </c>
      <c r="G588" s="197"/>
      <c r="H588" s="197">
        <f>821908+123666</f>
        <v>945574</v>
      </c>
      <c r="I588" s="197"/>
      <c r="J588" s="197"/>
      <c r="K588" s="197"/>
      <c r="L588" s="197"/>
      <c r="M588" s="197"/>
      <c r="N588" s="197"/>
      <c r="O588" s="197"/>
      <c r="P588" s="197"/>
      <c r="Q588" s="197"/>
    </row>
    <row r="589" spans="1:17" ht="12.75">
      <c r="A589" s="201" t="s">
        <v>78</v>
      </c>
      <c r="B589" s="197"/>
      <c r="C589" s="197"/>
      <c r="D589" s="197"/>
      <c r="E589" s="197"/>
      <c r="F589" s="197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</row>
    <row r="590" spans="1:17" ht="12.75">
      <c r="A590" s="201" t="s">
        <v>79</v>
      </c>
      <c r="B590" s="197">
        <v>305000</v>
      </c>
      <c r="C590" s="197">
        <v>205000</v>
      </c>
      <c r="D590" s="197">
        <v>220375</v>
      </c>
      <c r="E590" s="197">
        <v>236903</v>
      </c>
      <c r="F590" s="197">
        <v>254671</v>
      </c>
      <c r="G590" s="197"/>
      <c r="H590" s="197">
        <v>273771</v>
      </c>
      <c r="I590" s="197"/>
      <c r="J590" s="197"/>
      <c r="K590" s="197"/>
      <c r="L590" s="197"/>
      <c r="M590" s="197"/>
      <c r="N590" s="197"/>
      <c r="O590" s="197"/>
      <c r="P590" s="197"/>
      <c r="Q590" s="197"/>
    </row>
    <row r="591" spans="1:17" ht="12.75">
      <c r="A591" s="201" t="s">
        <v>80</v>
      </c>
      <c r="B591" s="197">
        <v>26118</v>
      </c>
      <c r="C591" s="197">
        <f>26118+9611</f>
        <v>35729</v>
      </c>
      <c r="D591" s="197">
        <f>28077+10332</f>
        <v>38409</v>
      </c>
      <c r="E591" s="197">
        <f>30183+11107</f>
        <v>41290</v>
      </c>
      <c r="F591" s="197">
        <f>32446+11940</f>
        <v>44386</v>
      </c>
      <c r="G591" s="197"/>
      <c r="H591" s="197">
        <f>34880+12835</f>
        <v>47715</v>
      </c>
      <c r="I591" s="197"/>
      <c r="J591" s="197"/>
      <c r="K591" s="197"/>
      <c r="L591" s="197"/>
      <c r="M591" s="197"/>
      <c r="N591" s="197"/>
      <c r="O591" s="197"/>
      <c r="P591" s="197"/>
      <c r="Q591" s="197"/>
    </row>
    <row r="592" spans="1:17" ht="12.75">
      <c r="A592" s="201" t="s">
        <v>81</v>
      </c>
      <c r="B592" s="197">
        <f>60044+15810</f>
        <v>75854</v>
      </c>
      <c r="C592" s="197">
        <f>60043+15810</f>
        <v>75853</v>
      </c>
      <c r="D592" s="197">
        <f>64546+16996</f>
        <v>81542</v>
      </c>
      <c r="E592" s="197">
        <f>69387+18270</f>
        <v>87657</v>
      </c>
      <c r="F592" s="197">
        <f>74591+19641</f>
        <v>94232</v>
      </c>
      <c r="G592" s="197"/>
      <c r="H592" s="197">
        <f>80186+21114</f>
        <v>101300</v>
      </c>
      <c r="I592" s="197"/>
      <c r="J592" s="197"/>
      <c r="K592" s="197"/>
      <c r="L592" s="197"/>
      <c r="M592" s="197"/>
      <c r="N592" s="197"/>
      <c r="O592" s="197"/>
      <c r="P592" s="197"/>
      <c r="Q592" s="197"/>
    </row>
    <row r="593" spans="1:17" ht="12.75">
      <c r="A593" s="201" t="s">
        <v>82</v>
      </c>
      <c r="B593" s="197"/>
      <c r="C593" s="197"/>
      <c r="D593" s="197"/>
      <c r="E593" s="197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</row>
    <row r="594" spans="1:17" ht="12.75">
      <c r="A594" s="201" t="s">
        <v>83</v>
      </c>
      <c r="B594" s="197">
        <f>45033+6776</f>
        <v>51809</v>
      </c>
      <c r="C594" s="197">
        <f>40033+6776</f>
        <v>46809</v>
      </c>
      <c r="D594" s="197">
        <f>43035+7284</f>
        <v>50319</v>
      </c>
      <c r="E594" s="197">
        <f>46263+7831</f>
        <v>54094</v>
      </c>
      <c r="F594" s="197">
        <f>49733+8418</f>
        <v>58151</v>
      </c>
      <c r="G594" s="197"/>
      <c r="H594" s="197">
        <f>53463+9049</f>
        <v>62512</v>
      </c>
      <c r="I594" s="197"/>
      <c r="J594" s="197"/>
      <c r="K594" s="197"/>
      <c r="L594" s="197"/>
      <c r="M594" s="197"/>
      <c r="N594" s="197"/>
      <c r="O594" s="197"/>
      <c r="P594" s="197"/>
      <c r="Q594" s="197"/>
    </row>
    <row r="595" spans="1:17" ht="12.75">
      <c r="A595" s="201" t="s">
        <v>84</v>
      </c>
      <c r="B595" s="197">
        <v>0</v>
      </c>
      <c r="C595" s="197">
        <v>0</v>
      </c>
      <c r="D595" s="197"/>
      <c r="E595" s="197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</row>
    <row r="596" spans="1:17" ht="12.75">
      <c r="A596" s="201" t="s">
        <v>85</v>
      </c>
      <c r="B596" s="197">
        <v>109786</v>
      </c>
      <c r="C596" s="197">
        <v>109786</v>
      </c>
      <c r="D596" s="197">
        <v>118020</v>
      </c>
      <c r="E596" s="197">
        <v>126871</v>
      </c>
      <c r="F596" s="197">
        <v>136387</v>
      </c>
      <c r="G596" s="197"/>
      <c r="H596" s="197">
        <v>146616</v>
      </c>
      <c r="I596" s="197"/>
      <c r="J596" s="197"/>
      <c r="K596" s="197"/>
      <c r="L596" s="197"/>
      <c r="M596" s="197"/>
      <c r="N596" s="197"/>
      <c r="O596" s="197"/>
      <c r="P596" s="197"/>
      <c r="Q596" s="197"/>
    </row>
    <row r="597" spans="1:17" ht="12.75">
      <c r="A597" s="201" t="s">
        <v>86</v>
      </c>
      <c r="B597" s="197">
        <v>0</v>
      </c>
      <c r="C597" s="197"/>
      <c r="D597" s="197"/>
      <c r="E597" s="197"/>
      <c r="F597" s="197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</row>
    <row r="598" spans="1:17" ht="12.75">
      <c r="A598" s="201" t="s">
        <v>87</v>
      </c>
      <c r="B598" s="197">
        <f>60436+135000+15000+45000</f>
        <v>255436</v>
      </c>
      <c r="C598" s="197">
        <f>160436+135000+70000+22000</f>
        <v>387436</v>
      </c>
      <c r="D598" s="197">
        <f>172469+145125+75250+23650</f>
        <v>416494</v>
      </c>
      <c r="E598" s="197">
        <f>185404+156009+80894+25424</f>
        <v>447731</v>
      </c>
      <c r="F598" s="197">
        <f>199309+167710+86961+27331</f>
        <v>481311</v>
      </c>
      <c r="G598" s="197"/>
      <c r="H598" s="197">
        <f>214257+180288+93483+29380</f>
        <v>517408</v>
      </c>
      <c r="I598" s="197"/>
      <c r="J598" s="197"/>
      <c r="K598" s="197"/>
      <c r="L598" s="197"/>
      <c r="M598" s="197"/>
      <c r="N598" s="197"/>
      <c r="O598" s="197"/>
      <c r="P598" s="197"/>
      <c r="Q598" s="197"/>
    </row>
    <row r="599" spans="1:17" ht="12.75">
      <c r="A599" s="201" t="s">
        <v>88</v>
      </c>
      <c r="B599" s="197">
        <v>0</v>
      </c>
      <c r="C599" s="197"/>
      <c r="D599" s="197"/>
      <c r="E599" s="197"/>
      <c r="F599" s="197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</row>
    <row r="600" spans="1:17" ht="12.75">
      <c r="A600" s="201" t="s">
        <v>93</v>
      </c>
      <c r="B600" s="197">
        <v>0</v>
      </c>
      <c r="C600" s="197">
        <f>18669+13914</f>
        <v>32583</v>
      </c>
      <c r="D600" s="197">
        <f>14958+20069</f>
        <v>35027</v>
      </c>
      <c r="E600" s="197">
        <f>16079+21574</f>
        <v>37653</v>
      </c>
      <c r="F600" s="197">
        <f>17285+23192</f>
        <v>40477</v>
      </c>
      <c r="G600" s="197"/>
      <c r="H600" s="197">
        <f>18582+24932</f>
        <v>43514</v>
      </c>
      <c r="I600" s="197"/>
      <c r="J600" s="197"/>
      <c r="K600" s="197"/>
      <c r="L600" s="197"/>
      <c r="M600" s="197"/>
      <c r="N600" s="197"/>
      <c r="O600" s="197"/>
      <c r="P600" s="197"/>
      <c r="Q600" s="197"/>
    </row>
    <row r="601" spans="1:17" ht="12.75">
      <c r="A601" s="201" t="s">
        <v>89</v>
      </c>
      <c r="B601" s="197">
        <f>13914+6320</f>
        <v>20234</v>
      </c>
      <c r="C601" s="197">
        <f>6320</f>
        <v>6320</v>
      </c>
      <c r="D601" s="197">
        <v>6794</v>
      </c>
      <c r="E601" s="197">
        <v>7304</v>
      </c>
      <c r="F601" s="197">
        <v>7851</v>
      </c>
      <c r="G601" s="197"/>
      <c r="H601" s="197">
        <v>8440</v>
      </c>
      <c r="I601" s="197"/>
      <c r="J601" s="197"/>
      <c r="K601" s="197"/>
      <c r="L601" s="197"/>
      <c r="M601" s="197"/>
      <c r="N601" s="197"/>
      <c r="O601" s="197"/>
      <c r="P601" s="197"/>
      <c r="Q601" s="197"/>
    </row>
    <row r="602" spans="1:17" ht="12.75">
      <c r="A602" s="200" t="s">
        <v>94</v>
      </c>
      <c r="B602" s="196">
        <f>+B603+B617+B624</f>
        <v>5879017</v>
      </c>
      <c r="C602" s="196">
        <f aca="true" t="shared" si="360" ref="C602:Q602">+C603+C617+C624</f>
        <v>7912277</v>
      </c>
      <c r="D602" s="196">
        <f t="shared" si="360"/>
        <v>8428674</v>
      </c>
      <c r="E602" s="196">
        <f t="shared" si="360"/>
        <v>8978541</v>
      </c>
      <c r="F602" s="196">
        <f t="shared" si="360"/>
        <v>9565050</v>
      </c>
      <c r="G602" s="196"/>
      <c r="H602" s="196">
        <f t="shared" si="360"/>
        <v>10190336</v>
      </c>
      <c r="I602" s="196">
        <f t="shared" si="360"/>
        <v>0</v>
      </c>
      <c r="J602" s="196">
        <f t="shared" si="360"/>
        <v>0</v>
      </c>
      <c r="K602" s="196">
        <f t="shared" si="360"/>
        <v>0</v>
      </c>
      <c r="L602" s="196">
        <f t="shared" si="360"/>
        <v>0</v>
      </c>
      <c r="M602" s="196">
        <f t="shared" si="360"/>
        <v>0</v>
      </c>
      <c r="N602" s="196">
        <f t="shared" si="360"/>
        <v>0</v>
      </c>
      <c r="O602" s="196">
        <f t="shared" si="360"/>
        <v>0</v>
      </c>
      <c r="P602" s="196">
        <f t="shared" si="360"/>
        <v>0</v>
      </c>
      <c r="Q602" s="196">
        <f t="shared" si="360"/>
        <v>0</v>
      </c>
    </row>
    <row r="603" spans="1:17" ht="12.75">
      <c r="A603" s="200" t="s">
        <v>76</v>
      </c>
      <c r="B603" s="196">
        <f>SUM(B604:B616)</f>
        <v>0</v>
      </c>
      <c r="C603" s="196">
        <f aca="true" t="shared" si="361" ref="C603:Q603">SUM(C604:C616)</f>
        <v>0</v>
      </c>
      <c r="D603" s="196">
        <f t="shared" si="361"/>
        <v>0</v>
      </c>
      <c r="E603" s="196">
        <f t="shared" si="361"/>
        <v>0</v>
      </c>
      <c r="F603" s="196">
        <f t="shared" si="361"/>
        <v>0</v>
      </c>
      <c r="G603" s="196"/>
      <c r="H603" s="196">
        <f t="shared" si="361"/>
        <v>0</v>
      </c>
      <c r="I603" s="196">
        <f t="shared" si="361"/>
        <v>0</v>
      </c>
      <c r="J603" s="196">
        <f t="shared" si="361"/>
        <v>0</v>
      </c>
      <c r="K603" s="196">
        <f t="shared" si="361"/>
        <v>0</v>
      </c>
      <c r="L603" s="196">
        <f t="shared" si="361"/>
        <v>0</v>
      </c>
      <c r="M603" s="196">
        <f t="shared" si="361"/>
        <v>0</v>
      </c>
      <c r="N603" s="196">
        <f t="shared" si="361"/>
        <v>0</v>
      </c>
      <c r="O603" s="196">
        <f t="shared" si="361"/>
        <v>0</v>
      </c>
      <c r="P603" s="196">
        <f t="shared" si="361"/>
        <v>0</v>
      </c>
      <c r="Q603" s="196">
        <f t="shared" si="361"/>
        <v>0</v>
      </c>
    </row>
    <row r="604" spans="1:17" ht="12.75">
      <c r="A604" s="201" t="s">
        <v>77</v>
      </c>
      <c r="B604" s="197"/>
      <c r="C604" s="197"/>
      <c r="D604" s="197"/>
      <c r="E604" s="197"/>
      <c r="F604" s="197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</row>
    <row r="605" spans="1:17" ht="12.75">
      <c r="A605" s="201" t="s">
        <v>78</v>
      </c>
      <c r="B605" s="197"/>
      <c r="C605" s="197"/>
      <c r="D605" s="197"/>
      <c r="E605" s="197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</row>
    <row r="606" spans="1:17" ht="12.75">
      <c r="A606" s="201" t="s">
        <v>79</v>
      </c>
      <c r="B606" s="197"/>
      <c r="C606" s="197"/>
      <c r="D606" s="197"/>
      <c r="E606" s="197"/>
      <c r="F606" s="19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</row>
    <row r="607" spans="1:17" ht="12.75">
      <c r="A607" s="201" t="s">
        <v>80</v>
      </c>
      <c r="B607" s="197"/>
      <c r="C607" s="197"/>
      <c r="D607" s="197"/>
      <c r="E607" s="197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</row>
    <row r="608" spans="1:17" ht="12.75">
      <c r="A608" s="201" t="s">
        <v>81</v>
      </c>
      <c r="B608" s="197"/>
      <c r="C608" s="197"/>
      <c r="D608" s="197"/>
      <c r="E608" s="197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</row>
    <row r="609" spans="1:17" ht="12.75">
      <c r="A609" s="201" t="s">
        <v>82</v>
      </c>
      <c r="B609" s="197"/>
      <c r="C609" s="197"/>
      <c r="D609" s="197"/>
      <c r="E609" s="197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</row>
    <row r="610" spans="1:17" ht="12.75">
      <c r="A610" s="201" t="s">
        <v>83</v>
      </c>
      <c r="B610" s="197"/>
      <c r="C610" s="197"/>
      <c r="D610" s="197"/>
      <c r="E610" s="197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</row>
    <row r="611" spans="1:17" ht="12.75">
      <c r="A611" s="201" t="s">
        <v>84</v>
      </c>
      <c r="B611" s="197"/>
      <c r="C611" s="197"/>
      <c r="D611" s="197"/>
      <c r="E611" s="197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</row>
    <row r="612" spans="1:17" ht="12.75">
      <c r="A612" s="201" t="s">
        <v>85</v>
      </c>
      <c r="B612" s="197"/>
      <c r="C612" s="197"/>
      <c r="D612" s="197"/>
      <c r="E612" s="197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</row>
    <row r="613" spans="1:17" ht="12.75">
      <c r="A613" s="201" t="s">
        <v>86</v>
      </c>
      <c r="B613" s="197"/>
      <c r="C613" s="197"/>
      <c r="D613" s="197"/>
      <c r="E613" s="197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</row>
    <row r="614" spans="1:17" ht="12.75">
      <c r="A614" s="201" t="s">
        <v>87</v>
      </c>
      <c r="B614" s="197"/>
      <c r="C614" s="197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</row>
    <row r="615" spans="1:17" ht="12.75">
      <c r="A615" s="201" t="s">
        <v>88</v>
      </c>
      <c r="B615" s="197"/>
      <c r="C615" s="197"/>
      <c r="D615" s="197"/>
      <c r="E615" s="197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</row>
    <row r="616" spans="1:17" ht="12.75">
      <c r="A616" s="201" t="s">
        <v>95</v>
      </c>
      <c r="B616" s="197"/>
      <c r="C616" s="197"/>
      <c r="D616" s="197"/>
      <c r="E616" s="197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</row>
    <row r="617" spans="1:17" ht="12.75">
      <c r="A617" s="200" t="s">
        <v>90</v>
      </c>
      <c r="B617" s="196">
        <f>SUM(B618:B623)</f>
        <v>112196</v>
      </c>
      <c r="C617" s="196">
        <f aca="true" t="shared" si="362" ref="C617:Q617">SUM(C618:C623)</f>
        <v>101950</v>
      </c>
      <c r="D617" s="196">
        <f t="shared" si="362"/>
        <v>109596</v>
      </c>
      <c r="E617" s="196">
        <f t="shared" si="362"/>
        <v>117816</v>
      </c>
      <c r="F617" s="196">
        <f t="shared" si="362"/>
        <v>126652</v>
      </c>
      <c r="G617" s="196"/>
      <c r="H617" s="196">
        <f t="shared" si="362"/>
        <v>136151</v>
      </c>
      <c r="I617" s="196">
        <f t="shared" si="362"/>
        <v>0</v>
      </c>
      <c r="J617" s="196">
        <f t="shared" si="362"/>
        <v>0</v>
      </c>
      <c r="K617" s="196">
        <f t="shared" si="362"/>
        <v>0</v>
      </c>
      <c r="L617" s="196">
        <f t="shared" si="362"/>
        <v>0</v>
      </c>
      <c r="M617" s="196">
        <f t="shared" si="362"/>
        <v>0</v>
      </c>
      <c r="N617" s="196">
        <f t="shared" si="362"/>
        <v>0</v>
      </c>
      <c r="O617" s="196">
        <f t="shared" si="362"/>
        <v>0</v>
      </c>
      <c r="P617" s="196">
        <f t="shared" si="362"/>
        <v>0</v>
      </c>
      <c r="Q617" s="196">
        <f t="shared" si="362"/>
        <v>0</v>
      </c>
    </row>
    <row r="618" spans="1:17" ht="12.75">
      <c r="A618" s="201" t="s">
        <v>77</v>
      </c>
      <c r="B618" s="197"/>
      <c r="C618" s="197"/>
      <c r="D618" s="197"/>
      <c r="E618" s="197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</row>
    <row r="619" spans="1:17" ht="12.75">
      <c r="A619" s="201" t="s">
        <v>79</v>
      </c>
      <c r="B619" s="197"/>
      <c r="C619" s="197"/>
      <c r="D619" s="197"/>
      <c r="E619" s="197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</row>
    <row r="620" spans="1:17" ht="12.75">
      <c r="A620" s="201" t="s">
        <v>80</v>
      </c>
      <c r="B620" s="197"/>
      <c r="C620" s="197"/>
      <c r="D620" s="197"/>
      <c r="E620" s="197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</row>
    <row r="621" spans="1:17" ht="12.75">
      <c r="A621" s="201" t="s">
        <v>82</v>
      </c>
      <c r="B621" s="197"/>
      <c r="C621" s="197"/>
      <c r="D621" s="197"/>
      <c r="E621" s="197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</row>
    <row r="622" spans="1:17" ht="12.75">
      <c r="A622" s="201" t="s">
        <v>84</v>
      </c>
      <c r="B622" s="197">
        <v>112196</v>
      </c>
      <c r="C622" s="197">
        <v>101950</v>
      </c>
      <c r="D622" s="197">
        <v>109596</v>
      </c>
      <c r="E622" s="197">
        <v>117816</v>
      </c>
      <c r="F622" s="197">
        <v>126652</v>
      </c>
      <c r="G622" s="197"/>
      <c r="H622" s="197">
        <v>136151</v>
      </c>
      <c r="I622" s="197"/>
      <c r="J622" s="197"/>
      <c r="K622" s="197"/>
      <c r="L622" s="197"/>
      <c r="M622" s="197"/>
      <c r="N622" s="197"/>
      <c r="O622" s="197"/>
      <c r="P622" s="197"/>
      <c r="Q622" s="197"/>
    </row>
    <row r="623" spans="1:17" ht="12.75">
      <c r="A623" s="201" t="s">
        <v>85</v>
      </c>
      <c r="B623" s="197"/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</row>
    <row r="624" spans="1:17" ht="12.75">
      <c r="A624" s="200" t="s">
        <v>92</v>
      </c>
      <c r="B624" s="196">
        <f>SUM(B625:B638)</f>
        <v>5766821</v>
      </c>
      <c r="C624" s="196">
        <f aca="true" t="shared" si="363" ref="C624:Q624">SUM(C625:C638)</f>
        <v>7810327</v>
      </c>
      <c r="D624" s="196">
        <f t="shared" si="363"/>
        <v>8319078</v>
      </c>
      <c r="E624" s="196">
        <f t="shared" si="363"/>
        <v>8860725</v>
      </c>
      <c r="F624" s="196">
        <f t="shared" si="363"/>
        <v>9438398</v>
      </c>
      <c r="G624" s="196"/>
      <c r="H624" s="196">
        <f t="shared" si="363"/>
        <v>10054185</v>
      </c>
      <c r="I624" s="196">
        <f t="shared" si="363"/>
        <v>0</v>
      </c>
      <c r="J624" s="196">
        <f t="shared" si="363"/>
        <v>0</v>
      </c>
      <c r="K624" s="196">
        <f t="shared" si="363"/>
        <v>0</v>
      </c>
      <c r="L624" s="196">
        <f t="shared" si="363"/>
        <v>0</v>
      </c>
      <c r="M624" s="196">
        <f t="shared" si="363"/>
        <v>0</v>
      </c>
      <c r="N624" s="196">
        <f t="shared" si="363"/>
        <v>0</v>
      </c>
      <c r="O624" s="196">
        <f t="shared" si="363"/>
        <v>0</v>
      </c>
      <c r="P624" s="196">
        <f t="shared" si="363"/>
        <v>0</v>
      </c>
      <c r="Q624" s="196">
        <f t="shared" si="363"/>
        <v>0</v>
      </c>
    </row>
    <row r="625" spans="1:17" ht="12.75">
      <c r="A625" s="201" t="s">
        <v>77</v>
      </c>
      <c r="B625" s="197">
        <f>1966500+92601</f>
        <v>2059101</v>
      </c>
      <c r="C625" s="197">
        <v>1622895</v>
      </c>
      <c r="D625" s="197">
        <v>1744612</v>
      </c>
      <c r="E625" s="197">
        <v>1875458</v>
      </c>
      <c r="F625" s="197">
        <v>2016117</v>
      </c>
      <c r="G625" s="197"/>
      <c r="H625" s="197">
        <v>2167326</v>
      </c>
      <c r="I625" s="197"/>
      <c r="J625" s="197"/>
      <c r="K625" s="197"/>
      <c r="L625" s="197"/>
      <c r="M625" s="197"/>
      <c r="N625" s="197"/>
      <c r="O625" s="197"/>
      <c r="P625" s="197"/>
      <c r="Q625" s="197"/>
    </row>
    <row r="626" spans="1:17" ht="12.75">
      <c r="A626" s="201" t="s">
        <v>78</v>
      </c>
      <c r="B626" s="197">
        <f>1888+15000</f>
        <v>16888</v>
      </c>
      <c r="C626" s="197"/>
      <c r="D626" s="197"/>
      <c r="E626" s="197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</row>
    <row r="627" spans="1:17" ht="12.75">
      <c r="A627" s="201" t="s">
        <v>79</v>
      </c>
      <c r="B627" s="197">
        <v>357166</v>
      </c>
      <c r="C627" s="197">
        <v>393089</v>
      </c>
      <c r="D627" s="197">
        <v>422571</v>
      </c>
      <c r="E627" s="197">
        <v>454263</v>
      </c>
      <c r="F627" s="197">
        <v>488333</v>
      </c>
      <c r="G627" s="197"/>
      <c r="H627" s="197">
        <v>524958</v>
      </c>
      <c r="I627" s="197"/>
      <c r="J627" s="197"/>
      <c r="K627" s="197"/>
      <c r="L627" s="197"/>
      <c r="M627" s="197"/>
      <c r="N627" s="197"/>
      <c r="O627" s="197"/>
      <c r="P627" s="197"/>
      <c r="Q627" s="197"/>
    </row>
    <row r="628" spans="1:17" ht="12.75">
      <c r="A628" s="201" t="s">
        <v>80</v>
      </c>
      <c r="B628" s="197">
        <f>2448985+53404</f>
        <v>2502389</v>
      </c>
      <c r="C628" s="197">
        <v>5154868</v>
      </c>
      <c r="D628" s="197">
        <v>5464460</v>
      </c>
      <c r="E628" s="197">
        <v>5792010</v>
      </c>
      <c r="F628" s="197">
        <v>6139530</v>
      </c>
      <c r="G628" s="197"/>
      <c r="H628" s="197">
        <v>6507902</v>
      </c>
      <c r="I628" s="197"/>
      <c r="J628" s="197"/>
      <c r="K628" s="197"/>
      <c r="L628" s="197"/>
      <c r="M628" s="197"/>
      <c r="N628" s="197"/>
      <c r="O628" s="197"/>
      <c r="P628" s="197"/>
      <c r="Q628" s="197"/>
    </row>
    <row r="629" spans="1:17" ht="12.75">
      <c r="A629" s="201" t="s">
        <v>81</v>
      </c>
      <c r="B629" s="197">
        <v>0</v>
      </c>
      <c r="C629" s="197">
        <v>60043</v>
      </c>
      <c r="D629" s="197">
        <v>64546</v>
      </c>
      <c r="E629" s="197">
        <v>69387</v>
      </c>
      <c r="F629" s="197">
        <v>74591</v>
      </c>
      <c r="G629" s="197"/>
      <c r="H629" s="197">
        <v>80186</v>
      </c>
      <c r="I629" s="197"/>
      <c r="J629" s="197"/>
      <c r="K629" s="197"/>
      <c r="L629" s="197"/>
      <c r="M629" s="197"/>
      <c r="N629" s="197"/>
      <c r="O629" s="197"/>
      <c r="P629" s="197"/>
      <c r="Q629" s="197"/>
    </row>
    <row r="630" spans="1:17" ht="12.75">
      <c r="A630" s="201" t="s">
        <v>82</v>
      </c>
      <c r="B630" s="197">
        <f>333130+30000+171657</f>
        <v>534787</v>
      </c>
      <c r="C630" s="197">
        <v>100000</v>
      </c>
      <c r="D630" s="197">
        <v>107500</v>
      </c>
      <c r="E630" s="197">
        <v>115563</v>
      </c>
      <c r="F630" s="197">
        <v>124230</v>
      </c>
      <c r="G630" s="197"/>
      <c r="H630" s="197">
        <v>133547</v>
      </c>
      <c r="I630" s="197"/>
      <c r="J630" s="197"/>
      <c r="K630" s="197"/>
      <c r="L630" s="197"/>
      <c r="M630" s="197"/>
      <c r="N630" s="197"/>
      <c r="O630" s="197"/>
      <c r="P630" s="197"/>
      <c r="Q630" s="197"/>
    </row>
    <row r="631" spans="1:17" ht="12.75">
      <c r="A631" s="201" t="s">
        <v>83</v>
      </c>
      <c r="B631" s="197">
        <v>0</v>
      </c>
      <c r="C631" s="197"/>
      <c r="D631" s="197"/>
      <c r="E631" s="197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</row>
    <row r="632" spans="1:17" ht="12.75">
      <c r="A632" s="201" t="s">
        <v>84</v>
      </c>
      <c r="B632" s="197"/>
      <c r="C632" s="197">
        <v>250000</v>
      </c>
      <c r="D632" s="197">
        <v>268750</v>
      </c>
      <c r="E632" s="197">
        <v>288906</v>
      </c>
      <c r="F632" s="197">
        <v>310574</v>
      </c>
      <c r="G632" s="197"/>
      <c r="H632" s="197">
        <v>333867</v>
      </c>
      <c r="I632" s="197"/>
      <c r="J632" s="197"/>
      <c r="K632" s="197"/>
      <c r="L632" s="197"/>
      <c r="M632" s="197"/>
      <c r="N632" s="197"/>
      <c r="O632" s="197"/>
      <c r="P632" s="197"/>
      <c r="Q632" s="197"/>
    </row>
    <row r="633" spans="1:17" ht="12.75">
      <c r="A633" s="201" t="s">
        <v>85</v>
      </c>
      <c r="B633" s="197">
        <f>9500+15000</f>
        <v>24500</v>
      </c>
      <c r="C633" s="197"/>
      <c r="D633" s="197"/>
      <c r="E633" s="197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</row>
    <row r="634" spans="1:17" ht="12.75">
      <c r="A634" s="201" t="s">
        <v>86</v>
      </c>
      <c r="B634" s="197">
        <v>0</v>
      </c>
      <c r="C634" s="197"/>
      <c r="D634" s="197"/>
      <c r="E634" s="197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</row>
    <row r="635" spans="1:17" ht="12.75">
      <c r="A635" s="201" t="s">
        <v>87</v>
      </c>
      <c r="B635" s="197">
        <f>70000+10000+5000+10000</f>
        <v>95000</v>
      </c>
      <c r="C635" s="197"/>
      <c r="D635" s="197"/>
      <c r="E635" s="197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</row>
    <row r="636" spans="1:17" ht="12.75">
      <c r="A636" s="201" t="s">
        <v>88</v>
      </c>
      <c r="B636" s="197">
        <f>2162+20000</f>
        <v>22162</v>
      </c>
      <c r="C636" s="197">
        <v>30000</v>
      </c>
      <c r="D636" s="197">
        <v>32250</v>
      </c>
      <c r="E636" s="197">
        <v>34669</v>
      </c>
      <c r="F636" s="197">
        <v>37269</v>
      </c>
      <c r="G636" s="197"/>
      <c r="H636" s="197">
        <v>40064</v>
      </c>
      <c r="I636" s="197"/>
      <c r="J636" s="197"/>
      <c r="K636" s="197"/>
      <c r="L636" s="197"/>
      <c r="M636" s="197"/>
      <c r="N636" s="197"/>
      <c r="O636" s="197"/>
      <c r="P636" s="197"/>
      <c r="Q636" s="197"/>
    </row>
    <row r="637" spans="1:17" ht="12.75">
      <c r="A637" s="201" t="s">
        <v>93</v>
      </c>
      <c r="B637" s="197">
        <v>0</v>
      </c>
      <c r="C637" s="197"/>
      <c r="D637" s="197"/>
      <c r="E637" s="197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</row>
    <row r="638" spans="1:17" ht="12.75">
      <c r="A638" s="201" t="s">
        <v>95</v>
      </c>
      <c r="B638" s="197">
        <f>21960+71045+15669+45154+1000</f>
        <v>154828</v>
      </c>
      <c r="C638" s="197">
        <f>120814+78618</f>
        <v>199432</v>
      </c>
      <c r="D638" s="197">
        <f>129875+84514</f>
        <v>214389</v>
      </c>
      <c r="E638" s="197">
        <f>139616+90853</f>
        <v>230469</v>
      </c>
      <c r="F638" s="197">
        <f>150087+97667</f>
        <v>247754</v>
      </c>
      <c r="G638" s="197"/>
      <c r="H638" s="197">
        <f>161343+104992</f>
        <v>266335</v>
      </c>
      <c r="I638" s="197"/>
      <c r="J638" s="197"/>
      <c r="K638" s="197"/>
      <c r="L638" s="197"/>
      <c r="M638" s="197"/>
      <c r="N638" s="197"/>
      <c r="O638" s="197"/>
      <c r="P638" s="197"/>
      <c r="Q638" s="197"/>
    </row>
    <row r="639" spans="1:17" ht="12.75">
      <c r="A639" s="200" t="s">
        <v>96</v>
      </c>
      <c r="B639" s="196">
        <f>+B640+B654+B660</f>
        <v>2020259</v>
      </c>
      <c r="C639" s="196">
        <f aca="true" t="shared" si="364" ref="C639:Q639">+C640+C654+C660</f>
        <v>2719418</v>
      </c>
      <c r="D639" s="196">
        <f t="shared" si="364"/>
        <v>2885160</v>
      </c>
      <c r="E639" s="196">
        <f t="shared" si="364"/>
        <v>3065386</v>
      </c>
      <c r="F639" s="196">
        <f t="shared" si="364"/>
        <v>3261814</v>
      </c>
      <c r="G639" s="196"/>
      <c r="H639" s="196">
        <f t="shared" si="364"/>
        <v>3476413</v>
      </c>
      <c r="I639" s="196">
        <f t="shared" si="364"/>
        <v>0</v>
      </c>
      <c r="J639" s="196">
        <f t="shared" si="364"/>
        <v>0</v>
      </c>
      <c r="K639" s="196">
        <f t="shared" si="364"/>
        <v>0</v>
      </c>
      <c r="L639" s="196">
        <f t="shared" si="364"/>
        <v>0</v>
      </c>
      <c r="M639" s="196">
        <f t="shared" si="364"/>
        <v>0</v>
      </c>
      <c r="N639" s="196">
        <f t="shared" si="364"/>
        <v>0</v>
      </c>
      <c r="O639" s="196">
        <f t="shared" si="364"/>
        <v>0</v>
      </c>
      <c r="P639" s="196">
        <f t="shared" si="364"/>
        <v>0</v>
      </c>
      <c r="Q639" s="196">
        <f t="shared" si="364"/>
        <v>0</v>
      </c>
    </row>
    <row r="640" spans="1:17" ht="12.75">
      <c r="A640" s="200" t="s">
        <v>76</v>
      </c>
      <c r="B640" s="196">
        <f>SUM(B641:B653)</f>
        <v>0</v>
      </c>
      <c r="C640" s="196">
        <f aca="true" t="shared" si="365" ref="C640:Q640">SUM(C641:C653)</f>
        <v>0</v>
      </c>
      <c r="D640" s="196">
        <f t="shared" si="365"/>
        <v>0</v>
      </c>
      <c r="E640" s="196">
        <f t="shared" si="365"/>
        <v>0</v>
      </c>
      <c r="F640" s="196">
        <f t="shared" si="365"/>
        <v>0</v>
      </c>
      <c r="G640" s="196"/>
      <c r="H640" s="196">
        <f t="shared" si="365"/>
        <v>0</v>
      </c>
      <c r="I640" s="196">
        <f t="shared" si="365"/>
        <v>0</v>
      </c>
      <c r="J640" s="196">
        <f t="shared" si="365"/>
        <v>0</v>
      </c>
      <c r="K640" s="196">
        <f t="shared" si="365"/>
        <v>0</v>
      </c>
      <c r="L640" s="196">
        <f t="shared" si="365"/>
        <v>0</v>
      </c>
      <c r="M640" s="196">
        <f t="shared" si="365"/>
        <v>0</v>
      </c>
      <c r="N640" s="196">
        <f t="shared" si="365"/>
        <v>0</v>
      </c>
      <c r="O640" s="196">
        <f t="shared" si="365"/>
        <v>0</v>
      </c>
      <c r="P640" s="196">
        <f t="shared" si="365"/>
        <v>0</v>
      </c>
      <c r="Q640" s="196">
        <f t="shared" si="365"/>
        <v>0</v>
      </c>
    </row>
    <row r="641" spans="1:17" ht="12.75">
      <c r="A641" s="201" t="s">
        <v>77</v>
      </c>
      <c r="B641" s="197"/>
      <c r="C641" s="197"/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</row>
    <row r="642" spans="1:17" ht="12.75">
      <c r="A642" s="201" t="s">
        <v>78</v>
      </c>
      <c r="B642" s="197"/>
      <c r="C642" s="197"/>
      <c r="D642" s="197"/>
      <c r="E642" s="197"/>
      <c r="F642" s="197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</row>
    <row r="643" spans="1:17" ht="12.75">
      <c r="A643" s="201" t="s">
        <v>79</v>
      </c>
      <c r="B643" s="197"/>
      <c r="C643" s="197"/>
      <c r="D643" s="197"/>
      <c r="E643" s="197"/>
      <c r="F643" s="197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</row>
    <row r="644" spans="1:17" ht="12.75">
      <c r="A644" s="201" t="s">
        <v>80</v>
      </c>
      <c r="B644" s="197"/>
      <c r="C644" s="197"/>
      <c r="D644" s="197"/>
      <c r="E644" s="197"/>
      <c r="F644" s="197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</row>
    <row r="645" spans="1:17" ht="12.75">
      <c r="A645" s="201" t="s">
        <v>81</v>
      </c>
      <c r="B645" s="197"/>
      <c r="C645" s="197"/>
      <c r="D645" s="197"/>
      <c r="E645" s="197"/>
      <c r="F645" s="197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</row>
    <row r="646" spans="1:17" ht="12.75">
      <c r="A646" s="201" t="s">
        <v>82</v>
      </c>
      <c r="B646" s="197"/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</row>
    <row r="647" spans="1:17" ht="12.75">
      <c r="A647" s="201" t="s">
        <v>83</v>
      </c>
      <c r="B647" s="197"/>
      <c r="C647" s="197"/>
      <c r="D647" s="197"/>
      <c r="E647" s="197"/>
      <c r="F647" s="197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</row>
    <row r="648" spans="1:17" ht="12.75">
      <c r="A648" s="201" t="s">
        <v>84</v>
      </c>
      <c r="B648" s="197"/>
      <c r="C648" s="197"/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</row>
    <row r="649" spans="1:17" ht="12.75">
      <c r="A649" s="201" t="s">
        <v>85</v>
      </c>
      <c r="B649" s="197"/>
      <c r="C649" s="197"/>
      <c r="D649" s="197"/>
      <c r="E649" s="197"/>
      <c r="F649" s="197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</row>
    <row r="650" spans="1:17" ht="12.75">
      <c r="A650" s="201" t="s">
        <v>86</v>
      </c>
      <c r="B650" s="197"/>
      <c r="C650" s="197"/>
      <c r="D650" s="197"/>
      <c r="E650" s="197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</row>
    <row r="651" spans="1:17" ht="12.75">
      <c r="A651" s="201" t="s">
        <v>87</v>
      </c>
      <c r="B651" s="197"/>
      <c r="C651" s="197"/>
      <c r="D651" s="197"/>
      <c r="E651" s="197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</row>
    <row r="652" spans="1:17" ht="12.75">
      <c r="A652" s="201" t="s">
        <v>88</v>
      </c>
      <c r="B652" s="197"/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</row>
    <row r="653" spans="1:17" ht="12.75">
      <c r="A653" s="201" t="s">
        <v>95</v>
      </c>
      <c r="B653" s="197"/>
      <c r="C653" s="197"/>
      <c r="D653" s="197"/>
      <c r="E653" s="197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</row>
    <row r="654" spans="1:17" ht="12.75">
      <c r="A654" s="200" t="s">
        <v>90</v>
      </c>
      <c r="B654" s="196">
        <f>SUM(B655:B659)</f>
        <v>0</v>
      </c>
      <c r="C654" s="196">
        <f aca="true" t="shared" si="366" ref="C654:Q654">SUM(C655:C659)</f>
        <v>0</v>
      </c>
      <c r="D654" s="196">
        <f t="shared" si="366"/>
        <v>0</v>
      </c>
      <c r="E654" s="196">
        <f t="shared" si="366"/>
        <v>0</v>
      </c>
      <c r="F654" s="196">
        <f t="shared" si="366"/>
        <v>0</v>
      </c>
      <c r="G654" s="196"/>
      <c r="H654" s="196">
        <f t="shared" si="366"/>
        <v>0</v>
      </c>
      <c r="I654" s="196">
        <f t="shared" si="366"/>
        <v>0</v>
      </c>
      <c r="J654" s="196">
        <f t="shared" si="366"/>
        <v>0</v>
      </c>
      <c r="K654" s="196">
        <f t="shared" si="366"/>
        <v>0</v>
      </c>
      <c r="L654" s="196">
        <f t="shared" si="366"/>
        <v>0</v>
      </c>
      <c r="M654" s="196">
        <f t="shared" si="366"/>
        <v>0</v>
      </c>
      <c r="N654" s="196">
        <f t="shared" si="366"/>
        <v>0</v>
      </c>
      <c r="O654" s="196">
        <f t="shared" si="366"/>
        <v>0</v>
      </c>
      <c r="P654" s="196">
        <f t="shared" si="366"/>
        <v>0</v>
      </c>
      <c r="Q654" s="196">
        <f t="shared" si="366"/>
        <v>0</v>
      </c>
    </row>
    <row r="655" spans="1:17" ht="12.75">
      <c r="A655" s="201" t="s">
        <v>77</v>
      </c>
      <c r="B655" s="197"/>
      <c r="C655" s="197"/>
      <c r="D655" s="197"/>
      <c r="E655" s="197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</row>
    <row r="656" spans="1:17" ht="12.75">
      <c r="A656" s="201" t="s">
        <v>79</v>
      </c>
      <c r="B656" s="197"/>
      <c r="C656" s="197"/>
      <c r="D656" s="197"/>
      <c r="E656" s="197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</row>
    <row r="657" spans="1:17" ht="12.75">
      <c r="A657" s="201" t="s">
        <v>80</v>
      </c>
      <c r="B657" s="197"/>
      <c r="C657" s="197"/>
      <c r="D657" s="197"/>
      <c r="E657" s="197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</row>
    <row r="658" spans="1:17" ht="12.75">
      <c r="A658" s="201" t="s">
        <v>82</v>
      </c>
      <c r="B658" s="197"/>
      <c r="C658" s="197"/>
      <c r="D658" s="197"/>
      <c r="E658" s="197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</row>
    <row r="659" spans="1:17" ht="12.75">
      <c r="A659" s="201" t="s">
        <v>85</v>
      </c>
      <c r="B659" s="197"/>
      <c r="C659" s="197"/>
      <c r="D659" s="197"/>
      <c r="E659" s="197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</row>
    <row r="660" spans="1:17" ht="12.75">
      <c r="A660" s="200" t="s">
        <v>92</v>
      </c>
      <c r="B660" s="196">
        <f>SUM(B661:B674)</f>
        <v>2020259</v>
      </c>
      <c r="C660" s="196">
        <f aca="true" t="shared" si="367" ref="C660:Q660">SUM(C661:C674)</f>
        <v>2719418</v>
      </c>
      <c r="D660" s="196">
        <f t="shared" si="367"/>
        <v>2885160</v>
      </c>
      <c r="E660" s="196">
        <f t="shared" si="367"/>
        <v>3065386</v>
      </c>
      <c r="F660" s="196">
        <f t="shared" si="367"/>
        <v>3261814</v>
      </c>
      <c r="G660" s="196"/>
      <c r="H660" s="196">
        <f t="shared" si="367"/>
        <v>3476413</v>
      </c>
      <c r="I660" s="196">
        <f t="shared" si="367"/>
        <v>0</v>
      </c>
      <c r="J660" s="196">
        <f t="shared" si="367"/>
        <v>0</v>
      </c>
      <c r="K660" s="196">
        <f t="shared" si="367"/>
        <v>0</v>
      </c>
      <c r="L660" s="196">
        <f t="shared" si="367"/>
        <v>0</v>
      </c>
      <c r="M660" s="196">
        <f t="shared" si="367"/>
        <v>0</v>
      </c>
      <c r="N660" s="196">
        <f t="shared" si="367"/>
        <v>0</v>
      </c>
      <c r="O660" s="196">
        <f t="shared" si="367"/>
        <v>0</v>
      </c>
      <c r="P660" s="196">
        <f t="shared" si="367"/>
        <v>0</v>
      </c>
      <c r="Q660" s="196">
        <f t="shared" si="367"/>
        <v>0</v>
      </c>
    </row>
    <row r="661" spans="1:17" ht="12.75">
      <c r="A661" s="201" t="s">
        <v>77</v>
      </c>
      <c r="B661" s="197">
        <v>6826</v>
      </c>
      <c r="C661" s="197"/>
      <c r="D661" s="197"/>
      <c r="E661" s="197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</row>
    <row r="662" spans="1:17" ht="12.75">
      <c r="A662" s="201" t="s">
        <v>78</v>
      </c>
      <c r="B662" s="197">
        <v>917172</v>
      </c>
      <c r="C662" s="197">
        <v>767918</v>
      </c>
      <c r="D662" s="197">
        <v>798635</v>
      </c>
      <c r="E662" s="197">
        <v>830580</v>
      </c>
      <c r="F662" s="197">
        <v>863803</v>
      </c>
      <c r="G662" s="197"/>
      <c r="H662" s="197">
        <v>898355</v>
      </c>
      <c r="I662" s="197"/>
      <c r="J662" s="197"/>
      <c r="K662" s="197"/>
      <c r="L662" s="197"/>
      <c r="M662" s="197"/>
      <c r="N662" s="197"/>
      <c r="O662" s="197"/>
      <c r="P662" s="197"/>
      <c r="Q662" s="197"/>
    </row>
    <row r="663" spans="1:17" ht="12.75">
      <c r="A663" s="201" t="s">
        <v>79</v>
      </c>
      <c r="B663" s="197">
        <v>0</v>
      </c>
      <c r="C663" s="197"/>
      <c r="D663" s="197"/>
      <c r="E663" s="197"/>
      <c r="F663" s="197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</row>
    <row r="664" spans="1:17" ht="12.75">
      <c r="A664" s="201" t="s">
        <v>80</v>
      </c>
      <c r="B664" s="197">
        <v>233501</v>
      </c>
      <c r="C664" s="197">
        <v>551500</v>
      </c>
      <c r="D664" s="197">
        <v>579075</v>
      </c>
      <c r="E664" s="197">
        <v>608029</v>
      </c>
      <c r="F664" s="197">
        <v>638430</v>
      </c>
      <c r="G664" s="197"/>
      <c r="H664" s="197">
        <v>670352</v>
      </c>
      <c r="I664" s="197"/>
      <c r="J664" s="197"/>
      <c r="K664" s="197"/>
      <c r="L664" s="197"/>
      <c r="M664" s="197"/>
      <c r="N664" s="197"/>
      <c r="O664" s="197"/>
      <c r="P664" s="197"/>
      <c r="Q664" s="197"/>
    </row>
    <row r="665" spans="1:17" ht="12.75">
      <c r="A665" s="201" t="s">
        <v>81</v>
      </c>
      <c r="B665" s="197">
        <v>70658</v>
      </c>
      <c r="C665" s="197">
        <v>140000</v>
      </c>
      <c r="D665" s="197">
        <v>147000</v>
      </c>
      <c r="E665" s="197">
        <v>154350</v>
      </c>
      <c r="F665" s="197">
        <v>162068</v>
      </c>
      <c r="G665" s="197"/>
      <c r="H665" s="197">
        <v>170171</v>
      </c>
      <c r="I665" s="197"/>
      <c r="J665" s="197"/>
      <c r="K665" s="197"/>
      <c r="L665" s="197"/>
      <c r="M665" s="197"/>
      <c r="N665" s="197"/>
      <c r="O665" s="197"/>
      <c r="P665" s="197"/>
      <c r="Q665" s="197"/>
    </row>
    <row r="666" spans="1:17" ht="12.75">
      <c r="A666" s="201" t="s">
        <v>82</v>
      </c>
      <c r="B666" s="197">
        <v>47379</v>
      </c>
      <c r="C666" s="197"/>
      <c r="D666" s="197"/>
      <c r="E666" s="197"/>
      <c r="F666" s="197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</row>
    <row r="667" spans="1:17" ht="12.75">
      <c r="A667" s="201" t="s">
        <v>83</v>
      </c>
      <c r="B667" s="197">
        <v>15000</v>
      </c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</row>
    <row r="668" spans="1:17" ht="12.75">
      <c r="A668" s="201" t="s">
        <v>84</v>
      </c>
      <c r="B668" s="197">
        <v>148340</v>
      </c>
      <c r="C668" s="197">
        <v>410000</v>
      </c>
      <c r="D668" s="197">
        <v>426400</v>
      </c>
      <c r="E668" s="197">
        <v>443456</v>
      </c>
      <c r="F668" s="197">
        <v>461194</v>
      </c>
      <c r="G668" s="197"/>
      <c r="H668" s="197">
        <v>479642</v>
      </c>
      <c r="I668" s="197"/>
      <c r="J668" s="197"/>
      <c r="K668" s="197"/>
      <c r="L668" s="197"/>
      <c r="M668" s="197"/>
      <c r="N668" s="197"/>
      <c r="O668" s="197"/>
      <c r="P668" s="197"/>
      <c r="Q668" s="197"/>
    </row>
    <row r="669" spans="1:17" ht="12.75">
      <c r="A669" s="201" t="s">
        <v>85</v>
      </c>
      <c r="B669" s="197">
        <v>0</v>
      </c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</row>
    <row r="670" spans="1:17" ht="12.75">
      <c r="A670" s="201" t="s">
        <v>86</v>
      </c>
      <c r="B670" s="197">
        <v>113924</v>
      </c>
      <c r="C670" s="197">
        <v>130000</v>
      </c>
      <c r="D670" s="197">
        <v>135200</v>
      </c>
      <c r="E670" s="197">
        <v>140608</v>
      </c>
      <c r="F670" s="197">
        <v>146232</v>
      </c>
      <c r="G670" s="197"/>
      <c r="H670" s="197">
        <v>152082</v>
      </c>
      <c r="I670" s="197"/>
      <c r="J670" s="197"/>
      <c r="K670" s="197"/>
      <c r="L670" s="197"/>
      <c r="M670" s="197"/>
      <c r="N670" s="197"/>
      <c r="O670" s="197"/>
      <c r="P670" s="197"/>
      <c r="Q670" s="197"/>
    </row>
    <row r="671" spans="1:17" ht="12.75">
      <c r="A671" s="201" t="s">
        <v>87</v>
      </c>
      <c r="B671" s="197">
        <f>128925+13000</f>
        <v>141925</v>
      </c>
      <c r="C671" s="197">
        <f>95000+265000</f>
        <v>360000</v>
      </c>
      <c r="D671" s="197">
        <f>98800+304750</f>
        <v>403550</v>
      </c>
      <c r="E671" s="197">
        <f>102752+350463</f>
        <v>453215</v>
      </c>
      <c r="F671" s="197">
        <f>106862+403032</f>
        <v>509894</v>
      </c>
      <c r="G671" s="197"/>
      <c r="H671" s="197">
        <f>111137+463487</f>
        <v>574624</v>
      </c>
      <c r="I671" s="197"/>
      <c r="J671" s="197"/>
      <c r="K671" s="197"/>
      <c r="L671" s="197"/>
      <c r="M671" s="197"/>
      <c r="N671" s="197"/>
      <c r="O671" s="197"/>
      <c r="P671" s="197"/>
      <c r="Q671" s="197"/>
    </row>
    <row r="672" spans="1:17" ht="12.75">
      <c r="A672" s="201" t="s">
        <v>88</v>
      </c>
      <c r="B672" s="197">
        <v>25000</v>
      </c>
      <c r="C672" s="197">
        <v>143000</v>
      </c>
      <c r="D672" s="197">
        <v>164450</v>
      </c>
      <c r="E672" s="197">
        <v>183872</v>
      </c>
      <c r="F672" s="197">
        <v>217485</v>
      </c>
      <c r="G672" s="197"/>
      <c r="H672" s="197">
        <v>250108</v>
      </c>
      <c r="I672" s="197"/>
      <c r="J672" s="197"/>
      <c r="K672" s="197"/>
      <c r="L672" s="197"/>
      <c r="M672" s="197"/>
      <c r="N672" s="197"/>
      <c r="O672" s="197"/>
      <c r="P672" s="197"/>
      <c r="Q672" s="197"/>
    </row>
    <row r="673" spans="1:17" ht="12.75">
      <c r="A673" s="201" t="s">
        <v>93</v>
      </c>
      <c r="B673" s="197">
        <v>284013</v>
      </c>
      <c r="C673" s="197">
        <v>170000</v>
      </c>
      <c r="D673" s="197">
        <v>176800</v>
      </c>
      <c r="E673" s="197">
        <v>189118</v>
      </c>
      <c r="F673" s="197">
        <v>191227</v>
      </c>
      <c r="G673" s="197"/>
      <c r="H673" s="197">
        <v>198876</v>
      </c>
      <c r="I673" s="197"/>
      <c r="J673" s="197"/>
      <c r="K673" s="197"/>
      <c r="L673" s="197"/>
      <c r="M673" s="197"/>
      <c r="N673" s="197"/>
      <c r="O673" s="197"/>
      <c r="P673" s="197"/>
      <c r="Q673" s="197"/>
    </row>
    <row r="674" spans="1:17" ht="12.75">
      <c r="A674" s="201" t="s">
        <v>95</v>
      </c>
      <c r="B674" s="197">
        <v>16521</v>
      </c>
      <c r="C674" s="197">
        <v>47000</v>
      </c>
      <c r="D674" s="197">
        <v>54050</v>
      </c>
      <c r="E674" s="197">
        <v>62158</v>
      </c>
      <c r="F674" s="197">
        <v>71481</v>
      </c>
      <c r="G674" s="197"/>
      <c r="H674" s="197">
        <v>82203</v>
      </c>
      <c r="I674" s="197"/>
      <c r="J674" s="197"/>
      <c r="K674" s="197"/>
      <c r="L674" s="197"/>
      <c r="M674" s="197"/>
      <c r="N674" s="197"/>
      <c r="O674" s="197"/>
      <c r="P674" s="197"/>
      <c r="Q674" s="197"/>
    </row>
    <row r="675" spans="1:17" ht="12.75">
      <c r="A675" s="200" t="s">
        <v>97</v>
      </c>
      <c r="B675" s="197"/>
      <c r="C675" s="197"/>
      <c r="D675" s="197"/>
      <c r="E675" s="197"/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</row>
    <row r="676" spans="1:17" ht="12.75">
      <c r="A676" s="200" t="s">
        <v>98</v>
      </c>
      <c r="B676" s="196">
        <f>+B677+B682</f>
        <v>856599</v>
      </c>
      <c r="C676" s="196">
        <f aca="true" t="shared" si="368" ref="C676:Q676">+C677+C682</f>
        <v>996817</v>
      </c>
      <c r="D676" s="196">
        <f t="shared" si="368"/>
        <v>1026723</v>
      </c>
      <c r="E676" s="196">
        <f t="shared" si="368"/>
        <v>1057524</v>
      </c>
      <c r="F676" s="196">
        <f t="shared" si="368"/>
        <v>1089251</v>
      </c>
      <c r="G676" s="196"/>
      <c r="H676" s="196">
        <f t="shared" si="368"/>
        <v>1121251</v>
      </c>
      <c r="I676" s="196">
        <f t="shared" si="368"/>
        <v>0</v>
      </c>
      <c r="J676" s="196">
        <f t="shared" si="368"/>
        <v>0</v>
      </c>
      <c r="K676" s="196">
        <f t="shared" si="368"/>
        <v>0</v>
      </c>
      <c r="L676" s="196">
        <f t="shared" si="368"/>
        <v>0</v>
      </c>
      <c r="M676" s="196">
        <f t="shared" si="368"/>
        <v>0</v>
      </c>
      <c r="N676" s="196">
        <f t="shared" si="368"/>
        <v>0</v>
      </c>
      <c r="O676" s="196">
        <f t="shared" si="368"/>
        <v>0</v>
      </c>
      <c r="P676" s="196">
        <f t="shared" si="368"/>
        <v>0</v>
      </c>
      <c r="Q676" s="196">
        <f t="shared" si="368"/>
        <v>0</v>
      </c>
    </row>
    <row r="677" spans="1:17" ht="12.75">
      <c r="A677" s="200" t="s">
        <v>99</v>
      </c>
      <c r="B677" s="196">
        <f>+B678+B679+B680+B681</f>
        <v>638920</v>
      </c>
      <c r="C677" s="196">
        <f aca="true" t="shared" si="369" ref="C677:Q677">+C678+C679+C680+C681</f>
        <v>798067</v>
      </c>
      <c r="D677" s="196">
        <f t="shared" si="369"/>
        <v>822009</v>
      </c>
      <c r="E677" s="196">
        <f t="shared" si="369"/>
        <v>846669</v>
      </c>
      <c r="F677" s="196">
        <f t="shared" si="369"/>
        <v>872070</v>
      </c>
      <c r="G677" s="196"/>
      <c r="H677" s="196">
        <f t="shared" si="369"/>
        <v>897555</v>
      </c>
      <c r="I677" s="196">
        <f t="shared" si="369"/>
        <v>0</v>
      </c>
      <c r="J677" s="196">
        <f t="shared" si="369"/>
        <v>0</v>
      </c>
      <c r="K677" s="196">
        <f t="shared" si="369"/>
        <v>0</v>
      </c>
      <c r="L677" s="196">
        <f t="shared" si="369"/>
        <v>0</v>
      </c>
      <c r="M677" s="196">
        <f t="shared" si="369"/>
        <v>0</v>
      </c>
      <c r="N677" s="196">
        <f t="shared" si="369"/>
        <v>0</v>
      </c>
      <c r="O677" s="196">
        <f t="shared" si="369"/>
        <v>0</v>
      </c>
      <c r="P677" s="196">
        <f t="shared" si="369"/>
        <v>0</v>
      </c>
      <c r="Q677" s="196">
        <f t="shared" si="369"/>
        <v>0</v>
      </c>
    </row>
    <row r="678" spans="1:17" ht="12.75">
      <c r="A678" s="201" t="s">
        <v>100</v>
      </c>
      <c r="B678" s="197">
        <f>462501</f>
        <v>462501</v>
      </c>
      <c r="C678" s="197">
        <v>483255</v>
      </c>
      <c r="D678" s="197">
        <v>497753</v>
      </c>
      <c r="E678" s="197">
        <v>512685</v>
      </c>
      <c r="F678" s="197">
        <v>528066</v>
      </c>
      <c r="G678" s="197"/>
      <c r="H678" s="197">
        <v>543231</v>
      </c>
      <c r="I678" s="197"/>
      <c r="J678" s="197"/>
      <c r="K678" s="197"/>
      <c r="L678" s="197"/>
      <c r="M678" s="197"/>
      <c r="N678" s="197"/>
      <c r="O678" s="197"/>
      <c r="P678" s="197"/>
      <c r="Q678" s="197"/>
    </row>
    <row r="679" spans="1:17" ht="12.75">
      <c r="A679" s="201" t="s">
        <v>101</v>
      </c>
      <c r="B679" s="197">
        <v>152524</v>
      </c>
      <c r="C679" s="197">
        <v>314812</v>
      </c>
      <c r="D679" s="197">
        <v>324256</v>
      </c>
      <c r="E679" s="197">
        <v>333984</v>
      </c>
      <c r="F679" s="197">
        <v>344004</v>
      </c>
      <c r="G679" s="197"/>
      <c r="H679" s="197">
        <v>354324</v>
      </c>
      <c r="I679" s="197"/>
      <c r="J679" s="197"/>
      <c r="K679" s="197"/>
      <c r="L679" s="197"/>
      <c r="M679" s="197"/>
      <c r="N679" s="197"/>
      <c r="O679" s="197"/>
      <c r="P679" s="197"/>
      <c r="Q679" s="197"/>
    </row>
    <row r="680" spans="1:17" ht="12.75">
      <c r="A680" s="201" t="s">
        <v>102</v>
      </c>
      <c r="B680" s="197">
        <f>23895</f>
        <v>23895</v>
      </c>
      <c r="C680" s="197">
        <v>0</v>
      </c>
      <c r="D680" s="197"/>
      <c r="E680" s="197"/>
      <c r="F680" s="197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</row>
    <row r="681" spans="1:17" ht="12.75">
      <c r="A681" s="201" t="s">
        <v>103</v>
      </c>
      <c r="B681" s="197"/>
      <c r="C681" s="197"/>
      <c r="D681" s="197"/>
      <c r="E681" s="197"/>
      <c r="F681" s="197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</row>
    <row r="682" spans="1:17" ht="12.75">
      <c r="A682" s="200" t="s">
        <v>104</v>
      </c>
      <c r="B682" s="196">
        <f>+B683+B684+B685</f>
        <v>217679</v>
      </c>
      <c r="C682" s="196">
        <f aca="true" t="shared" si="370" ref="C682:Q682">+C683+C684+C685</f>
        <v>198750</v>
      </c>
      <c r="D682" s="196">
        <f t="shared" si="370"/>
        <v>204714</v>
      </c>
      <c r="E682" s="196">
        <f t="shared" si="370"/>
        <v>210855</v>
      </c>
      <c r="F682" s="196">
        <f t="shared" si="370"/>
        <v>217181</v>
      </c>
      <c r="G682" s="196"/>
      <c r="H682" s="196">
        <f t="shared" si="370"/>
        <v>223696</v>
      </c>
      <c r="I682" s="196">
        <f t="shared" si="370"/>
        <v>0</v>
      </c>
      <c r="J682" s="196">
        <f t="shared" si="370"/>
        <v>0</v>
      </c>
      <c r="K682" s="196">
        <f t="shared" si="370"/>
        <v>0</v>
      </c>
      <c r="L682" s="196">
        <f t="shared" si="370"/>
        <v>0</v>
      </c>
      <c r="M682" s="196">
        <f t="shared" si="370"/>
        <v>0</v>
      </c>
      <c r="N682" s="196">
        <f t="shared" si="370"/>
        <v>0</v>
      </c>
      <c r="O682" s="196">
        <f t="shared" si="370"/>
        <v>0</v>
      </c>
      <c r="P682" s="196">
        <f t="shared" si="370"/>
        <v>0</v>
      </c>
      <c r="Q682" s="196">
        <f t="shared" si="370"/>
        <v>0</v>
      </c>
    </row>
    <row r="683" spans="1:17" ht="12.75">
      <c r="A683" s="201" t="s">
        <v>100</v>
      </c>
      <c r="B683" s="197">
        <f>9852+6818</f>
        <v>16670</v>
      </c>
      <c r="C683" s="197"/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</row>
    <row r="684" spans="1:17" ht="12.75">
      <c r="A684" s="201" t="s">
        <v>101</v>
      </c>
      <c r="B684" s="197">
        <v>2258</v>
      </c>
      <c r="C684" s="197"/>
      <c r="D684" s="197"/>
      <c r="E684" s="197"/>
      <c r="F684" s="197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</row>
    <row r="685" spans="1:17" ht="13.5" thickBot="1">
      <c r="A685" s="203" t="s">
        <v>102</v>
      </c>
      <c r="B685" s="204">
        <v>198751</v>
      </c>
      <c r="C685" s="204">
        <v>198750</v>
      </c>
      <c r="D685" s="204">
        <v>204714</v>
      </c>
      <c r="E685" s="204">
        <v>210855</v>
      </c>
      <c r="F685" s="204">
        <v>217181</v>
      </c>
      <c r="G685" s="204"/>
      <c r="H685" s="204">
        <v>223696</v>
      </c>
      <c r="I685" s="204"/>
      <c r="J685" s="204"/>
      <c r="K685" s="204"/>
      <c r="L685" s="204"/>
      <c r="M685" s="204"/>
      <c r="N685" s="204"/>
      <c r="O685" s="204"/>
      <c r="P685" s="204"/>
      <c r="Q685" s="204"/>
    </row>
    <row r="686" spans="1:17" ht="12.75">
      <c r="A686" s="205" t="str">
        <f aca="true" t="shared" si="371" ref="A686:Q689">A699</f>
        <v>ORGANISMOS DE CONTROL</v>
      </c>
      <c r="B686" s="205">
        <f t="shared" si="371"/>
        <v>268672</v>
      </c>
      <c r="C686" s="205">
        <f t="shared" si="371"/>
        <v>320852</v>
      </c>
      <c r="D686" s="205">
        <f t="shared" si="371"/>
        <v>345096</v>
      </c>
      <c r="E686" s="205">
        <f t="shared" si="371"/>
        <v>370785</v>
      </c>
      <c r="F686" s="205">
        <f t="shared" si="371"/>
        <v>398594</v>
      </c>
      <c r="G686" s="205"/>
      <c r="H686" s="205">
        <f t="shared" si="371"/>
        <v>428488</v>
      </c>
      <c r="I686" s="205">
        <f t="shared" si="371"/>
        <v>0</v>
      </c>
      <c r="J686" s="205">
        <f t="shared" si="371"/>
        <v>0</v>
      </c>
      <c r="K686" s="205">
        <f t="shared" si="371"/>
        <v>0</v>
      </c>
      <c r="L686" s="205">
        <f t="shared" si="371"/>
        <v>0</v>
      </c>
      <c r="M686" s="205">
        <f t="shared" si="371"/>
        <v>0</v>
      </c>
      <c r="N686" s="205">
        <f t="shared" si="371"/>
        <v>0</v>
      </c>
      <c r="O686" s="205">
        <f t="shared" si="371"/>
        <v>0</v>
      </c>
      <c r="P686" s="205">
        <f t="shared" si="371"/>
        <v>0</v>
      </c>
      <c r="Q686" s="205">
        <f t="shared" si="371"/>
        <v>0</v>
      </c>
    </row>
    <row r="687" spans="1:17" ht="12.75">
      <c r="A687" s="205" t="str">
        <f t="shared" si="371"/>
        <v>Transferencias a Concejo</v>
      </c>
      <c r="B687" s="205">
        <f t="shared" si="371"/>
        <v>200652</v>
      </c>
      <c r="C687" s="205">
        <f t="shared" si="371"/>
        <v>248071</v>
      </c>
      <c r="D687" s="205">
        <f t="shared" si="371"/>
        <v>266676</v>
      </c>
      <c r="E687" s="205">
        <f t="shared" si="371"/>
        <v>286677</v>
      </c>
      <c r="F687" s="205">
        <f t="shared" si="371"/>
        <v>308178</v>
      </c>
      <c r="G687" s="205"/>
      <c r="H687" s="205">
        <f t="shared" si="371"/>
        <v>331291</v>
      </c>
      <c r="I687" s="205">
        <f t="shared" si="371"/>
        <v>0</v>
      </c>
      <c r="J687" s="205">
        <f t="shared" si="371"/>
        <v>0</v>
      </c>
      <c r="K687" s="205">
        <f t="shared" si="371"/>
        <v>0</v>
      </c>
      <c r="L687" s="205">
        <f t="shared" si="371"/>
        <v>0</v>
      </c>
      <c r="M687" s="205">
        <f t="shared" si="371"/>
        <v>0</v>
      </c>
      <c r="N687" s="205">
        <f t="shared" si="371"/>
        <v>0</v>
      </c>
      <c r="O687" s="205">
        <f t="shared" si="371"/>
        <v>0</v>
      </c>
      <c r="P687" s="205">
        <f t="shared" si="371"/>
        <v>0</v>
      </c>
      <c r="Q687" s="205">
        <f t="shared" si="371"/>
        <v>0</v>
      </c>
    </row>
    <row r="688" spans="1:17" ht="12.75">
      <c r="A688" s="205" t="str">
        <f t="shared" si="371"/>
        <v>Transferencias a Contraloría </v>
      </c>
      <c r="B688" s="205">
        <f t="shared" si="371"/>
        <v>0</v>
      </c>
      <c r="C688" s="205">
        <f t="shared" si="371"/>
        <v>0</v>
      </c>
      <c r="D688" s="205">
        <f t="shared" si="371"/>
        <v>0</v>
      </c>
      <c r="E688" s="205">
        <f t="shared" si="371"/>
        <v>0</v>
      </c>
      <c r="F688" s="205">
        <f t="shared" si="371"/>
        <v>0</v>
      </c>
      <c r="G688" s="205"/>
      <c r="H688" s="205">
        <f t="shared" si="371"/>
        <v>0</v>
      </c>
      <c r="I688" s="205">
        <f t="shared" si="371"/>
        <v>0</v>
      </c>
      <c r="J688" s="205">
        <f t="shared" si="371"/>
        <v>0</v>
      </c>
      <c r="K688" s="205">
        <f t="shared" si="371"/>
        <v>0</v>
      </c>
      <c r="L688" s="205">
        <f t="shared" si="371"/>
        <v>0</v>
      </c>
      <c r="M688" s="205">
        <f t="shared" si="371"/>
        <v>0</v>
      </c>
      <c r="N688" s="205">
        <f t="shared" si="371"/>
        <v>0</v>
      </c>
      <c r="O688" s="205">
        <f t="shared" si="371"/>
        <v>0</v>
      </c>
      <c r="P688" s="205">
        <f t="shared" si="371"/>
        <v>0</v>
      </c>
      <c r="Q688" s="205">
        <f t="shared" si="371"/>
        <v>0</v>
      </c>
    </row>
    <row r="689" spans="1:17" ht="12.75">
      <c r="A689" s="205" t="str">
        <f t="shared" si="371"/>
        <v>Transferencias a Personería</v>
      </c>
      <c r="B689" s="205">
        <f t="shared" si="371"/>
        <v>68020</v>
      </c>
      <c r="C689" s="205">
        <f t="shared" si="371"/>
        <v>72781</v>
      </c>
      <c r="D689" s="205">
        <f t="shared" si="371"/>
        <v>78420</v>
      </c>
      <c r="E689" s="205">
        <f t="shared" si="371"/>
        <v>84108</v>
      </c>
      <c r="F689" s="205">
        <f t="shared" si="371"/>
        <v>90416</v>
      </c>
      <c r="G689" s="205"/>
      <c r="H689" s="205">
        <f t="shared" si="371"/>
        <v>97197</v>
      </c>
      <c r="I689" s="205">
        <f t="shared" si="371"/>
        <v>0</v>
      </c>
      <c r="J689" s="205">
        <f t="shared" si="371"/>
        <v>0</v>
      </c>
      <c r="K689" s="205">
        <f t="shared" si="371"/>
        <v>0</v>
      </c>
      <c r="L689" s="205">
        <f t="shared" si="371"/>
        <v>0</v>
      </c>
      <c r="M689" s="205">
        <f t="shared" si="371"/>
        <v>0</v>
      </c>
      <c r="N689" s="205">
        <f t="shared" si="371"/>
        <v>0</v>
      </c>
      <c r="O689" s="205">
        <f t="shared" si="371"/>
        <v>0</v>
      </c>
      <c r="P689" s="205">
        <f t="shared" si="371"/>
        <v>0</v>
      </c>
      <c r="Q689" s="205">
        <f t="shared" si="371"/>
        <v>0</v>
      </c>
    </row>
    <row r="690" spans="1:17" ht="12.75">
      <c r="A690" s="205">
        <f aca="true" t="shared" si="372" ref="A690:Q691">A707</f>
        <v>0</v>
      </c>
      <c r="B690" s="205">
        <f t="shared" si="372"/>
        <v>0</v>
      </c>
      <c r="C690" s="205">
        <f t="shared" si="372"/>
        <v>0</v>
      </c>
      <c r="D690" s="205">
        <f t="shared" si="372"/>
        <v>0</v>
      </c>
      <c r="E690" s="205">
        <f t="shared" si="372"/>
        <v>0</v>
      </c>
      <c r="F690" s="205">
        <f t="shared" si="372"/>
        <v>0</v>
      </c>
      <c r="G690" s="205"/>
      <c r="H690" s="205">
        <f t="shared" si="372"/>
        <v>0</v>
      </c>
      <c r="I690" s="205">
        <f t="shared" si="372"/>
        <v>0</v>
      </c>
      <c r="J690" s="205">
        <f t="shared" si="372"/>
        <v>0</v>
      </c>
      <c r="K690" s="205">
        <f t="shared" si="372"/>
        <v>0</v>
      </c>
      <c r="L690" s="205">
        <f t="shared" si="372"/>
        <v>0</v>
      </c>
      <c r="M690" s="205">
        <f t="shared" si="372"/>
        <v>0</v>
      </c>
      <c r="N690" s="205">
        <f t="shared" si="372"/>
        <v>0</v>
      </c>
      <c r="O690" s="205">
        <f t="shared" si="372"/>
        <v>0</v>
      </c>
      <c r="P690" s="205">
        <f t="shared" si="372"/>
        <v>0</v>
      </c>
      <c r="Q690" s="205">
        <f t="shared" si="372"/>
        <v>0</v>
      </c>
    </row>
    <row r="691" spans="1:17" ht="12.75">
      <c r="A691" s="205">
        <f t="shared" si="372"/>
        <v>0</v>
      </c>
      <c r="B691" s="205">
        <f t="shared" si="372"/>
        <v>0</v>
      </c>
      <c r="C691" s="205">
        <f t="shared" si="372"/>
        <v>0</v>
      </c>
      <c r="D691" s="205">
        <f t="shared" si="372"/>
        <v>0</v>
      </c>
      <c r="E691" s="205">
        <f t="shared" si="372"/>
        <v>0</v>
      </c>
      <c r="F691" s="205">
        <f t="shared" si="372"/>
        <v>0</v>
      </c>
      <c r="G691" s="205"/>
      <c r="H691" s="205">
        <f t="shared" si="372"/>
        <v>0</v>
      </c>
      <c r="I691" s="205">
        <f t="shared" si="372"/>
        <v>0</v>
      </c>
      <c r="J691" s="205">
        <f t="shared" si="372"/>
        <v>0</v>
      </c>
      <c r="K691" s="205">
        <f t="shared" si="372"/>
        <v>0</v>
      </c>
      <c r="L691" s="205">
        <f t="shared" si="372"/>
        <v>0</v>
      </c>
      <c r="M691" s="205">
        <f t="shared" si="372"/>
        <v>0</v>
      </c>
      <c r="N691" s="205">
        <f t="shared" si="372"/>
        <v>0</v>
      </c>
      <c r="O691" s="205">
        <f t="shared" si="372"/>
        <v>0</v>
      </c>
      <c r="P691" s="205">
        <f t="shared" si="372"/>
        <v>0</v>
      </c>
      <c r="Q691" s="205">
        <f t="shared" si="372"/>
        <v>0</v>
      </c>
    </row>
    <row r="692" spans="1:17" ht="12.75">
      <c r="A692" s="206"/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  <c r="N692" s="207"/>
      <c r="O692" s="207"/>
      <c r="P692" s="207"/>
      <c r="Q692" s="207"/>
    </row>
    <row r="693" spans="1:17" ht="12.75">
      <c r="A693" s="208"/>
      <c r="B693" s="209"/>
      <c r="C693" s="209"/>
      <c r="D693" s="209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</row>
    <row r="694" spans="1:17" ht="12.75">
      <c r="A694" s="210"/>
      <c r="B694" s="211"/>
      <c r="C694" s="211"/>
      <c r="D694" s="211"/>
      <c r="E694" s="211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</row>
    <row r="695" spans="1:17" ht="13.5" thickBot="1">
      <c r="A695" s="210"/>
      <c r="B695" s="211"/>
      <c r="C695" s="211"/>
      <c r="D695" s="211"/>
      <c r="E695" s="211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</row>
    <row r="696" spans="1:17" ht="63.75">
      <c r="A696" s="212" t="s">
        <v>105</v>
      </c>
      <c r="B696" s="213" t="s">
        <v>106</v>
      </c>
      <c r="C696" s="213" t="s">
        <v>106</v>
      </c>
      <c r="D696" s="213" t="s">
        <v>107</v>
      </c>
      <c r="E696" s="213" t="s">
        <v>108</v>
      </c>
      <c r="F696" s="213" t="s">
        <v>109</v>
      </c>
      <c r="G696" s="213"/>
      <c r="H696" s="213" t="s">
        <v>110</v>
      </c>
      <c r="I696" s="213" t="s">
        <v>111</v>
      </c>
      <c r="J696" s="213" t="s">
        <v>112</v>
      </c>
      <c r="K696" s="213" t="s">
        <v>113</v>
      </c>
      <c r="L696" s="213" t="s">
        <v>114</v>
      </c>
      <c r="M696" s="213" t="s">
        <v>115</v>
      </c>
      <c r="N696" s="213" t="s">
        <v>116</v>
      </c>
      <c r="O696" s="213" t="s">
        <v>117</v>
      </c>
      <c r="P696" s="213" t="s">
        <v>118</v>
      </c>
      <c r="Q696" s="213" t="s">
        <v>119</v>
      </c>
    </row>
    <row r="697" spans="1:17" ht="12.75">
      <c r="A697" s="214"/>
      <c r="B697" s="215" t="s">
        <v>120</v>
      </c>
      <c r="C697" s="215" t="s">
        <v>120</v>
      </c>
      <c r="D697" s="215" t="s">
        <v>120</v>
      </c>
      <c r="E697" s="215" t="s">
        <v>120</v>
      </c>
      <c r="F697" s="215" t="s">
        <v>120</v>
      </c>
      <c r="G697" s="215"/>
      <c r="H697" s="215" t="s">
        <v>120</v>
      </c>
      <c r="I697" s="215" t="s">
        <v>120</v>
      </c>
      <c r="J697" s="215" t="s">
        <v>120</v>
      </c>
      <c r="K697" s="215" t="s">
        <v>120</v>
      </c>
      <c r="L697" s="215" t="s">
        <v>120</v>
      </c>
      <c r="M697" s="215" t="s">
        <v>120</v>
      </c>
      <c r="N697" s="215" t="s">
        <v>120</v>
      </c>
      <c r="O697" s="215" t="s">
        <v>120</v>
      </c>
      <c r="P697" s="215" t="s">
        <v>120</v>
      </c>
      <c r="Q697" s="215" t="s">
        <v>120</v>
      </c>
    </row>
    <row r="698" spans="1:17" ht="13.5" thickBot="1">
      <c r="A698" s="214"/>
      <c r="B698" s="216"/>
      <c r="C698" s="216"/>
      <c r="D698" s="216"/>
      <c r="E698" s="216"/>
      <c r="F698" s="216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</row>
    <row r="699" spans="1:17" ht="12.75">
      <c r="A699" s="217" t="s">
        <v>121</v>
      </c>
      <c r="B699" s="218">
        <f>SUM(B700:B702)</f>
        <v>268672</v>
      </c>
      <c r="C699" s="218">
        <f aca="true" t="shared" si="373" ref="C699:Q699">SUM(C700:C702)</f>
        <v>320852</v>
      </c>
      <c r="D699" s="218">
        <f t="shared" si="373"/>
        <v>345096</v>
      </c>
      <c r="E699" s="218">
        <f t="shared" si="373"/>
        <v>370785</v>
      </c>
      <c r="F699" s="218">
        <f t="shared" si="373"/>
        <v>398594</v>
      </c>
      <c r="G699" s="218"/>
      <c r="H699" s="218">
        <f t="shared" si="373"/>
        <v>428488</v>
      </c>
      <c r="I699" s="218">
        <f t="shared" si="373"/>
        <v>0</v>
      </c>
      <c r="J699" s="218">
        <f t="shared" si="373"/>
        <v>0</v>
      </c>
      <c r="K699" s="218">
        <f t="shared" si="373"/>
        <v>0</v>
      </c>
      <c r="L699" s="218">
        <f t="shared" si="373"/>
        <v>0</v>
      </c>
      <c r="M699" s="218">
        <f t="shared" si="373"/>
        <v>0</v>
      </c>
      <c r="N699" s="218">
        <f t="shared" si="373"/>
        <v>0</v>
      </c>
      <c r="O699" s="218">
        <f t="shared" si="373"/>
        <v>0</v>
      </c>
      <c r="P699" s="218">
        <f t="shared" si="373"/>
        <v>0</v>
      </c>
      <c r="Q699" s="218">
        <f t="shared" si="373"/>
        <v>0</v>
      </c>
    </row>
    <row r="700" spans="1:17" ht="12.75">
      <c r="A700" s="219" t="s">
        <v>122</v>
      </c>
      <c r="B700" s="197">
        <v>200652</v>
      </c>
      <c r="C700" s="220">
        <v>248071</v>
      </c>
      <c r="D700" s="220">
        <v>266676</v>
      </c>
      <c r="E700" s="220">
        <v>286677</v>
      </c>
      <c r="F700" s="220">
        <v>308178</v>
      </c>
      <c r="G700" s="220"/>
      <c r="H700" s="220">
        <v>331291</v>
      </c>
      <c r="I700" s="220"/>
      <c r="J700" s="220"/>
      <c r="K700" s="220"/>
      <c r="L700" s="220"/>
      <c r="M700" s="220"/>
      <c r="N700" s="220"/>
      <c r="O700" s="220"/>
      <c r="P700" s="220"/>
      <c r="Q700" s="220"/>
    </row>
    <row r="701" spans="1:17" ht="12.75">
      <c r="A701" s="219" t="s">
        <v>123</v>
      </c>
      <c r="B701" s="220"/>
      <c r="C701" s="220"/>
      <c r="D701" s="220"/>
      <c r="E701" s="220"/>
      <c r="F701" s="220"/>
      <c r="G701" s="220"/>
      <c r="H701" s="220"/>
      <c r="I701" s="220"/>
      <c r="J701" s="220"/>
      <c r="K701" s="220"/>
      <c r="L701" s="220"/>
      <c r="M701" s="220"/>
      <c r="N701" s="220"/>
      <c r="O701" s="220"/>
      <c r="P701" s="220"/>
      <c r="Q701" s="220"/>
    </row>
    <row r="702" spans="1:17" ht="13.5" thickBot="1">
      <c r="A702" s="221" t="s">
        <v>124</v>
      </c>
      <c r="B702" s="222">
        <v>68020</v>
      </c>
      <c r="C702" s="222">
        <v>72781</v>
      </c>
      <c r="D702" s="222">
        <v>78420</v>
      </c>
      <c r="E702" s="222">
        <v>84108</v>
      </c>
      <c r="F702" s="222">
        <v>90416</v>
      </c>
      <c r="G702" s="222"/>
      <c r="H702" s="222">
        <v>97197</v>
      </c>
      <c r="I702" s="222"/>
      <c r="J702" s="222"/>
      <c r="K702" s="222"/>
      <c r="L702" s="222"/>
      <c r="M702" s="222"/>
      <c r="N702" s="222"/>
      <c r="O702" s="222"/>
      <c r="P702" s="222"/>
      <c r="Q702" s="22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microsoft</dc:creator>
  <cp:keywords/>
  <dc:description/>
  <cp:lastModifiedBy>usraulas</cp:lastModifiedBy>
  <cp:lastPrinted>2005-04-04T19:43:13Z</cp:lastPrinted>
  <dcterms:created xsi:type="dcterms:W3CDTF">2005-02-16T06:11:28Z</dcterms:created>
  <dcterms:modified xsi:type="dcterms:W3CDTF">2005-06-02T22:32:44Z</dcterms:modified>
  <cp:category/>
  <cp:version/>
  <cp:contentType/>
  <cp:contentStatus/>
</cp:coreProperties>
</file>