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E3"/>
  <workbookPr/>
  <bookViews>
    <workbookView xWindow="65521" yWindow="65521" windowWidth="4800" windowHeight="3090" firstSheet="7" activeTab="8"/>
  </bookViews>
  <sheets>
    <sheet name="ING. GRES MENSUALES VIG. 1999" sheetId="1" r:id="rId1"/>
    <sheet name="INGR. Y EGRE SEC CENT" sheetId="2" r:id="rId2"/>
    <sheet name="RESERVAS1" sheetId="3" state="hidden" r:id="rId3"/>
    <sheet name="INGRESOS MENSUALES VIG. 1.998" sheetId="4" r:id="rId4"/>
    <sheet name="PLANTA" sheetId="5" r:id="rId5"/>
    <sheet name="DEUDA" sheetId="6" r:id="rId6"/>
    <sheet name="PROYECCIONES SIN PLAN DESEMPE." sheetId="7" r:id="rId7"/>
    <sheet name="PROYECCIONES CON PLAN DESEMPE." sheetId="8" r:id="rId8"/>
    <sheet name="INDICADORES SIN PLAN" sheetId="9" r:id="rId9"/>
    <sheet name="INDICADORES CON PLAN" sheetId="10" r:id="rId10"/>
    <sheet name="ACTIVO Y PASIVO" sheetId="11" r:id="rId11"/>
    <sheet name="BALANCE FINANCIERO SIN PLAN" sheetId="12" r:id="rId12"/>
    <sheet name="BALANCE FINANCIERO CON PLAN" sheetId="13" r:id="rId13"/>
    <sheet name="MATRIZ SEGUIMIENTO" sheetId="14" r:id="rId14"/>
  </sheets>
  <definedNames>
    <definedName name="_xlnm.Print_Area" localSheetId="11">'BALANCE FINANCIERO SIN PLAN'!#REF!</definedName>
    <definedName name="_xlnm.Print_Area" localSheetId="5">'DEUDA'!$A$1:$Z$88</definedName>
    <definedName name="_xlnm.Print_Area" localSheetId="9">'INDICADORES CON PLAN'!$A$1:$I$46</definedName>
    <definedName name="_xlnm.Print_Area" localSheetId="8">'INDICADORES SIN PLAN'!$A$1:$I$46</definedName>
    <definedName name="_xlnm.Print_Area" localSheetId="1">'INGR. Y EGRE SEC CENT'!$A$1:$H$170</definedName>
    <definedName name="_xlnm.Print_Area" localSheetId="3">'INGRESOS MENSUALES VIG. 1.998'!$A$1:$N$82</definedName>
    <definedName name="_xlnm.Print_Area" localSheetId="13">'MATRIZ SEGUIMIENTO'!$A$1:$J$114</definedName>
    <definedName name="_xlnm.Print_Area" localSheetId="4">'PLANTA'!$A$2:$AE$60</definedName>
    <definedName name="_xlnm.Print_Area" localSheetId="7">'PROYECCIONES CON PLAN DESEMPE.'!#REF!</definedName>
    <definedName name="_xlnm.Print_Area" localSheetId="2">'RESERVAS1'!$A$83:$H$167</definedName>
  </definedNames>
  <calcPr fullCalcOnLoad="1"/>
</workbook>
</file>

<file path=xl/comments2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RECOEMDACIONES.:
1.- LEER EL ISNTRUCTIVO ADJUNTO EN EL ARCHIVO DE WORD.
2.- CUALQUIER INQUIETUD COMUNICARSE A LA DAF
3.- ITRODUCIR CIFRAS EN MILLONES DE PESOSPOR EJEMPLO: 1.249,00 CORRESPONDE A UN MIL DOSCIENTOS CUARENTA Y NUEVE MILLONES DE PESOS.</t>
        </r>
      </text>
    </comment>
  </commentList>
</comments>
</file>

<file path=xl/sharedStrings.xml><?xml version="1.0" encoding="utf-8"?>
<sst xmlns="http://schemas.openxmlformats.org/spreadsheetml/2006/main" count="1024" uniqueCount="688">
  <si>
    <t>FORMATO No. 3A</t>
  </si>
  <si>
    <r>
      <t xml:space="preserve">MUNICIPIO  DE : </t>
    </r>
    <r>
      <rPr>
        <b/>
        <u val="single"/>
        <sz val="10"/>
        <color indexed="8"/>
        <rFont val="Arial"/>
        <family val="2"/>
      </rPr>
      <t xml:space="preserve">                </t>
    </r>
  </si>
  <si>
    <t>CATEGORIA:</t>
  </si>
  <si>
    <t xml:space="preserve">INGRESOS MENSUALES DEL SECTOR CENTRAL 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</si>
  <si>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</si>
  <si>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</si>
  <si>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</si>
  <si>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</si>
  <si>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</si>
  <si>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</si>
  <si>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</si>
  <si>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</si>
  <si>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</si>
  <si>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</si>
  <si>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</si>
  <si>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</si>
  <si>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</si>
  <si>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EJECUCIONES MENSUALES 1.998 (RECAUDOS EFECTIVOS)</t>
  </si>
  <si>
    <t>CONTINUACION MATRIZ DE SEGUIMIENTO DEL PLAN DE DESEMPEÑO</t>
  </si>
  <si>
    <t>(1)</t>
  </si>
  <si>
    <t>Incorpora la autorización a que se refiere la Ley 140 de 1.994 sobre Publicidad Exterior Visual</t>
  </si>
  <si>
    <t xml:space="preserve"> </t>
  </si>
  <si>
    <t>FORMATO No. 1</t>
  </si>
  <si>
    <t xml:space="preserve">INGRESOS DEL SECTOR CENTRAL </t>
  </si>
  <si>
    <t>EJECUCIONES</t>
  </si>
  <si>
    <t>VIGENCIA 1.998</t>
  </si>
  <si>
    <t>Presupuesto 1998</t>
  </si>
  <si>
    <t>Proyec. Año Completo/98</t>
  </si>
  <si>
    <t>INGRESOS TOTALES</t>
  </si>
  <si>
    <t>INGRESOS CORRIENTES</t>
  </si>
  <si>
    <t>1.1.1</t>
  </si>
  <si>
    <t>INGRESOS TRIBUTARIOS</t>
  </si>
  <si>
    <t>1.1.1.1</t>
  </si>
  <si>
    <t>Predial Unificado</t>
  </si>
  <si>
    <t>1.1.1.2</t>
  </si>
  <si>
    <t>Industria y comercio</t>
  </si>
  <si>
    <t>1.1.1.3</t>
  </si>
  <si>
    <t>Circulación y Transito</t>
  </si>
  <si>
    <t>1.1.1.4</t>
  </si>
  <si>
    <t xml:space="preserve">Avisos y Tableros </t>
  </si>
  <si>
    <t>1.1.1.5</t>
  </si>
  <si>
    <t>1.1.1.6</t>
  </si>
  <si>
    <t>Espectáculos Públicos</t>
  </si>
  <si>
    <t>1.1.1.7</t>
  </si>
  <si>
    <t>1.1.1.8</t>
  </si>
  <si>
    <t>Delineación Urbana</t>
  </si>
  <si>
    <t>1.1.1.9</t>
  </si>
  <si>
    <t>Degüello de Ganado Menor</t>
  </si>
  <si>
    <t>1.1.1.10</t>
  </si>
  <si>
    <t>Sobretasa a la Gasolina</t>
  </si>
  <si>
    <t>1.1.1.11</t>
  </si>
  <si>
    <t>Ocupación de Vías</t>
  </si>
  <si>
    <t>1.1.1.12</t>
  </si>
  <si>
    <t>Extracción de Arena Cascajo y Otros</t>
  </si>
  <si>
    <t>1.1.1.13</t>
  </si>
  <si>
    <t>1.1.1.14</t>
  </si>
  <si>
    <t>1.1.1.15</t>
  </si>
  <si>
    <t>Registro de Patentes, Marcas y Herretes</t>
  </si>
  <si>
    <t>1.1.1.16</t>
  </si>
  <si>
    <t>Otros Tributarios :</t>
  </si>
  <si>
    <t>1.1.1.16.1</t>
  </si>
  <si>
    <t>1.1.1.16.2</t>
  </si>
  <si>
    <t>MOVILIZACION DE GANADO</t>
  </si>
  <si>
    <t>1.1.1.16.3</t>
  </si>
  <si>
    <t>Otros</t>
  </si>
  <si>
    <t>1.1.2</t>
  </si>
  <si>
    <t>INGRESOS NO TRIBUTARIOS</t>
  </si>
  <si>
    <t>1.1.2.1</t>
  </si>
  <si>
    <t>1.1.2.2</t>
  </si>
  <si>
    <t>1.1.2.3</t>
  </si>
  <si>
    <t>1.1.2.4</t>
  </si>
  <si>
    <t>1.1.2.5</t>
  </si>
  <si>
    <t>Arrendamientos o Alquileres</t>
  </si>
  <si>
    <t>1.1.2.6</t>
  </si>
  <si>
    <t>1.1.2.7</t>
  </si>
  <si>
    <t>1.1.2.8</t>
  </si>
  <si>
    <t>1.1.2.9</t>
  </si>
  <si>
    <t>Otros Ingresos No Tributarios</t>
  </si>
  <si>
    <t>1.1.2.9.1</t>
  </si>
  <si>
    <t>1.1.2.9.2</t>
  </si>
  <si>
    <t>1.1.2.9.3</t>
  </si>
  <si>
    <t xml:space="preserve">Otros </t>
  </si>
  <si>
    <t>1.1.3</t>
  </si>
  <si>
    <t>TRANSFERENCIAS</t>
  </si>
  <si>
    <t>1.1.3.1</t>
  </si>
  <si>
    <t>Por Situado Fiscal</t>
  </si>
  <si>
    <t>1.1.3.1.1</t>
  </si>
  <si>
    <t>Situado Fiscal Educación</t>
  </si>
  <si>
    <t>1.1.3.1.2</t>
  </si>
  <si>
    <t>Situado Fiscal Salud</t>
  </si>
  <si>
    <t>1.1.3.2</t>
  </si>
  <si>
    <t>Por Participación en Ingresos Corrientes de la Nación</t>
  </si>
  <si>
    <t>1.1.3.2.1</t>
  </si>
  <si>
    <t>ICN. de Inversión Forzosa</t>
  </si>
  <si>
    <t>1.1.3.2.2</t>
  </si>
  <si>
    <t>ICN. de Libre Destinación</t>
  </si>
  <si>
    <t>1.1.3.3.3</t>
  </si>
  <si>
    <t>Otras Transferencias :</t>
  </si>
  <si>
    <t>1.1.3.3.3.1</t>
  </si>
  <si>
    <t>Recibidas De la Nación</t>
  </si>
  <si>
    <t>1.1.3.3.3.2</t>
  </si>
  <si>
    <t>Recibidas Del Departamento</t>
  </si>
  <si>
    <t>1.1.3.3.3.3</t>
  </si>
  <si>
    <t xml:space="preserve">Recibidas de Otras Entidades </t>
  </si>
  <si>
    <t>1.1.3.3.3.4</t>
  </si>
  <si>
    <t>Otras</t>
  </si>
  <si>
    <t>RECURSOS  DE CAPITAL</t>
  </si>
  <si>
    <t>1.2.1</t>
  </si>
  <si>
    <t>Recursos del Balance</t>
  </si>
  <si>
    <t>1.2.1.1</t>
  </si>
  <si>
    <t>Superávit</t>
  </si>
  <si>
    <t>1.2.1.2</t>
  </si>
  <si>
    <t>Cancelación de Reservas</t>
  </si>
  <si>
    <t>1.2.1.3</t>
  </si>
  <si>
    <t>1.2.2</t>
  </si>
  <si>
    <t>Recursos de Cofinanciación</t>
  </si>
  <si>
    <t>1.2.2.1</t>
  </si>
  <si>
    <t>Recursos del FIS, DRI, FIU y FCV.</t>
  </si>
  <si>
    <t>1.2.2.2</t>
  </si>
  <si>
    <t>Fondo Nacional de Regalías</t>
  </si>
  <si>
    <t>1.2.2.3</t>
  </si>
  <si>
    <t>Otros recursos de Cofinanciación</t>
  </si>
  <si>
    <t>1.2.3</t>
  </si>
  <si>
    <t>Donaciones</t>
  </si>
  <si>
    <t>1.2.4</t>
  </si>
  <si>
    <t>Regalías</t>
  </si>
  <si>
    <t>1.2.4.1</t>
  </si>
  <si>
    <t>Anticipos de Regalías</t>
  </si>
  <si>
    <t>1.2.4.2</t>
  </si>
  <si>
    <t>Regalías Petroleras</t>
  </si>
  <si>
    <t>1.2.4.3</t>
  </si>
  <si>
    <t>Regalías Carboníferas</t>
  </si>
  <si>
    <t>1.2.4.4</t>
  </si>
  <si>
    <t>Regalías por Gas</t>
  </si>
  <si>
    <t>1.2.4.5</t>
  </si>
  <si>
    <t>Otras Regalías :</t>
  </si>
  <si>
    <t>1.2.5</t>
  </si>
  <si>
    <t>Recursos del Crédito (DESEMBOLSOS)</t>
  </si>
  <si>
    <t>1.2.5.1</t>
  </si>
  <si>
    <t>Desembolsos Crédito Interno</t>
  </si>
  <si>
    <t>1.2.5.2</t>
  </si>
  <si>
    <t>Desembolsos Crédito Externo</t>
  </si>
  <si>
    <t>1.2.6</t>
  </si>
  <si>
    <t>Rendimientos Financieros</t>
  </si>
  <si>
    <t>1.2.7</t>
  </si>
  <si>
    <t>Excedentes Financieros Ent. Descentralizadas</t>
  </si>
  <si>
    <t>1.2.8</t>
  </si>
  <si>
    <t>Venta de Activos</t>
  </si>
  <si>
    <t>1.2.9</t>
  </si>
  <si>
    <t>Otros Recursos de Capital</t>
  </si>
  <si>
    <t>1.2.9.1</t>
  </si>
  <si>
    <t>Recurso de Capital</t>
  </si>
  <si>
    <t>1.2.9.2</t>
  </si>
  <si>
    <t>1.2.9.3</t>
  </si>
  <si>
    <t xml:space="preserve">FIRMA REPRESENTANTE LEGAL: </t>
  </si>
  <si>
    <t>LUIS ANTONIO TORRES ARAUJO</t>
  </si>
  <si>
    <t>FORMATO No. 2</t>
  </si>
  <si>
    <t>MUNICIPIO DE:</t>
  </si>
  <si>
    <t xml:space="preserve">GASTOS DEL SECTOR CENTRAL </t>
  </si>
  <si>
    <t>EJECUCIONES PRESUPUESTALES (CAUSACION DE GASTOS)</t>
  </si>
  <si>
    <t>Ejecución a:  MES</t>
  </si>
  <si>
    <t>TOTAL GASTOS</t>
  </si>
  <si>
    <t>GASTOS DE FUNCIONAMIENTO</t>
  </si>
  <si>
    <t>2.1.1</t>
  </si>
  <si>
    <t>GASTOS DE PERSONAL</t>
  </si>
  <si>
    <t>2.1.1.1</t>
  </si>
  <si>
    <t>Servicios Personales Asociados a la Nomina</t>
  </si>
  <si>
    <t>2.1.1.1.1</t>
  </si>
  <si>
    <t>Empleados Públicos</t>
  </si>
  <si>
    <t>2.1.1.1.1.1</t>
  </si>
  <si>
    <t>Educadores</t>
  </si>
  <si>
    <t>2.1.1.1.1.1.1</t>
  </si>
  <si>
    <t>Educadores Financiados con Ingresos Corrientes de la Nación</t>
  </si>
  <si>
    <t>2.1.1.1.1.1.2</t>
  </si>
  <si>
    <t>Educadores Financiados con Situado Fiscal</t>
  </si>
  <si>
    <t>2.1.1.1.1.1.3</t>
  </si>
  <si>
    <t>Educadores Financiados con Otros Recursos</t>
  </si>
  <si>
    <t>2.1.1.1.1.2</t>
  </si>
  <si>
    <t>Médicos, Enfermeros(as) y Promotores de la Salud</t>
  </si>
  <si>
    <t>2.1.1.1.1.3</t>
  </si>
  <si>
    <t>Resto de Empleados Públicos</t>
  </si>
  <si>
    <t>2.1.1.1.2</t>
  </si>
  <si>
    <t>Trabajadores Oficiales</t>
  </si>
  <si>
    <t>2.1.1.2</t>
  </si>
  <si>
    <t xml:space="preserve">Servicios Personales Indirectos </t>
  </si>
  <si>
    <t>2.1.1.2.1</t>
  </si>
  <si>
    <t>Supernumerarios</t>
  </si>
  <si>
    <t>2.1.1.2.2</t>
  </si>
  <si>
    <t>Contratos de Prestación de Servicios</t>
  </si>
  <si>
    <t>2.1.1.3</t>
  </si>
  <si>
    <t>Contribuciones inherentes a la nomina :</t>
  </si>
  <si>
    <t>2.1.1.3.1</t>
  </si>
  <si>
    <t>Previsión Social</t>
  </si>
  <si>
    <t>2.1.1.3.1.1</t>
  </si>
  <si>
    <t>2.1.1.3.1.1.1</t>
  </si>
  <si>
    <t>2.1.1.3.1.1.2</t>
  </si>
  <si>
    <t>2.1.1.3.1.1.3</t>
  </si>
  <si>
    <t>2.1.1.3.1.2</t>
  </si>
  <si>
    <t>2.1.1.3.1.3</t>
  </si>
  <si>
    <t>2.1.1.3.2</t>
  </si>
  <si>
    <t>Aportes Legales (Sena, ICBF, Cajas Compensación, etc)</t>
  </si>
  <si>
    <t>2.1.1.4</t>
  </si>
  <si>
    <t>Planes de Retiro</t>
  </si>
  <si>
    <t>2.1.2</t>
  </si>
  <si>
    <t>GASTOS GENERALES</t>
  </si>
  <si>
    <t>2.1.2.1</t>
  </si>
  <si>
    <t>Adquisición de Bienes y Servicios</t>
  </si>
  <si>
    <t>2.1.2.2</t>
  </si>
  <si>
    <t xml:space="preserve">Impuestos y  Multas </t>
  </si>
  <si>
    <t>2.1.2.3</t>
  </si>
  <si>
    <t xml:space="preserve">Otros Gastos Generales </t>
  </si>
  <si>
    <t>2.1.3</t>
  </si>
  <si>
    <t>TRANSFERENCIAS DEL MUNICIPIO</t>
  </si>
  <si>
    <t>2.1.3.1</t>
  </si>
  <si>
    <t>Transferencias al Sector Público</t>
  </si>
  <si>
    <t>2.1.3.1.1</t>
  </si>
  <si>
    <t>Concejo</t>
  </si>
  <si>
    <t>2.1.3.1.2</t>
  </si>
  <si>
    <t>Personería</t>
  </si>
  <si>
    <t>2.1.3.1.3</t>
  </si>
  <si>
    <t>Contraloría</t>
  </si>
  <si>
    <t>2.1.3.1.4</t>
  </si>
  <si>
    <t>Entidades Descentralizadas (Especificar en Anexo)</t>
  </si>
  <si>
    <t>2.1.3.1.5</t>
  </si>
  <si>
    <t>Otras Entidades (Especificar en Anexo)</t>
  </si>
  <si>
    <t>2.1.3.2</t>
  </si>
  <si>
    <t>Transferencias al Fondo Territorial de Pensiones</t>
  </si>
  <si>
    <t>2.1.3.2.1</t>
  </si>
  <si>
    <t>2.1.3.2.1.1</t>
  </si>
  <si>
    <t>2.1.3.2.1.2</t>
  </si>
  <si>
    <t>2.1.3.2.1.3</t>
  </si>
  <si>
    <t>2.1.3.2.2</t>
  </si>
  <si>
    <t>Transferencias al Fondo Territorial de Cesantías (Provisiones)</t>
  </si>
  <si>
    <t>2.1.3.1.3.1</t>
  </si>
  <si>
    <t>2.1.3.1.3.2</t>
  </si>
  <si>
    <t>2.1.3.1.3.3</t>
  </si>
  <si>
    <t>2.1.3.1.3.4</t>
  </si>
  <si>
    <t>2.1.3.1.3.5</t>
  </si>
  <si>
    <t>Otras Transferencias</t>
  </si>
  <si>
    <t>2.1.3.1.2.1</t>
  </si>
  <si>
    <t>Conciliaciones y Sentencias</t>
  </si>
  <si>
    <t>2.1.3.1.2.2</t>
  </si>
  <si>
    <t>2.1.3.1.2.3</t>
  </si>
  <si>
    <t>2.1.3.1.2.4</t>
  </si>
  <si>
    <t>SERVICIO DE LA DEUDA</t>
  </si>
  <si>
    <t xml:space="preserve">2.2.1 </t>
  </si>
  <si>
    <t>AMORTIZACIONES A CAPITAL</t>
  </si>
  <si>
    <t xml:space="preserve">2.2.1.1 </t>
  </si>
  <si>
    <t>Amortización Deuda Interna</t>
  </si>
  <si>
    <t>2.2.1.2</t>
  </si>
  <si>
    <t>Amortización Deuda Externa</t>
  </si>
  <si>
    <t xml:space="preserve">2.2.2 </t>
  </si>
  <si>
    <t>INTERESES  DE LA DEUDA</t>
  </si>
  <si>
    <t>2.2.2.1</t>
  </si>
  <si>
    <t>Intereses  Deuda Interna Vigente</t>
  </si>
  <si>
    <t>2.2.2.2</t>
  </si>
  <si>
    <t>Intereses  Deuda Externa</t>
  </si>
  <si>
    <t>2.2.2.3</t>
  </si>
  <si>
    <t>Intereses  Deuda Corto Plazo, Sobregiros, Tesorería y otros</t>
  </si>
  <si>
    <t>2.2.2.4</t>
  </si>
  <si>
    <r>
      <t xml:space="preserve">Intereses del nuevo crédito </t>
    </r>
    <r>
      <rPr>
        <sz val="10"/>
        <color indexed="10"/>
        <rFont val="Arial"/>
        <family val="2"/>
      </rPr>
      <t>(Diligenciar sólo en el formato de proyecciones)</t>
    </r>
  </si>
  <si>
    <t xml:space="preserve">INVERSION </t>
  </si>
  <si>
    <t>2.3.1</t>
  </si>
  <si>
    <t>Formación Bruta de Capital</t>
  </si>
  <si>
    <t>2.3.2</t>
  </si>
  <si>
    <t>Gastos Operativos de Inversión</t>
  </si>
  <si>
    <t>PAGO DEFICIT VIGENCIAS ANTERIORES</t>
  </si>
  <si>
    <t>2.4.1</t>
  </si>
  <si>
    <t>Funcionamiento</t>
  </si>
  <si>
    <t>2.4.2</t>
  </si>
  <si>
    <t>Inversión</t>
  </si>
  <si>
    <t>DETALLE DE INVERSIONES EN INFRAESTRUCTURA POR SECTORES</t>
  </si>
  <si>
    <t>Ejecución a:  MAR</t>
  </si>
  <si>
    <t>Proyec. Año completo/98</t>
  </si>
  <si>
    <t>Educación</t>
  </si>
  <si>
    <t>Salud</t>
  </si>
  <si>
    <t>Agua Potable y Saneamiento básico</t>
  </si>
  <si>
    <t>Deporte y Cultura</t>
  </si>
  <si>
    <t xml:space="preserve">Sector Agropecuario </t>
  </si>
  <si>
    <t>Infrestructura Vial</t>
  </si>
  <si>
    <t>Infrestructura Energética</t>
  </si>
  <si>
    <t>Vivienda</t>
  </si>
  <si>
    <t>FORMATO No. 3</t>
  </si>
  <si>
    <t>MUNICIPIO DE :</t>
  </si>
  <si>
    <t>PLANTA DE PERSONAL</t>
  </si>
  <si>
    <t>VIGENCIA</t>
  </si>
  <si>
    <t xml:space="preserve"> SEGÚN TIPO DE VINCULACION</t>
  </si>
  <si>
    <t>D</t>
  </si>
  <si>
    <t>A</t>
  </si>
  <si>
    <t>E</t>
  </si>
  <si>
    <t>P</t>
  </si>
  <si>
    <t>T</t>
  </si>
  <si>
    <t>As</t>
  </si>
  <si>
    <t>Educ</t>
  </si>
  <si>
    <t xml:space="preserve"> Ps</t>
  </si>
  <si>
    <t xml:space="preserve"> Ot</t>
  </si>
  <si>
    <t>Ln</t>
  </si>
  <si>
    <t>Ca</t>
  </si>
  <si>
    <t>Prov</t>
  </si>
  <si>
    <t>Snu</t>
  </si>
  <si>
    <t>To</t>
  </si>
  <si>
    <t>Cops</t>
  </si>
  <si>
    <t>NC</t>
  </si>
  <si>
    <t>V A</t>
  </si>
  <si>
    <t>Cpr</t>
  </si>
  <si>
    <t>Csp</t>
  </si>
  <si>
    <t>TOTALES</t>
  </si>
  <si>
    <t>SECTOR CENTRAL</t>
  </si>
  <si>
    <t>- Despacho del Alcalde</t>
  </si>
  <si>
    <t>- Secretaria General</t>
  </si>
  <si>
    <t>- Secretaria de Gobierno</t>
  </si>
  <si>
    <t xml:space="preserve">- Sec. Educación </t>
  </si>
  <si>
    <t xml:space="preserve">   - Educadores </t>
  </si>
  <si>
    <t xml:space="preserve">   - Resto de Empleados Públicos</t>
  </si>
  <si>
    <t>- Sec. Salud</t>
  </si>
  <si>
    <t xml:space="preserve">   - Profesionales de la Salud </t>
  </si>
  <si>
    <t>- Sec o Dpto Advo de Planeación</t>
  </si>
  <si>
    <t>- Sec Hacienda</t>
  </si>
  <si>
    <t>- Sec Obras Públicas</t>
  </si>
  <si>
    <t>- Desarrollo Comunitario</t>
  </si>
  <si>
    <t>- Otros Organismos Administrativos</t>
  </si>
  <si>
    <t xml:space="preserve"> ARCHIVO CORRESPONDENCIA ALMACEN</t>
  </si>
  <si>
    <t>SERVICIOS GENERALES</t>
  </si>
  <si>
    <t>SECCION JUSTICIA</t>
  </si>
  <si>
    <t>INSPECCION CENTRAL DE POLICIA</t>
  </si>
  <si>
    <t>COMISARIA DE FAMILIA</t>
  </si>
  <si>
    <t>SECCION DE RECAUDOS Y SISTEMAS</t>
  </si>
  <si>
    <t>SECRETARIA DE EDUCACION</t>
  </si>
  <si>
    <t xml:space="preserve"> - Areas Staff o Asesoras</t>
  </si>
  <si>
    <t>SECTOR DESCENTRALIZADO</t>
  </si>
  <si>
    <t>Establecimientos Públicos</t>
  </si>
  <si>
    <t>Otras Entidades Descentralizadas (1)</t>
  </si>
  <si>
    <t>ORG. DE CONTROL Y CORP. ADM.</t>
  </si>
  <si>
    <t>- Contraloría</t>
  </si>
  <si>
    <t xml:space="preserve">  - Personería</t>
  </si>
  <si>
    <t>- Concejo</t>
  </si>
  <si>
    <t xml:space="preserve">  - Concejales</t>
  </si>
  <si>
    <t xml:space="preserve">  - Personal Administrativo</t>
  </si>
  <si>
    <t>CONTRATOS  PRESTACION SERVICIOS</t>
  </si>
  <si>
    <t xml:space="preserve">PENSIONADOS </t>
  </si>
  <si>
    <r>
      <t>N.C</t>
    </r>
    <r>
      <rPr>
        <sz val="12"/>
        <rFont val="Arial"/>
        <family val="0"/>
      </rPr>
      <t xml:space="preserve">.= Numero de cargos; </t>
    </r>
    <r>
      <rPr>
        <b/>
        <sz val="12"/>
        <rFont val="Arial"/>
        <family val="2"/>
      </rPr>
      <t>V A</t>
    </r>
    <r>
      <rPr>
        <sz val="12"/>
        <rFont val="Arial"/>
        <family val="0"/>
      </rPr>
      <t>= Valor anual de la planta (incluye todos los conceptos salariales y prestaciones sociales)</t>
    </r>
  </si>
  <si>
    <t xml:space="preserve">Ps= Profesionales de la Salud (Médicos, Enferemeros (as) y Promotores de la Salud); Ot = Otros </t>
  </si>
  <si>
    <r>
      <t>Cpr</t>
    </r>
    <r>
      <rPr>
        <sz val="12"/>
        <rFont val="Arial"/>
        <family val="2"/>
      </rPr>
      <t xml:space="preserve">= Cargos efectivamente Provistos; </t>
    </r>
    <r>
      <rPr>
        <b/>
        <sz val="12"/>
        <rFont val="Arial"/>
        <family val="2"/>
      </rPr>
      <t>Csp</t>
    </r>
    <r>
      <rPr>
        <sz val="12"/>
        <rFont val="Arial"/>
        <family val="2"/>
      </rPr>
      <t>= Cargos Sin Proveer o vacantes.</t>
    </r>
  </si>
  <si>
    <t>Empresas Sociales, Empresas de Servicios Públicos, Empresas Industriales y comerciales, etc.</t>
  </si>
  <si>
    <t>RELACION DEUDA VIGENTE Y SU PROYECCION</t>
  </si>
  <si>
    <t>No.</t>
  </si>
  <si>
    <t>Acreedor</t>
  </si>
  <si>
    <t>Clase</t>
  </si>
  <si>
    <t>Plazo</t>
  </si>
  <si>
    <t>Gracia</t>
  </si>
  <si>
    <t>Tasa</t>
  </si>
  <si>
    <t>* Ptos</t>
  </si>
  <si>
    <t>Fecha</t>
  </si>
  <si>
    <t xml:space="preserve">** Valor </t>
  </si>
  <si>
    <t xml:space="preserve"> ** Fecha </t>
  </si>
  <si>
    <t xml:space="preserve">Fecha </t>
  </si>
  <si>
    <t>Saldo a</t>
  </si>
  <si>
    <t>1999</t>
  </si>
  <si>
    <t>2000</t>
  </si>
  <si>
    <t>2001</t>
  </si>
  <si>
    <t>2002</t>
  </si>
  <si>
    <t>2003</t>
  </si>
  <si>
    <t>2004</t>
  </si>
  <si>
    <t>Obligación</t>
  </si>
  <si>
    <t>Pagare</t>
  </si>
  <si>
    <t>Adic.</t>
  </si>
  <si>
    <t xml:space="preserve">Firma </t>
  </si>
  <si>
    <t>Desembolso</t>
  </si>
  <si>
    <t>Final Contrato</t>
  </si>
  <si>
    <t>31-12-97</t>
  </si>
  <si>
    <t>Capital</t>
  </si>
  <si>
    <t>Intereses</t>
  </si>
  <si>
    <t>DTF+5</t>
  </si>
  <si>
    <t>* Si la tasa pactada incluye DTF y puntos adicionales, deben indicarse en esta columna</t>
  </si>
  <si>
    <t>** Si el Crédito ha tenido más de un desembolso, debe indicarse el valor de cada desembolso y la fecha de este para cada Obligación.</t>
  </si>
  <si>
    <t>*** Deben indicarse por separado los créditos que presenten mora en el pago, indicando el valor de estos intereses</t>
  </si>
  <si>
    <t>*****ESTE FORMATO DEBE DILIGENCIARSE TAMBIEN PARA CADA ENTIDAD DESCENTRALIZADA</t>
  </si>
  <si>
    <t>Formato No. 6</t>
  </si>
  <si>
    <t>RELACION DEUDA EXTERNA VIGENTE Y SU PROYECCION</t>
  </si>
  <si>
    <t>Moneda</t>
  </si>
  <si>
    <t>1998</t>
  </si>
  <si>
    <t>* Si la tasa pactada incluye PRIME o la LIBOR y puntos adicionales, deben indicarse en esta columna</t>
  </si>
  <si>
    <r>
      <t xml:space="preserve">PROYECCION DE INGRESOS DEL SECTOR CENTRAL </t>
    </r>
    <r>
      <rPr>
        <b/>
        <sz val="12"/>
        <color indexed="8"/>
        <rFont val="Arial"/>
        <family val="2"/>
      </rPr>
      <t>"SIN PLAN DE DESEMPEÑO"</t>
    </r>
  </si>
  <si>
    <t>FORMATO No. 8</t>
  </si>
  <si>
    <t>PROYECCION DE LOS GASTOS DEL SECTOR CENTRAL "SIN PLAN DE DESEMPEÑO"</t>
  </si>
  <si>
    <t>SUPUESTOS DE PROYECCION:</t>
  </si>
  <si>
    <t xml:space="preserve">FIRMA REPRESENTANTE LEGAL:   LUIS ANTONIO TORRES ARAUJO. </t>
  </si>
  <si>
    <t>FORMATO No.9</t>
  </si>
  <si>
    <r>
      <t xml:space="preserve">PROYECCION DE INGRESOS DEL SECTOR CENTRAL </t>
    </r>
    <r>
      <rPr>
        <b/>
        <sz val="12"/>
        <color indexed="8"/>
        <rFont val="Arial"/>
        <family val="2"/>
      </rPr>
      <t>"CON PLAN DE DESEMPEÑO"</t>
    </r>
  </si>
  <si>
    <r>
      <t>PROYECCION DE LOS GASTOS DEL SECTOR CENTRAL</t>
    </r>
    <r>
      <rPr>
        <b/>
        <sz val="12"/>
        <color indexed="8"/>
        <rFont val="Arial"/>
        <family val="2"/>
      </rPr>
      <t xml:space="preserve"> "CON PLAN DE DESEMPEÑO"</t>
    </r>
  </si>
  <si>
    <t>I N D I C A D O R E S   L E Y   358 /97   V I G E N T E S  PARA 1.998</t>
  </si>
  <si>
    <t>CALCULO DEL AHORRO OPERACIONAL</t>
  </si>
  <si>
    <t>INGRESOS CORRIENTES (LEY 358/97)</t>
  </si>
  <si>
    <t>GASTOS CORRIENTES (LEY 358/97)</t>
  </si>
  <si>
    <t xml:space="preserve">TRANSFERENCIAS </t>
  </si>
  <si>
    <t>A O</t>
  </si>
  <si>
    <t>AHORRO OPERACIONAL</t>
  </si>
  <si>
    <t>INFLACION ESPERADA</t>
  </si>
  <si>
    <t xml:space="preserve">SITUACION  DE LA DEUDA SIN NUEVO CREDITO  </t>
  </si>
  <si>
    <t>Saldo Deuda Vigencia anterior</t>
  </si>
  <si>
    <t xml:space="preserve">Créditos Contratados en la presente vigencia </t>
  </si>
  <si>
    <t>Amortizaciones de la Deuda    = ( 3.3.1 + 3.3.2 )</t>
  </si>
  <si>
    <t>3.3.1</t>
  </si>
  <si>
    <t xml:space="preserve">Amortizaciones Pagadas </t>
  </si>
  <si>
    <t>3.3.2</t>
  </si>
  <si>
    <t>Amortizaciones por Pagar en el resto de la vigencia</t>
  </si>
  <si>
    <t>SALDO  DEUDA           =   ( 3.1 + 3.2 - 3.3 )</t>
  </si>
  <si>
    <t>Intereses Pagados a la fecha de corte</t>
  </si>
  <si>
    <t>Intereses por Pagar en el resto de la vigencia</t>
  </si>
  <si>
    <t>Total Intereses de la Deuda Vigente   = ( 4.1 + 4.2 )</t>
  </si>
  <si>
    <t>SERVICIO DEL NUEVO CREDITO</t>
  </si>
  <si>
    <t>Valor total del Nuevo Crédito</t>
  </si>
  <si>
    <t xml:space="preserve">Amortizaciones del nuevo credito </t>
  </si>
  <si>
    <t>Intereses del nuevo credito</t>
  </si>
  <si>
    <t>CALCULO INDICADORES</t>
  </si>
  <si>
    <t>SALDO DEUDA CON NUEVO CREDITO = ( 3 + 5.1 - 5.2 )</t>
  </si>
  <si>
    <t>TOTAL INTERESES   = ( 4 + 5.3 )</t>
  </si>
  <si>
    <t>INTERESES / AHORRO OPERACIONAL  = ( 6 / AO )</t>
  </si>
  <si>
    <t>SALDO DEUDA / INGRESOS CORRIENTES  = ( 5 / 1 )</t>
  </si>
  <si>
    <t>ESTADO ACTUAL DE LA ENTIDAD</t>
  </si>
  <si>
    <t>S E M A F O R O</t>
  </si>
  <si>
    <t>V E R D E</t>
  </si>
  <si>
    <t>A M A R I L L O</t>
  </si>
  <si>
    <t>R O J O</t>
  </si>
  <si>
    <r>
      <t xml:space="preserve">FORMATO No. </t>
    </r>
    <r>
      <rPr>
        <b/>
        <sz val="12"/>
        <color indexed="8"/>
        <rFont val="Arial"/>
        <family val="2"/>
      </rPr>
      <t>11 A</t>
    </r>
  </si>
  <si>
    <t>CON PLAN DE DESEMPEÑO</t>
  </si>
  <si>
    <t>SITUACION  DE LA DEUDA SIN NUEVO CREDITO</t>
  </si>
  <si>
    <t>FORMATO No. 12</t>
  </si>
  <si>
    <t>ACTIVO Y PASIVO A DICIEMBRE 31 DE DIC 98</t>
  </si>
  <si>
    <t xml:space="preserve">SECTOR CENTRAL </t>
  </si>
  <si>
    <t>ACTIVOS Y PASIVOS</t>
  </si>
  <si>
    <t>EN PESOS CORRIENTES</t>
  </si>
  <si>
    <t>ACTIVO CORRIENTE</t>
  </si>
  <si>
    <t>Efectivo</t>
  </si>
  <si>
    <t>Bancos y Corporaciones</t>
  </si>
  <si>
    <t xml:space="preserve">Inversiones </t>
  </si>
  <si>
    <t xml:space="preserve">Rentas por cobrar   </t>
  </si>
  <si>
    <t xml:space="preserve">1.4.1 </t>
  </si>
  <si>
    <t>Vigencia Actual</t>
  </si>
  <si>
    <t xml:space="preserve">1.4.2 </t>
  </si>
  <si>
    <t>Vigencia Anterior</t>
  </si>
  <si>
    <t xml:space="preserve">1.4.3 </t>
  </si>
  <si>
    <t>Dificil Recaudo</t>
  </si>
  <si>
    <t>Otros Activos Corrientes</t>
  </si>
  <si>
    <t>ACTIVO NO CORRIENTE</t>
  </si>
  <si>
    <t>Propiedades, Planta y Equipo</t>
  </si>
  <si>
    <t xml:space="preserve">2.1.1 </t>
  </si>
  <si>
    <t>Terrenos</t>
  </si>
  <si>
    <t xml:space="preserve">2.1.2  </t>
  </si>
  <si>
    <t>Edificaciones</t>
  </si>
  <si>
    <t xml:space="preserve">2.1.3  </t>
  </si>
  <si>
    <t>Maquinaria y Equipo</t>
  </si>
  <si>
    <t xml:space="preserve">2.1.4  </t>
  </si>
  <si>
    <t>Equipos y Materiales en Depósito</t>
  </si>
  <si>
    <t xml:space="preserve">2.1.5  </t>
  </si>
  <si>
    <t>Equipo de Transporte, Tracción y Elevación</t>
  </si>
  <si>
    <t xml:space="preserve">2.1.6  </t>
  </si>
  <si>
    <t>Otros Activos no Corrientes</t>
  </si>
  <si>
    <t>PASIVO CORRIENTE</t>
  </si>
  <si>
    <t>DEUDA INTERNA</t>
  </si>
  <si>
    <t xml:space="preserve">3.1.1 </t>
  </si>
  <si>
    <t xml:space="preserve">3.1.2 </t>
  </si>
  <si>
    <t>Amortización</t>
  </si>
  <si>
    <t>DEUDA EXTERNA</t>
  </si>
  <si>
    <t xml:space="preserve">3.2.1 </t>
  </si>
  <si>
    <t xml:space="preserve">3.2.2 </t>
  </si>
  <si>
    <t xml:space="preserve">OBLIGACIONES FINANCIERAS </t>
  </si>
  <si>
    <t xml:space="preserve">3.3.1 </t>
  </si>
  <si>
    <t>Sobregiros</t>
  </si>
  <si>
    <t xml:space="preserve">3.3.2  </t>
  </si>
  <si>
    <t>CUENTAS POR PAGAR</t>
  </si>
  <si>
    <t xml:space="preserve">3.4.1  </t>
  </si>
  <si>
    <t>Proveedores</t>
  </si>
  <si>
    <t xml:space="preserve">3.4.1.1  </t>
  </si>
  <si>
    <t>Contratistas</t>
  </si>
  <si>
    <t xml:space="preserve">3.4.1.2  </t>
  </si>
  <si>
    <t xml:space="preserve">Compra de Bienes </t>
  </si>
  <si>
    <t xml:space="preserve">3.4.1.3  </t>
  </si>
  <si>
    <t>Prestación de Servicios</t>
  </si>
  <si>
    <t xml:space="preserve">3.4.1.4  </t>
  </si>
  <si>
    <t xml:space="preserve">Ejecución de Obras </t>
  </si>
  <si>
    <t xml:space="preserve">3.4.1.5  </t>
  </si>
  <si>
    <t>Otros Contratistas</t>
  </si>
  <si>
    <t xml:space="preserve">3.4.2  </t>
  </si>
  <si>
    <t>Acreedores</t>
  </si>
  <si>
    <t xml:space="preserve">3.4.2.1   </t>
  </si>
  <si>
    <t>Comisiones, Honorarios y Servicios</t>
  </si>
  <si>
    <t xml:space="preserve">3.4.2.2   </t>
  </si>
  <si>
    <t>Servicios Públicos</t>
  </si>
  <si>
    <t xml:space="preserve">3.4.2.3  </t>
  </si>
  <si>
    <t>Arrendamientos</t>
  </si>
  <si>
    <t xml:space="preserve">3.4.2.4  </t>
  </si>
  <si>
    <t>Viáticos y Gastos de Viaje</t>
  </si>
  <si>
    <t xml:space="preserve">3.4.2.5  </t>
  </si>
  <si>
    <t>Cuotas de Fiscalización</t>
  </si>
  <si>
    <t xml:space="preserve">3.4.2.6  </t>
  </si>
  <si>
    <t>Seguros</t>
  </si>
  <si>
    <t xml:space="preserve">3.4.2.7  </t>
  </si>
  <si>
    <t xml:space="preserve">Aportes a Fondos  Pensionales </t>
  </si>
  <si>
    <t xml:space="preserve">3.4.2.8  </t>
  </si>
  <si>
    <t>Aportes a Seguridad Social</t>
  </si>
  <si>
    <t xml:space="preserve">3.4.2.9  </t>
  </si>
  <si>
    <t>Aportes al ICBF, SENA y Cajas de Compensación</t>
  </si>
  <si>
    <t xml:space="preserve">3.4.2.10 </t>
  </si>
  <si>
    <t>Cooperativas</t>
  </si>
  <si>
    <t xml:space="preserve">3.4.2.11 </t>
  </si>
  <si>
    <t xml:space="preserve">Fondos de Empleados </t>
  </si>
  <si>
    <t xml:space="preserve">3.4.2.12 </t>
  </si>
  <si>
    <t>Embargos Judiciales</t>
  </si>
  <si>
    <t xml:space="preserve">3.4.2.13 </t>
  </si>
  <si>
    <t>Gastos Legales</t>
  </si>
  <si>
    <t xml:space="preserve">3.4.2.14 </t>
  </si>
  <si>
    <t>Otros Acreedores</t>
  </si>
  <si>
    <t>RETENCION EN LA FUENTE E IMPUESTO DE TIMBRE</t>
  </si>
  <si>
    <t xml:space="preserve">OBLIGACIONES LABORALES </t>
  </si>
  <si>
    <t xml:space="preserve">3.6.1  </t>
  </si>
  <si>
    <t>Salarios y Prestaciones Sociales</t>
  </si>
  <si>
    <t xml:space="preserve">3.6.1.1  </t>
  </si>
  <si>
    <t xml:space="preserve">3.6.1.2  </t>
  </si>
  <si>
    <t xml:space="preserve">3.6.1.3  </t>
  </si>
  <si>
    <t xml:space="preserve">3.6.1.4  </t>
  </si>
  <si>
    <t xml:space="preserve">PENSIONES POR PAGAR </t>
  </si>
  <si>
    <t>OTROS PASIVOS CORRIENTES (Especificar)</t>
  </si>
  <si>
    <t>3.8.1</t>
  </si>
  <si>
    <t>Recaudo a favor de tercero</t>
  </si>
  <si>
    <t>3.8.2</t>
  </si>
  <si>
    <t>Deposito recibido de tercero</t>
  </si>
  <si>
    <t>3.8.3</t>
  </si>
  <si>
    <t>3.8.4</t>
  </si>
  <si>
    <t>PASIVO NO CORRIENTE (Especificar)</t>
  </si>
  <si>
    <t>FORMATO BALANCE FINANCIERO SIN PLAN DE DESEMPEÑO</t>
  </si>
  <si>
    <t>PROYECCIONES SIN PLAN DE DESEMPEÑO</t>
  </si>
  <si>
    <t>Total Otros Ingresos Tributarios</t>
  </si>
  <si>
    <t>Total Otros Ingresos No Tributarios</t>
  </si>
  <si>
    <t>PAGOS CORRIENTES</t>
  </si>
  <si>
    <t>Pagos del déficit vigencias anteriores por Funcionamiento</t>
  </si>
  <si>
    <t>AHORRO / DEFICIT CORRIENTE</t>
  </si>
  <si>
    <t>PAGOS DE CAPITAL</t>
  </si>
  <si>
    <t>Pagos del déficit vigencias anteriores por Inversión</t>
  </si>
  <si>
    <t>DEFICIT  O  SUPERAVIT CAPITAL</t>
  </si>
  <si>
    <t>DEFICIT  O  SUPERAVIT TOTAL</t>
  </si>
  <si>
    <t>FINANCIAMIENTO</t>
  </si>
  <si>
    <t>CREDITO NETO</t>
  </si>
  <si>
    <t>VARIACIONES DE DEPOSITOS</t>
  </si>
  <si>
    <t>OTROS</t>
  </si>
  <si>
    <t>FORMATO BALANCE FINANCIERO CON PLAN DE DESEMPEÑO</t>
  </si>
  <si>
    <t>PROYECCIONES CON PLAN DE DESEMPEÑO</t>
  </si>
  <si>
    <t>LEY DE ENDEUDAMIENTO TERRITORIAL</t>
  </si>
  <si>
    <t>MATRIZ DE SEGUIMIENTO DEL PLAN DE DESEMPEÑO</t>
  </si>
  <si>
    <t>ACCIONES</t>
  </si>
  <si>
    <t>ACTIVIDAD</t>
  </si>
  <si>
    <t>AUTORIZACION</t>
  </si>
  <si>
    <t>POND</t>
  </si>
  <si>
    <t>1er. TRIMESTRE</t>
  </si>
  <si>
    <t>2do. TRIMESTRE</t>
  </si>
  <si>
    <t>3er. TRIMESTRE</t>
  </si>
  <si>
    <t>A:</t>
  </si>
  <si>
    <t>A1:</t>
  </si>
  <si>
    <t xml:space="preserve">i) Diagnóstico elaborado: Situación </t>
  </si>
  <si>
    <t>Evaluación Global</t>
  </si>
  <si>
    <t>Diagnóstico</t>
  </si>
  <si>
    <t>financiera, económica, endeudamiento,</t>
  </si>
  <si>
    <t>(presupuestario y extrapresupuestario),</t>
  </si>
  <si>
    <t>personal, sistemas administrativos, estructuras</t>
  </si>
  <si>
    <t>elaborado</t>
  </si>
  <si>
    <t>A2:</t>
  </si>
  <si>
    <t>Plan de Desempeño</t>
  </si>
  <si>
    <t xml:space="preserve"> Plan de Desempeño</t>
  </si>
  <si>
    <t xml:space="preserve"> elaborado</t>
  </si>
  <si>
    <t>i) Solicitud de autorización de endeudamiento.</t>
  </si>
  <si>
    <t xml:space="preserve">A3: </t>
  </si>
  <si>
    <t xml:space="preserve">Requisitos ante el Ministerio de Hacienda y </t>
  </si>
  <si>
    <t>Solicitud de Autorización de endeudamiento</t>
  </si>
  <si>
    <t>Crédito Público para autorización de endeudamiento y/o evaluación y seguimiento del plan de desempeño</t>
  </si>
  <si>
    <t>completos</t>
  </si>
  <si>
    <t>ii) Formalización del Comité de seguimiento y evaluación del plan de desempeño al interior de la entidad territorial.</t>
  </si>
  <si>
    <t xml:space="preserve">   designado</t>
  </si>
  <si>
    <t xml:space="preserve">ii) Se proyectan indicadores de capacidad de </t>
  </si>
  <si>
    <t>PLAN DE DESEMPEÑO  EN  EJECUCION *</t>
  </si>
  <si>
    <t>pago para el período del plan</t>
  </si>
  <si>
    <t>B:</t>
  </si>
  <si>
    <t>B1:</t>
  </si>
  <si>
    <t xml:space="preserve">                   INT / AO              SALD / ING CTES</t>
  </si>
  <si>
    <t>Ejecución del Plan de desempeño</t>
  </si>
  <si>
    <t>Plan de Acciones inmediatas</t>
  </si>
  <si>
    <t>1998 : %</t>
  </si>
  <si>
    <t>(Indicadores)</t>
  </si>
  <si>
    <t xml:space="preserve">1999 : % </t>
  </si>
  <si>
    <t xml:space="preserve">2000 : % </t>
  </si>
  <si>
    <t>2001 : %</t>
  </si>
  <si>
    <t>2002 : %</t>
  </si>
  <si>
    <t xml:space="preserve">iii) Se proyecta un acervo de deuda </t>
  </si>
  <si>
    <t xml:space="preserve">    para el período del plan de desempeño</t>
  </si>
  <si>
    <t>(ponderación)*</t>
  </si>
  <si>
    <t>saldo 1997 : $</t>
  </si>
  <si>
    <t>saldo 1998 : $</t>
  </si>
  <si>
    <t xml:space="preserve">saldo 1999 : $ </t>
  </si>
  <si>
    <t>saldo 2000 : $</t>
  </si>
  <si>
    <t>saldo 2001 : $</t>
  </si>
  <si>
    <t>B2:</t>
  </si>
  <si>
    <t xml:space="preserve">  Acciones inmediatas</t>
  </si>
  <si>
    <t xml:space="preserve">  Recaudación</t>
  </si>
  <si>
    <t>B3:</t>
  </si>
  <si>
    <t>Acciones inmediatas</t>
  </si>
  <si>
    <t>Reforma Administrativa</t>
  </si>
  <si>
    <r>
      <t xml:space="preserve">  */    La ejecución del Plan de Desempeño se evaluará de acuerdo con los factores de ponderación que se asignen a las actividades B1 a B7 </t>
    </r>
    <r>
      <rPr>
        <b/>
        <u val="single"/>
        <sz val="8"/>
        <rFont val="Arial"/>
        <family val="2"/>
      </rPr>
      <t>"SE ENTENDERA QUE SE DA CUMPLIMIENTO, SI EN CADA UNA DE LA EVALUACIONES EL PORCENTAJE SUPERA EL 80%</t>
    </r>
  </si>
  <si>
    <t>NOMBRE DE LA ENTIDAD   ALCALDIA MUNICIPAL DE VILLANUEVA GUAJIRA_____________________________________________________</t>
  </si>
  <si>
    <t xml:space="preserve">B.4. </t>
  </si>
  <si>
    <t>Erogaciones de personal</t>
  </si>
  <si>
    <t>B5.</t>
  </si>
  <si>
    <t xml:space="preserve">  Fortalecimiento</t>
  </si>
  <si>
    <t xml:space="preserve">  Institucional</t>
  </si>
  <si>
    <t xml:space="preserve">Gestión de Recursos </t>
  </si>
  <si>
    <t>Humanos</t>
  </si>
  <si>
    <t>B6.</t>
  </si>
  <si>
    <t>Fortalecimiento institucional</t>
  </si>
  <si>
    <t>Administración Tributaria</t>
  </si>
  <si>
    <t>B7.</t>
  </si>
  <si>
    <t>Fortalecimiento Institucional</t>
  </si>
  <si>
    <t>Administración financiera</t>
  </si>
  <si>
    <t>Totales</t>
  </si>
  <si>
    <t>ARIGUANI</t>
  </si>
  <si>
    <t>VIGENCIA 1.999</t>
  </si>
  <si>
    <t>Presupuesto 1999</t>
  </si>
  <si>
    <t>Recaudos a: JUN 30 1999</t>
  </si>
  <si>
    <t>Proyec. Año Completo/99</t>
  </si>
  <si>
    <t>GUILLERMO ANTONIO SANCHEZ Q.</t>
  </si>
  <si>
    <t>Ejecución a: JUN 30/ 99</t>
  </si>
  <si>
    <t>Ejecución a:  06/1999</t>
  </si>
  <si>
    <t>Proyec. Año completo/99</t>
  </si>
  <si>
    <t>FIRMA REPRESENTANTE LEGAL:  GUILLLERMO SANCHEZ QUINTERO</t>
  </si>
  <si>
    <t>GUILLERMO SANCHEZ Q.</t>
  </si>
  <si>
    <t>EJECUCIONES MENSUALES 1.999 (RECAUDOS EFECTIVOS)</t>
  </si>
  <si>
    <t>GUILLERMO ANTONIO QUINTERO</t>
  </si>
  <si>
    <t>Rifas, apuestas y Sorteos</t>
  </si>
  <si>
    <t>Deguello ganado mayor</t>
  </si>
  <si>
    <t>Extracción de queso</t>
  </si>
  <si>
    <t>Acueducto</t>
  </si>
  <si>
    <t>CORPAMAG</t>
  </si>
  <si>
    <t>Aporte empl. Seguro social y Pensión</t>
  </si>
  <si>
    <t>Impuesto Propalacio</t>
  </si>
  <si>
    <t>Juegos permitidos</t>
  </si>
  <si>
    <t>Otros Indirectos</t>
  </si>
  <si>
    <t>Impuesto Nacional de Timbre</t>
  </si>
  <si>
    <t>Gaceta Municipal</t>
  </si>
  <si>
    <t>FIRMA REPRESENTANTE LEGAL:  GUILLERMO ANTONIO SANCHEZ</t>
  </si>
  <si>
    <t>Pliego de Licitaciones</t>
  </si>
  <si>
    <t>Aseo</t>
  </si>
  <si>
    <t>Venta de formulario y placas</t>
  </si>
  <si>
    <t>Mercado y matadero Público</t>
  </si>
  <si>
    <t>Multas,contravenciones y coso mpal.</t>
  </si>
  <si>
    <t>CATEGORIA:CUARTA</t>
  </si>
  <si>
    <r>
      <t xml:space="preserve">MUNICIPIO  DE ARIGUANI </t>
    </r>
    <r>
      <rPr>
        <b/>
        <u val="single"/>
        <sz val="10"/>
        <color indexed="8"/>
        <rFont val="Arial"/>
        <family val="2"/>
      </rPr>
      <t xml:space="preserve">                </t>
    </r>
  </si>
  <si>
    <r>
      <t xml:space="preserve">Ln </t>
    </r>
    <r>
      <rPr>
        <sz val="12"/>
        <rFont val="Arial"/>
        <family val="2"/>
      </rPr>
      <t xml:space="preserve">= Libre Nombramiento; </t>
    </r>
    <r>
      <rPr>
        <b/>
        <sz val="12"/>
        <rFont val="Arial"/>
        <family val="2"/>
      </rPr>
      <t>Ca</t>
    </r>
    <r>
      <rPr>
        <sz val="12"/>
        <rFont val="Arial"/>
        <family val="0"/>
      </rPr>
      <t xml:space="preserve">= En carrera administrativa; </t>
    </r>
    <r>
      <rPr>
        <b/>
        <sz val="12"/>
        <rFont val="Arial"/>
        <family val="2"/>
      </rPr>
      <t>Prov</t>
    </r>
    <r>
      <rPr>
        <sz val="12"/>
        <rFont val="Arial"/>
        <family val="0"/>
      </rPr>
      <t xml:space="preserve">= Provisional; </t>
    </r>
    <r>
      <rPr>
        <b/>
        <sz val="12"/>
        <rFont val="Arial"/>
        <family val="2"/>
      </rPr>
      <t>Snu</t>
    </r>
    <r>
      <rPr>
        <sz val="12"/>
        <rFont val="Arial"/>
        <family val="2"/>
      </rPr>
      <t xml:space="preserve">= Supernumerarios; </t>
    </r>
  </si>
  <si>
    <r>
      <t xml:space="preserve">To= </t>
    </r>
    <r>
      <rPr>
        <sz val="12"/>
        <rFont val="Arial"/>
        <family val="2"/>
      </rPr>
      <t>Trabajdor Oficia</t>
    </r>
    <r>
      <rPr>
        <b/>
        <sz val="12"/>
        <rFont val="Arial"/>
        <family val="2"/>
      </rPr>
      <t xml:space="preserve">l; Cops= </t>
    </r>
    <r>
      <rPr>
        <sz val="12"/>
        <rFont val="Arial"/>
        <family val="2"/>
      </rPr>
      <t>Contratistas por prestación de servicios.</t>
    </r>
  </si>
  <si>
    <r>
      <t>D</t>
    </r>
    <r>
      <rPr>
        <sz val="12"/>
        <rFont val="Arial"/>
        <family val="0"/>
      </rPr>
      <t xml:space="preserve"> = Directivo; </t>
    </r>
    <r>
      <rPr>
        <b/>
        <sz val="12"/>
        <rFont val="Arial"/>
        <family val="2"/>
      </rPr>
      <t>A</t>
    </r>
    <r>
      <rPr>
        <sz val="12"/>
        <rFont val="Arial"/>
        <family val="0"/>
      </rPr>
      <t xml:space="preserve">= Asesor; </t>
    </r>
    <r>
      <rPr>
        <b/>
        <sz val="12"/>
        <rFont val="Arial"/>
        <family val="2"/>
      </rPr>
      <t>E</t>
    </r>
    <r>
      <rPr>
        <sz val="12"/>
        <rFont val="Arial"/>
        <family val="0"/>
      </rPr>
      <t xml:space="preserve">= Ejecutivo; </t>
    </r>
    <r>
      <rPr>
        <b/>
        <sz val="12"/>
        <rFont val="Arial"/>
        <family val="2"/>
      </rPr>
      <t>P</t>
    </r>
    <r>
      <rPr>
        <sz val="12"/>
        <rFont val="Arial"/>
        <family val="0"/>
      </rPr>
      <t xml:space="preserve">= Profesional; </t>
    </r>
    <r>
      <rPr>
        <b/>
        <sz val="12"/>
        <rFont val="Arial"/>
        <family val="2"/>
      </rPr>
      <t>T</t>
    </r>
    <r>
      <rPr>
        <sz val="12"/>
        <rFont val="Arial"/>
        <family val="0"/>
      </rPr>
      <t xml:space="preserve">= Técnico; </t>
    </r>
  </si>
  <si>
    <t xml:space="preserve">As= Operativos, Auxiliares Administrativos o similares; Educ= Educadores; </t>
  </si>
  <si>
    <t>- UMATA</t>
  </si>
  <si>
    <t xml:space="preserve"> - Secretaria de Cultura</t>
  </si>
  <si>
    <t>ASESORES JURIDICOS</t>
  </si>
  <si>
    <t>USPA</t>
  </si>
  <si>
    <t>DEPORTES</t>
  </si>
  <si>
    <t>SEGÚN PERFILES  VIGENCIA 1999</t>
  </si>
  <si>
    <t>PRESUPUESTO ESTIMADO</t>
  </si>
  <si>
    <t>31-12-99</t>
  </si>
  <si>
    <t>2005</t>
  </si>
  <si>
    <t>B. AGRARIO</t>
  </si>
  <si>
    <t>ORDINARIO</t>
  </si>
  <si>
    <t>DTF+8</t>
  </si>
  <si>
    <t>FINDETER</t>
  </si>
  <si>
    <t>DTF+7</t>
  </si>
  <si>
    <t>COLOMBIA</t>
  </si>
  <si>
    <t>2006</t>
  </si>
  <si>
    <t>POPULAR</t>
  </si>
  <si>
    <t>2007</t>
  </si>
  <si>
    <t>2008</t>
  </si>
  <si>
    <t>2009</t>
  </si>
  <si>
    <t>INVERSION</t>
  </si>
  <si>
    <t>SECTOR</t>
  </si>
  <si>
    <t>Agua P. Y S. B.</t>
  </si>
  <si>
    <t>TOTAL SECTOR</t>
  </si>
  <si>
    <t>I N D I C A D O R E S   L E Y   358 /97   V I G E N T E S  PARA 2,000</t>
  </si>
  <si>
    <t xml:space="preserve">PRESUPUESTO </t>
  </si>
  <si>
    <t>TOTAL</t>
  </si>
  <si>
    <t>CREDITO 2000</t>
  </si>
  <si>
    <t>CREDITO 1900</t>
  </si>
  <si>
    <t>NOMBRE DE LA ENTIDAD               ALCALDIA MUNICIPAL DE ARIGUANI __________________________________________</t>
  </si>
  <si>
    <t>CREDITO 600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</si>
</sst>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_);[Red]\(#,##0.0\)"/>
    <numFmt numFmtId="193" formatCode="0.0"/>
    <numFmt numFmtId="194" formatCode="0.0%"/>
    <numFmt numFmtId="195" formatCode="0.000"/>
    <numFmt numFmtId="196" formatCode="#,##0.0000"/>
    <numFmt numFmtId="197" formatCode="#,##0.000"/>
    <numFmt numFmtId="198" formatCode="0.0000000"/>
    <numFmt numFmtId="199" formatCode="0.000000"/>
    <numFmt numFmtId="200" formatCode="0.00000"/>
    <numFmt numFmtId="201" formatCode="0.0000"/>
    <numFmt numFmtId="202" formatCode="_-* #,##0.0\ _P_t_s_-;\-* #,##0.0\ _P_t_s_-;_-* &quot;-&quot;??\ _P_t_s_-;_-@_-"/>
    <numFmt numFmtId="203" formatCode="_-* #,##0\ _P_t_s_-;\-* #,##0\ _P_t_s_-;_-* &quot;-&quot;??\ _P_t_s_-;_-@_-"/>
    <numFmt numFmtId="204" formatCode="#,##0.0"/>
  </numFmts>
  <fonts count="6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color indexed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i/>
      <sz val="12"/>
      <color indexed="8"/>
      <name val="Arial"/>
      <family val="0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Book Antiqua"/>
      <family val="0"/>
    </font>
    <font>
      <i/>
      <u val="single"/>
      <sz val="14"/>
      <name val="Book Antiqua"/>
      <family val="0"/>
    </font>
    <font>
      <sz val="13"/>
      <name val="Arial"/>
      <family val="2"/>
    </font>
    <font>
      <b/>
      <sz val="13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sz val="14"/>
      <name val="Algerian"/>
      <family val="5"/>
    </font>
    <font>
      <b/>
      <sz val="7"/>
      <name val="Arial"/>
      <family val="2"/>
    </font>
    <font>
      <b/>
      <u val="single"/>
      <sz val="8"/>
      <name val="Arial"/>
      <family val="2"/>
    </font>
    <font>
      <sz val="8"/>
      <name val="Tahoma"/>
      <family val="0"/>
    </font>
    <font>
      <sz val="12"/>
      <color indexed="8"/>
      <name val="Arial"/>
      <family val="2"/>
    </font>
    <font>
      <b/>
      <i/>
      <sz val="12"/>
      <name val="Book Antiqua"/>
      <family val="0"/>
    </font>
    <font>
      <b/>
      <i/>
      <sz val="10"/>
      <name val="Book Antiqua"/>
      <family val="0"/>
    </font>
    <font>
      <b/>
      <sz val="10.5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lightTrellis"/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ill="1" applyAlignment="1" applyProtection="1">
      <alignment/>
      <protection locked="0"/>
    </xf>
    <xf numFmtId="1" fontId="7" fillId="0" borderId="4" xfId="0" applyNumberFormat="1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left"/>
      <protection/>
    </xf>
    <xf numFmtId="1" fontId="7" fillId="0" borderId="6" xfId="0" applyNumberFormat="1" applyFont="1" applyFill="1" applyBorder="1" applyAlignment="1" applyProtection="1">
      <alignment horizontal="left"/>
      <protection/>
    </xf>
    <xf numFmtId="0" fontId="7" fillId="0" borderId="6" xfId="0" applyFont="1" applyFill="1" applyBorder="1" applyAlignment="1" applyProtection="1">
      <alignment horizontal="left"/>
      <protection/>
    </xf>
    <xf numFmtId="193" fontId="7" fillId="0" borderId="4" xfId="0" applyNumberFormat="1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left"/>
      <protection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6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5" fillId="0" borderId="12" xfId="0" applyNumberFormat="1" applyFont="1" applyBorder="1" applyAlignment="1">
      <alignment horizontal="centerContinuous"/>
    </xf>
    <xf numFmtId="49" fontId="5" fillId="0" borderId="13" xfId="0" applyNumberFormat="1" applyFont="1" applyBorder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1" fontId="8" fillId="0" borderId="6" xfId="0" applyNumberFormat="1" applyFont="1" applyFill="1" applyBorder="1" applyAlignment="1" applyProtection="1">
      <alignment horizontal="left"/>
      <protection locked="0"/>
    </xf>
    <xf numFmtId="1" fontId="8" fillId="0" borderId="6" xfId="0" applyNumberFormat="1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left"/>
      <protection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25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7" fillId="0" borderId="0" xfId="0" applyFont="1" applyFill="1" applyBorder="1" applyAlignment="1" applyProtection="1" quotePrefix="1">
      <alignment horizontal="right"/>
      <protection locked="0"/>
    </xf>
    <xf numFmtId="0" fontId="0" fillId="0" borderId="7" xfId="0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Continuous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Continuous"/>
    </xf>
    <xf numFmtId="0" fontId="1" fillId="0" borderId="44" xfId="0" applyFont="1" applyBorder="1" applyAlignment="1">
      <alignment horizontal="left"/>
    </xf>
    <xf numFmtId="9" fontId="0" fillId="0" borderId="0" xfId="21" applyAlignment="1">
      <alignment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7" fillId="2" borderId="12" xfId="0" applyFont="1" applyFill="1" applyBorder="1" applyAlignment="1" applyProtection="1">
      <alignment horizontal="centerContinuous" vertical="center"/>
      <protection/>
    </xf>
    <xf numFmtId="0" fontId="7" fillId="2" borderId="13" xfId="0" applyFont="1" applyFill="1" applyBorder="1" applyAlignment="1" applyProtection="1">
      <alignment horizontal="centerContinuous" vertical="center"/>
      <protection/>
    </xf>
    <xf numFmtId="0" fontId="7" fillId="2" borderId="39" xfId="0" applyFont="1" applyFill="1" applyBorder="1" applyAlignment="1" applyProtection="1">
      <alignment horizontal="centerContinuous"/>
      <protection/>
    </xf>
    <xf numFmtId="0" fontId="7" fillId="2" borderId="15" xfId="0" applyFont="1" applyFill="1" applyBorder="1" applyAlignment="1" applyProtection="1">
      <alignment horizontal="centerContinuous"/>
      <protection/>
    </xf>
    <xf numFmtId="0" fontId="7" fillId="2" borderId="40" xfId="0" applyFont="1" applyFill="1" applyBorder="1" applyAlignment="1" applyProtection="1">
      <alignment horizontal="centerContinuous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7" fillId="2" borderId="7" xfId="0" applyFont="1" applyFill="1" applyBorder="1" applyAlignment="1" applyProtection="1">
      <alignment horizontal="centerContinuous" vertical="center"/>
      <protection/>
    </xf>
    <xf numFmtId="0" fontId="7" fillId="2" borderId="39" xfId="0" applyFont="1" applyFill="1" applyBorder="1" applyAlignment="1" applyProtection="1">
      <alignment horizontal="center" vertical="center" wrapText="1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left"/>
      <protection/>
    </xf>
    <xf numFmtId="0" fontId="10" fillId="2" borderId="1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6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left"/>
      <protection/>
    </xf>
    <xf numFmtId="1" fontId="7" fillId="2" borderId="4" xfId="0" applyNumberFormat="1" applyFont="1" applyFill="1" applyBorder="1" applyAlignment="1" applyProtection="1">
      <alignment horizontal="left"/>
      <protection/>
    </xf>
    <xf numFmtId="1" fontId="7" fillId="2" borderId="6" xfId="0" applyNumberFormat="1" applyFont="1" applyFill="1" applyBorder="1" applyAlignment="1" applyProtection="1">
      <alignment horizontal="left"/>
      <protection/>
    </xf>
    <xf numFmtId="0" fontId="11" fillId="2" borderId="6" xfId="0" applyFont="1" applyFill="1" applyBorder="1" applyAlignment="1" applyProtection="1">
      <alignment horizontal="left"/>
      <protection/>
    </xf>
    <xf numFmtId="1" fontId="11" fillId="2" borderId="6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45" xfId="0" applyFont="1" applyFill="1" applyBorder="1" applyAlignment="1" applyProtection="1">
      <alignment horizontal="center" vertical="center" wrapText="1"/>
      <protection/>
    </xf>
    <xf numFmtId="1" fontId="10" fillId="2" borderId="12" xfId="0" applyNumberFormat="1" applyFont="1" applyFill="1" applyBorder="1" applyAlignment="1" applyProtection="1">
      <alignment horizontal="left"/>
      <protection/>
    </xf>
    <xf numFmtId="0" fontId="1" fillId="2" borderId="13" xfId="0" applyFont="1" applyFill="1" applyBorder="1" applyAlignment="1" applyProtection="1">
      <alignment/>
      <protection/>
    </xf>
    <xf numFmtId="4" fontId="10" fillId="2" borderId="12" xfId="0" applyNumberFormat="1" applyFont="1" applyFill="1" applyBorder="1" applyAlignment="1" applyProtection="1">
      <alignment horizontal="right"/>
      <protection/>
    </xf>
    <xf numFmtId="4" fontId="10" fillId="2" borderId="13" xfId="0" applyNumberFormat="1" applyFont="1" applyFill="1" applyBorder="1" applyAlignment="1" applyProtection="1">
      <alignment horizontal="right"/>
      <protection/>
    </xf>
    <xf numFmtId="193" fontId="11" fillId="2" borderId="4" xfId="0" applyNumberFormat="1" applyFont="1" applyFill="1" applyBorder="1" applyAlignment="1" applyProtection="1">
      <alignment horizontal="left"/>
      <protection/>
    </xf>
    <xf numFmtId="0" fontId="14" fillId="2" borderId="6" xfId="0" applyFont="1" applyFill="1" applyBorder="1" applyAlignment="1" applyProtection="1">
      <alignment/>
      <protection/>
    </xf>
    <xf numFmtId="4" fontId="11" fillId="2" borderId="4" xfId="0" applyNumberFormat="1" applyFont="1" applyFill="1" applyBorder="1" applyAlignment="1" applyProtection="1">
      <alignment horizontal="right"/>
      <protection/>
    </xf>
    <xf numFmtId="4" fontId="11" fillId="2" borderId="6" xfId="0" applyNumberFormat="1" applyFont="1" applyFill="1" applyBorder="1" applyAlignment="1" applyProtection="1">
      <alignment horizontal="right"/>
      <protection/>
    </xf>
    <xf numFmtId="193" fontId="7" fillId="2" borderId="4" xfId="0" applyNumberFormat="1" applyFont="1" applyFill="1" applyBorder="1" applyAlignment="1" applyProtection="1">
      <alignment horizontal="left"/>
      <protection/>
    </xf>
    <xf numFmtId="0" fontId="5" fillId="2" borderId="6" xfId="0" applyFont="1" applyFill="1" applyBorder="1" applyAlignment="1" applyProtection="1">
      <alignment horizontal="left"/>
      <protection/>
    </xf>
    <xf numFmtId="4" fontId="7" fillId="2" borderId="4" xfId="0" applyNumberFormat="1" applyFont="1" applyFill="1" applyBorder="1" applyAlignment="1" applyProtection="1">
      <alignment horizontal="right"/>
      <protection/>
    </xf>
    <xf numFmtId="4" fontId="7" fillId="2" borderId="6" xfId="0" applyNumberFormat="1" applyFont="1" applyFill="1" applyBorder="1" applyAlignment="1" applyProtection="1">
      <alignment horizontal="right"/>
      <protection/>
    </xf>
    <xf numFmtId="0" fontId="7" fillId="2" borderId="6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/>
    </xf>
    <xf numFmtId="4" fontId="10" fillId="2" borderId="47" xfId="0" applyNumberFormat="1" applyFont="1" applyFill="1" applyBorder="1" applyAlignment="1" applyProtection="1">
      <alignment horizontal="right"/>
      <protection/>
    </xf>
    <xf numFmtId="4" fontId="11" fillId="2" borderId="48" xfId="0" applyNumberFormat="1" applyFont="1" applyFill="1" applyBorder="1" applyAlignment="1" applyProtection="1">
      <alignment horizontal="right"/>
      <protection/>
    </xf>
    <xf numFmtId="4" fontId="7" fillId="2" borderId="48" xfId="0" applyNumberFormat="1" applyFont="1" applyFill="1" applyBorder="1" applyAlignment="1" applyProtection="1">
      <alignment horizontal="right"/>
      <protection/>
    </xf>
    <xf numFmtId="4" fontId="8" fillId="0" borderId="48" xfId="0" applyNumberFormat="1" applyFont="1" applyFill="1" applyBorder="1" applyAlignment="1" applyProtection="1">
      <alignment horizontal="right"/>
      <protection locked="0"/>
    </xf>
    <xf numFmtId="4" fontId="8" fillId="0" borderId="49" xfId="0" applyNumberFormat="1" applyFont="1" applyFill="1" applyBorder="1" applyAlignment="1" applyProtection="1">
      <alignment horizontal="right"/>
      <protection locked="0"/>
    </xf>
    <xf numFmtId="0" fontId="7" fillId="2" borderId="5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 horizontal="left"/>
      <protection/>
    </xf>
    <xf numFmtId="0" fontId="7" fillId="2" borderId="50" xfId="0" applyFont="1" applyFill="1" applyBorder="1" applyAlignment="1" applyProtection="1">
      <alignment horizontal="centerContinuous"/>
      <protection/>
    </xf>
    <xf numFmtId="0" fontId="7" fillId="2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48" xfId="0" applyNumberFormat="1" applyFont="1" applyFill="1" applyBorder="1" applyAlignment="1" applyProtection="1">
      <alignment horizontal="right"/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0" fontId="1" fillId="0" borderId="5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4" fillId="2" borderId="52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2" borderId="36" xfId="0" applyFont="1" applyFill="1" applyBorder="1" applyAlignment="1">
      <alignment horizontal="right"/>
    </xf>
    <xf numFmtId="0" fontId="14" fillId="2" borderId="38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/>
    </xf>
    <xf numFmtId="0" fontId="1" fillId="2" borderId="54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56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0" fillId="0" borderId="57" xfId="0" applyFont="1" applyBorder="1" applyAlignment="1">
      <alignment/>
    </xf>
    <xf numFmtId="0" fontId="1" fillId="2" borderId="57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Continuous"/>
    </xf>
    <xf numFmtId="0" fontId="19" fillId="2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18" fillId="2" borderId="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left"/>
    </xf>
    <xf numFmtId="0" fontId="18" fillId="2" borderId="39" xfId="0" applyFont="1" applyFill="1" applyBorder="1" applyAlignment="1">
      <alignment horizontal="left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NumberFormat="1" applyFont="1" applyFill="1" applyBorder="1" applyAlignment="1">
      <alignment horizontal="center" vertical="justify"/>
    </xf>
    <xf numFmtId="0" fontId="18" fillId="3" borderId="39" xfId="0" applyFont="1" applyFill="1" applyBorder="1" applyAlignment="1">
      <alignment horizontal="left"/>
    </xf>
    <xf numFmtId="0" fontId="18" fillId="3" borderId="58" xfId="0" applyFont="1" applyFill="1" applyBorder="1" applyAlignment="1">
      <alignment/>
    </xf>
    <xf numFmtId="0" fontId="19" fillId="3" borderId="4" xfId="0" applyFont="1" applyFill="1" applyBorder="1" applyAlignment="1">
      <alignment horizontal="left"/>
    </xf>
    <xf numFmtId="0" fontId="19" fillId="3" borderId="3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61" xfId="0" applyFont="1" applyFill="1" applyBorder="1" applyAlignment="1">
      <alignment/>
    </xf>
    <xf numFmtId="0" fontId="18" fillId="3" borderId="62" xfId="0" applyFont="1" applyFill="1" applyBorder="1" applyAlignment="1">
      <alignment horizontal="left"/>
    </xf>
    <xf numFmtId="0" fontId="18" fillId="3" borderId="63" xfId="0" applyFont="1" applyFill="1" applyBorder="1" applyAlignment="1">
      <alignment/>
    </xf>
    <xf numFmtId="0" fontId="19" fillId="3" borderId="62" xfId="0" applyFont="1" applyFill="1" applyBorder="1" applyAlignment="1">
      <alignment horizontal="left"/>
    </xf>
    <xf numFmtId="0" fontId="19" fillId="3" borderId="63" xfId="0" applyFont="1" applyFill="1" applyBorder="1" applyAlignment="1">
      <alignment/>
    </xf>
    <xf numFmtId="0" fontId="19" fillId="3" borderId="60" xfId="0" applyFont="1" applyFill="1" applyBorder="1" applyAlignment="1">
      <alignment horizontal="left"/>
    </xf>
    <xf numFmtId="0" fontId="19" fillId="3" borderId="61" xfId="0" applyFont="1" applyFill="1" applyBorder="1" applyAlignment="1">
      <alignment/>
    </xf>
    <xf numFmtId="0" fontId="19" fillId="3" borderId="60" xfId="0" applyFont="1" applyFill="1" applyBorder="1" applyAlignment="1">
      <alignment horizontal="left"/>
    </xf>
    <xf numFmtId="0" fontId="19" fillId="3" borderId="61" xfId="0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2" borderId="50" xfId="0" applyFont="1" applyFill="1" applyBorder="1" applyAlignment="1" applyProtection="1">
      <alignment horizontal="left"/>
      <protection locked="0"/>
    </xf>
    <xf numFmtId="49" fontId="5" fillId="0" borderId="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6" fillId="0" borderId="0" xfId="0" applyFont="1" applyAlignment="1" quotePrefix="1">
      <alignment horizontal="centerContinuous" wrapText="1"/>
    </xf>
    <xf numFmtId="0" fontId="6" fillId="0" borderId="0" xfId="0" applyFont="1" applyAlignment="1">
      <alignment horizontal="centerContinuous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7" fillId="2" borderId="50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0" fillId="0" borderId="7" xfId="0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2" borderId="5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48" xfId="0" applyNumberFormat="1" applyFont="1" applyFill="1" applyBorder="1" applyAlignment="1" applyProtection="1">
      <alignment horizontal="right"/>
      <protection locked="0"/>
    </xf>
    <xf numFmtId="4" fontId="8" fillId="0" borderId="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20" fillId="2" borderId="1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7" fillId="2" borderId="25" xfId="0" applyFont="1" applyFill="1" applyBorder="1" applyAlignment="1" applyProtection="1">
      <alignment horizontal="centerContinuous" vertical="center"/>
      <protection/>
    </xf>
    <xf numFmtId="0" fontId="5" fillId="2" borderId="8" xfId="0" applyFont="1" applyFill="1" applyBorder="1" applyAlignment="1" applyProtection="1">
      <alignment horizontal="centerContinuous" vertical="center"/>
      <protection/>
    </xf>
    <xf numFmtId="0" fontId="7" fillId="2" borderId="13" xfId="0" applyFont="1" applyFill="1" applyBorder="1" applyAlignment="1" applyProtection="1">
      <alignment horizontal="centerContinuous" vertical="center" wrapTex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Continuous" vertical="center"/>
      <protection/>
    </xf>
    <xf numFmtId="0" fontId="5" fillId="2" borderId="65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Continuous" vertical="center" wrapText="1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1" fontId="11" fillId="2" borderId="12" xfId="0" applyNumberFormat="1" applyFont="1" applyFill="1" applyBorder="1" applyAlignment="1" applyProtection="1">
      <alignment horizontal="left"/>
      <protection/>
    </xf>
    <xf numFmtId="0" fontId="14" fillId="2" borderId="25" xfId="0" applyFont="1" applyFill="1" applyBorder="1" applyAlignment="1" applyProtection="1">
      <alignment/>
      <protection/>
    </xf>
    <xf numFmtId="193" fontId="11" fillId="0" borderId="4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8" fillId="0" borderId="6" xfId="0" applyNumberFormat="1" applyFont="1" applyFill="1" applyBorder="1" applyAlignment="1" applyProtection="1">
      <alignment horizontal="right"/>
      <protection/>
    </xf>
    <xf numFmtId="1" fontId="7" fillId="2" borderId="39" xfId="0" applyNumberFormat="1" applyFont="1" applyFill="1" applyBorder="1" applyAlignment="1" applyProtection="1">
      <alignment horizontal="left"/>
      <protection/>
    </xf>
    <xf numFmtId="0" fontId="7" fillId="2" borderId="15" xfId="0" applyFont="1" applyFill="1" applyBorder="1" applyAlignment="1" applyProtection="1">
      <alignment horizontal="left"/>
      <protection/>
    </xf>
    <xf numFmtId="4" fontId="7" fillId="2" borderId="50" xfId="0" applyNumberFormat="1" applyFont="1" applyFill="1" applyBorder="1" applyAlignment="1" applyProtection="1">
      <alignment horizontal="right"/>
      <protection/>
    </xf>
    <xf numFmtId="1" fontId="7" fillId="2" borderId="39" xfId="0" applyNumberFormat="1" applyFont="1" applyFill="1" applyBorder="1" applyAlignment="1" applyProtection="1">
      <alignment/>
      <protection/>
    </xf>
    <xf numFmtId="1" fontId="7" fillId="2" borderId="15" xfId="0" applyNumberFormat="1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0" borderId="39" xfId="0" applyBorder="1" applyAlignment="1">
      <alignment horizontal="left"/>
    </xf>
    <xf numFmtId="1" fontId="7" fillId="0" borderId="15" xfId="0" applyNumberFormat="1" applyFont="1" applyFill="1" applyBorder="1" applyAlignment="1" applyProtection="1">
      <alignment horizontal="centerContinuous"/>
      <protection/>
    </xf>
    <xf numFmtId="1" fontId="7" fillId="0" borderId="40" xfId="0" applyNumberFormat="1" applyFont="1" applyFill="1" applyBorder="1" applyAlignment="1" applyProtection="1">
      <alignment horizontal="centerContinuous"/>
      <protection/>
    </xf>
    <xf numFmtId="4" fontId="7" fillId="3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1" fontId="13" fillId="0" borderId="25" xfId="0" applyNumberFormat="1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193" fontId="11" fillId="2" borderId="0" xfId="0" applyNumberFormat="1" applyFont="1" applyFill="1" applyBorder="1" applyAlignment="1" applyProtection="1">
      <alignment horizontal="left"/>
      <protection/>
    </xf>
    <xf numFmtId="1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1" fontId="10" fillId="2" borderId="15" xfId="0" applyNumberFormat="1" applyFont="1" applyFill="1" applyBorder="1" applyAlignment="1" applyProtection="1">
      <alignment horizontal="left"/>
      <protection/>
    </xf>
    <xf numFmtId="0" fontId="10" fillId="2" borderId="4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left"/>
    </xf>
    <xf numFmtId="0" fontId="11" fillId="0" borderId="13" xfId="0" applyFont="1" applyFill="1" applyBorder="1" applyAlignment="1" applyProtection="1">
      <alignment horizontal="left"/>
      <protection/>
    </xf>
    <xf numFmtId="4" fontId="13" fillId="0" borderId="8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left"/>
    </xf>
    <xf numFmtId="1" fontId="13" fillId="0" borderId="1" xfId="0" applyNumberFormat="1" applyFont="1" applyFill="1" applyBorder="1" applyAlignment="1" applyProtection="1">
      <alignment horizontal="left"/>
      <protection/>
    </xf>
    <xf numFmtId="0" fontId="11" fillId="0" borderId="7" xfId="0" applyFont="1" applyFill="1" applyBorder="1" applyAlignment="1" applyProtection="1">
      <alignment horizontal="left"/>
      <protection/>
    </xf>
    <xf numFmtId="4" fontId="13" fillId="0" borderId="2" xfId="0" applyNumberFormat="1" applyFont="1" applyFill="1" applyBorder="1" applyAlignment="1" applyProtection="1">
      <alignment horizontal="right"/>
      <protection locked="0"/>
    </xf>
    <xf numFmtId="0" fontId="12" fillId="0" borderId="39" xfId="0" applyFont="1" applyBorder="1" applyAlignment="1">
      <alignment horizontal="left"/>
    </xf>
    <xf numFmtId="1" fontId="11" fillId="2" borderId="15" xfId="0" applyNumberFormat="1" applyFont="1" applyFill="1" applyBorder="1" applyAlignment="1" applyProtection="1">
      <alignment horizontal="left"/>
      <protection/>
    </xf>
    <xf numFmtId="0" fontId="11" fillId="2" borderId="40" xfId="0" applyFont="1" applyFill="1" applyBorder="1" applyAlignment="1" applyProtection="1">
      <alignment horizontal="left"/>
      <protection/>
    </xf>
    <xf numFmtId="4" fontId="11" fillId="2" borderId="2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>
      <alignment horizontal="left"/>
    </xf>
    <xf numFmtId="1" fontId="7" fillId="0" borderId="25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7" fillId="0" borderId="1" xfId="0" applyNumberFormat="1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" fontId="7" fillId="2" borderId="15" xfId="0" applyNumberFormat="1" applyFont="1" applyFill="1" applyBorder="1" applyAlignment="1" applyProtection="1">
      <alignment horizontal="left"/>
      <protection/>
    </xf>
    <xf numFmtId="0" fontId="7" fillId="2" borderId="40" xfId="0" applyFont="1" applyFill="1" applyBorder="1" applyAlignment="1" applyProtection="1">
      <alignment horizontal="left"/>
      <protection/>
    </xf>
    <xf numFmtId="0" fontId="14" fillId="2" borderId="15" xfId="0" applyFont="1" applyFill="1" applyBorder="1" applyAlignment="1" applyProtection="1">
      <alignment/>
      <protection/>
    </xf>
    <xf numFmtId="10" fontId="7" fillId="2" borderId="50" xfId="21" applyNumberFormat="1" applyFont="1" applyFill="1" applyBorder="1" applyAlignment="1" applyProtection="1">
      <alignment horizontal="right"/>
      <protection/>
    </xf>
    <xf numFmtId="1" fontId="7" fillId="2" borderId="1" xfId="0" applyNumberFormat="1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left"/>
      <protection/>
    </xf>
    <xf numFmtId="10" fontId="7" fillId="2" borderId="2" xfId="21" applyNumberFormat="1" applyFont="1" applyFill="1" applyBorder="1" applyAlignment="1" applyProtection="1">
      <alignment horizontal="right"/>
      <protection/>
    </xf>
    <xf numFmtId="4" fontId="22" fillId="3" borderId="50" xfId="0" applyNumberFormat="1" applyFont="1" applyFill="1" applyBorder="1" applyAlignment="1" applyProtection="1">
      <alignment horizontal="center"/>
      <protection/>
    </xf>
    <xf numFmtId="4" fontId="22" fillId="2" borderId="5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193" fontId="7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193" fontId="7" fillId="0" borderId="0" xfId="0" applyNumberFormat="1" applyFont="1" applyFill="1" applyBorder="1" applyAlignment="1" applyProtection="1">
      <alignment horizontal="left"/>
      <protection/>
    </xf>
    <xf numFmtId="196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2" fontId="2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2" fontId="24" fillId="0" borderId="0" xfId="0" applyNumberFormat="1" applyFont="1" applyFill="1" applyBorder="1" applyAlignment="1" applyProtection="1">
      <alignment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/>
    </xf>
    <xf numFmtId="4" fontId="23" fillId="0" borderId="4" xfId="0" applyNumberFormat="1" applyFont="1" applyFill="1" applyBorder="1" applyAlignment="1" applyProtection="1">
      <alignment horizontal="right"/>
      <protection locked="0"/>
    </xf>
    <xf numFmtId="4" fontId="26" fillId="0" borderId="4" xfId="0" applyNumberFormat="1" applyFont="1" applyFill="1" applyBorder="1" applyAlignment="1" applyProtection="1">
      <alignment horizontal="right"/>
      <protection locked="0"/>
    </xf>
    <xf numFmtId="9" fontId="27" fillId="0" borderId="0" xfId="21" applyFont="1" applyFill="1" applyBorder="1" applyAlignment="1" applyProtection="1">
      <alignment/>
      <protection locked="0"/>
    </xf>
    <xf numFmtId="4" fontId="23" fillId="0" borderId="48" xfId="0" applyNumberFormat="1" applyFont="1" applyFill="1" applyBorder="1" applyAlignment="1" applyProtection="1">
      <alignment horizontal="right"/>
      <protection locked="0"/>
    </xf>
    <xf numFmtId="4" fontId="23" fillId="0" borderId="6" xfId="0" applyNumberFormat="1" applyFont="1" applyFill="1" applyBorder="1" applyAlignment="1" applyProtection="1">
      <alignment horizontal="right"/>
      <protection locked="0"/>
    </xf>
    <xf numFmtId="2" fontId="28" fillId="0" borderId="0" xfId="0" applyNumberFormat="1" applyFont="1" applyFill="1" applyAlignment="1" applyProtection="1">
      <alignment/>
      <protection locked="0"/>
    </xf>
    <xf numFmtId="4" fontId="26" fillId="0" borderId="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/>
      <protection locked="0"/>
    </xf>
    <xf numFmtId="2" fontId="28" fillId="0" borderId="0" xfId="0" applyNumberFormat="1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/>
      <protection/>
    </xf>
    <xf numFmtId="0" fontId="13" fillId="0" borderId="6" xfId="0" applyFont="1" applyFill="1" applyBorder="1" applyAlignment="1" applyProtection="1">
      <alignment horizontal="left"/>
      <protection/>
    </xf>
    <xf numFmtId="0" fontId="30" fillId="0" borderId="6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1" fontId="7" fillId="0" borderId="5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4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Continuous"/>
      <protection/>
    </xf>
    <xf numFmtId="0" fontId="31" fillId="0" borderId="0" xfId="0" applyFont="1" applyFill="1" applyBorder="1" applyAlignment="1" applyProtection="1">
      <alignment horizontal="right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/>
    </xf>
    <xf numFmtId="0" fontId="31" fillId="2" borderId="15" xfId="0" applyFont="1" applyFill="1" applyBorder="1" applyAlignment="1" applyProtection="1">
      <alignment horizontal="center" vertical="center" wrapText="1"/>
      <protection/>
    </xf>
    <xf numFmtId="0" fontId="31" fillId="2" borderId="50" xfId="0" applyFont="1" applyFill="1" applyBorder="1" applyAlignment="1" applyProtection="1">
      <alignment horizontal="center" vertical="center" wrapText="1"/>
      <protection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8" xfId="0" applyFont="1" applyFill="1" applyBorder="1" applyAlignment="1" applyProtection="1">
      <alignment/>
      <protection locked="0"/>
    </xf>
    <xf numFmtId="0" fontId="31" fillId="0" borderId="25" xfId="0" applyFont="1" applyFill="1" applyBorder="1" applyAlignment="1" applyProtection="1">
      <alignment/>
      <protection locked="0"/>
    </xf>
    <xf numFmtId="0" fontId="34" fillId="0" borderId="8" xfId="0" applyFont="1" applyFill="1" applyBorder="1" applyAlignment="1" applyProtection="1">
      <alignment/>
      <protection locked="0"/>
    </xf>
    <xf numFmtId="0" fontId="31" fillId="0" borderId="65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3" fillId="0" borderId="65" xfId="0" applyFont="1" applyFill="1" applyBorder="1" applyAlignment="1" applyProtection="1">
      <alignment/>
      <protection locked="0"/>
    </xf>
    <xf numFmtId="0" fontId="31" fillId="0" borderId="2" xfId="0" applyFont="1" applyFill="1" applyBorder="1" applyAlignment="1" applyProtection="1">
      <alignment/>
      <protection locked="0"/>
    </xf>
    <xf numFmtId="0" fontId="31" fillId="0" borderId="1" xfId="0" applyFont="1" applyFill="1" applyBorder="1" applyAlignment="1" applyProtection="1">
      <alignment/>
      <protection locked="0"/>
    </xf>
    <xf numFmtId="0" fontId="33" fillId="0" borderId="2" xfId="0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 horizontal="right"/>
      <protection/>
    </xf>
    <xf numFmtId="4" fontId="8" fillId="0" borderId="48" xfId="0" applyNumberFormat="1" applyFont="1" applyFill="1" applyBorder="1" applyAlignment="1" applyProtection="1">
      <alignment horizontal="right"/>
      <protection/>
    </xf>
    <xf numFmtId="0" fontId="31" fillId="0" borderId="8" xfId="0" applyFont="1" applyFill="1" applyBorder="1" applyAlignment="1" applyProtection="1">
      <alignment/>
      <protection/>
    </xf>
    <xf numFmtId="0" fontId="31" fillId="0" borderId="65" xfId="0" applyFont="1" applyFill="1" applyBorder="1" applyAlignment="1" applyProtection="1">
      <alignment/>
      <protection/>
    </xf>
    <xf numFmtId="0" fontId="31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1" fontId="11" fillId="0" borderId="4" xfId="0" applyNumberFormat="1" applyFont="1" applyFill="1" applyBorder="1" applyAlignment="1" applyProtection="1">
      <alignment horizontal="left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50" xfId="0" applyFont="1" applyFill="1" applyBorder="1" applyAlignment="1" applyProtection="1">
      <alignment horizontal="left"/>
      <protection/>
    </xf>
    <xf numFmtId="0" fontId="7" fillId="4" borderId="50" xfId="0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centerContinuous"/>
      <protection/>
    </xf>
    <xf numFmtId="0" fontId="7" fillId="4" borderId="12" xfId="0" applyFont="1" applyFill="1" applyBorder="1" applyAlignment="1" applyProtection="1">
      <alignment horizontal="centerContinuous" vertical="center"/>
      <protection/>
    </xf>
    <xf numFmtId="0" fontId="7" fillId="4" borderId="13" xfId="0" applyFont="1" applyFill="1" applyBorder="1" applyAlignment="1" applyProtection="1">
      <alignment horizontal="centerContinuous" vertical="center"/>
      <protection/>
    </xf>
    <xf numFmtId="0" fontId="7" fillId="4" borderId="39" xfId="0" applyFont="1" applyFill="1" applyBorder="1" applyAlignment="1" applyProtection="1">
      <alignment horizontal="centerContinuous"/>
      <protection/>
    </xf>
    <xf numFmtId="0" fontId="7" fillId="4" borderId="15" xfId="0" applyFont="1" applyFill="1" applyBorder="1" applyAlignment="1" applyProtection="1">
      <alignment horizontal="centerContinuous"/>
      <protection/>
    </xf>
    <xf numFmtId="0" fontId="7" fillId="4" borderId="40" xfId="0" applyFont="1" applyFill="1" applyBorder="1" applyAlignment="1" applyProtection="1">
      <alignment horizontal="centerContinuous"/>
      <protection/>
    </xf>
    <xf numFmtId="0" fontId="7" fillId="4" borderId="5" xfId="0" applyFont="1" applyFill="1" applyBorder="1" applyAlignment="1" applyProtection="1">
      <alignment horizontal="centerContinuous" vertical="center"/>
      <protection/>
    </xf>
    <xf numFmtId="0" fontId="7" fillId="4" borderId="7" xfId="0" applyFont="1" applyFill="1" applyBorder="1" applyAlignment="1" applyProtection="1">
      <alignment horizontal="centerContinuous" vertical="center"/>
      <protection/>
    </xf>
    <xf numFmtId="0" fontId="7" fillId="4" borderId="39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50" xfId="0" applyFont="1" applyFill="1" applyBorder="1" applyAlignment="1" applyProtection="1">
      <alignment horizontal="center" vertical="center" wrapText="1"/>
      <protection/>
    </xf>
    <xf numFmtId="0" fontId="7" fillId="4" borderId="40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left"/>
      <protection/>
    </xf>
    <xf numFmtId="0" fontId="11" fillId="4" borderId="6" xfId="0" applyFont="1" applyFill="1" applyBorder="1" applyAlignment="1" applyProtection="1">
      <alignment/>
      <protection/>
    </xf>
    <xf numFmtId="0" fontId="7" fillId="4" borderId="6" xfId="0" applyFont="1" applyFill="1" applyBorder="1" applyAlignment="1" applyProtection="1">
      <alignment horizontal="left"/>
      <protection/>
    </xf>
    <xf numFmtId="0" fontId="7" fillId="4" borderId="4" xfId="0" applyFont="1" applyFill="1" applyBorder="1" applyAlignment="1" applyProtection="1">
      <alignment horizontal="left"/>
      <protection/>
    </xf>
    <xf numFmtId="0" fontId="35" fillId="3" borderId="39" xfId="0" applyNumberFormat="1" applyFont="1" applyFill="1" applyBorder="1" applyAlignment="1" applyProtection="1">
      <alignment horizontal="right"/>
      <protection/>
    </xf>
    <xf numFmtId="0" fontId="35" fillId="3" borderId="40" xfId="0" applyFont="1" applyFill="1" applyBorder="1" applyAlignment="1" applyProtection="1">
      <alignment horizontal="right"/>
      <protection/>
    </xf>
    <xf numFmtId="1" fontId="11" fillId="4" borderId="4" xfId="0" applyNumberFormat="1" applyFont="1" applyFill="1" applyBorder="1" applyAlignment="1" applyProtection="1">
      <alignment horizontal="left"/>
      <protection/>
    </xf>
    <xf numFmtId="1" fontId="11" fillId="4" borderId="6" xfId="0" applyNumberFormat="1" applyFont="1" applyFill="1" applyBorder="1" applyAlignment="1" applyProtection="1">
      <alignment horizontal="left"/>
      <protection/>
    </xf>
    <xf numFmtId="1" fontId="7" fillId="4" borderId="4" xfId="0" applyNumberFormat="1" applyFont="1" applyFill="1" applyBorder="1" applyAlignment="1" applyProtection="1">
      <alignment horizontal="left"/>
      <protection/>
    </xf>
    <xf numFmtId="0" fontId="7" fillId="4" borderId="12" xfId="0" applyNumberFormat="1" applyFont="1" applyFill="1" applyBorder="1" applyAlignment="1" applyProtection="1">
      <alignment horizontal="left"/>
      <protection/>
    </xf>
    <xf numFmtId="1" fontId="7" fillId="4" borderId="13" xfId="0" applyNumberFormat="1" applyFont="1" applyFill="1" applyBorder="1" applyAlignment="1" applyProtection="1">
      <alignment horizontal="left"/>
      <protection/>
    </xf>
    <xf numFmtId="0" fontId="7" fillId="4" borderId="4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quotePrefix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7" fillId="0" borderId="0" xfId="0" applyFont="1" applyAlignment="1">
      <alignment horizontal="centerContinuous"/>
    </xf>
    <xf numFmtId="0" fontId="37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47" xfId="0" applyFill="1" applyBorder="1" applyAlignment="1">
      <alignment/>
    </xf>
    <xf numFmtId="0" fontId="14" fillId="2" borderId="66" xfId="0" applyFont="1" applyFill="1" applyBorder="1" applyAlignment="1">
      <alignment horizontal="centerContinuous"/>
    </xf>
    <xf numFmtId="0" fontId="14" fillId="2" borderId="67" xfId="0" applyFont="1" applyFill="1" applyBorder="1" applyAlignment="1">
      <alignment horizontal="centerContinuous"/>
    </xf>
    <xf numFmtId="0" fontId="14" fillId="2" borderId="68" xfId="0" applyFont="1" applyFill="1" applyBorder="1" applyAlignment="1">
      <alignment horizontal="centerContinuous"/>
    </xf>
    <xf numFmtId="0" fontId="34" fillId="2" borderId="4" xfId="0" applyFont="1" applyFill="1" applyBorder="1" applyAlignment="1">
      <alignment horizontal="center"/>
    </xf>
    <xf numFmtId="0" fontId="34" fillId="2" borderId="48" xfId="0" applyFont="1" applyFill="1" applyBorder="1" applyAlignment="1">
      <alignment horizontal="center"/>
    </xf>
    <xf numFmtId="0" fontId="34" fillId="2" borderId="69" xfId="0" applyFont="1" applyFill="1" applyBorder="1" applyAlignment="1">
      <alignment horizontal="centerContinuous"/>
    </xf>
    <xf numFmtId="0" fontId="34" fillId="2" borderId="48" xfId="0" applyFont="1" applyFill="1" applyBorder="1" applyAlignment="1">
      <alignment horizontal="centerContinuous"/>
    </xf>
    <xf numFmtId="0" fontId="34" fillId="2" borderId="0" xfId="0" applyFont="1" applyFill="1" applyBorder="1" applyAlignment="1">
      <alignment horizontal="center"/>
    </xf>
    <xf numFmtId="0" fontId="34" fillId="2" borderId="38" xfId="0" applyFont="1" applyFill="1" applyBorder="1" applyAlignment="1">
      <alignment/>
    </xf>
    <xf numFmtId="0" fontId="34" fillId="2" borderId="70" xfId="0" applyFont="1" applyFill="1" applyBorder="1" applyAlignment="1">
      <alignment horizontal="center"/>
    </xf>
    <xf numFmtId="0" fontId="34" fillId="2" borderId="3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34" fillId="2" borderId="49" xfId="0" applyFont="1" applyFill="1" applyBorder="1" applyAlignment="1">
      <alignment horizontal="center"/>
    </xf>
    <xf numFmtId="0" fontId="34" fillId="2" borderId="64" xfId="0" applyFont="1" applyFill="1" applyBorder="1" applyAlignment="1">
      <alignment horizontal="center"/>
    </xf>
    <xf numFmtId="0" fontId="34" fillId="2" borderId="71" xfId="0" applyFont="1" applyFill="1" applyBorder="1" applyAlignment="1">
      <alignment horizontal="center"/>
    </xf>
    <xf numFmtId="0" fontId="34" fillId="2" borderId="72" xfId="0" applyFont="1" applyFill="1" applyBorder="1" applyAlignment="1">
      <alignment horizontal="center"/>
    </xf>
    <xf numFmtId="0" fontId="34" fillId="0" borderId="4" xfId="0" applyFont="1" applyBorder="1" applyAlignment="1">
      <alignment horizontal="centerContinuous"/>
    </xf>
    <xf numFmtId="0" fontId="5" fillId="0" borderId="44" xfId="0" applyFont="1" applyBorder="1" applyAlignment="1">
      <alignment/>
    </xf>
    <xf numFmtId="0" fontId="34" fillId="0" borderId="47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47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33" fillId="0" borderId="44" xfId="0" applyFont="1" applyBorder="1" applyAlignment="1">
      <alignment/>
    </xf>
    <xf numFmtId="0" fontId="33" fillId="0" borderId="51" xfId="0" applyFont="1" applyBorder="1" applyAlignment="1">
      <alignment horizontal="left"/>
    </xf>
    <xf numFmtId="0" fontId="33" fillId="0" borderId="38" xfId="0" applyFont="1" applyBorder="1" applyAlignment="1">
      <alignment horizontal="centerContinuous" vertical="top"/>
    </xf>
    <xf numFmtId="0" fontId="33" fillId="0" borderId="48" xfId="0" applyFont="1" applyBorder="1" applyAlignment="1">
      <alignment horizontal="left"/>
    </xf>
    <xf numFmtId="194" fontId="39" fillId="0" borderId="37" xfId="21" applyNumberFormat="1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9" fontId="39" fillId="0" borderId="38" xfId="21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9" fontId="39" fillId="0" borderId="36" xfId="21" applyFont="1" applyBorder="1" applyAlignment="1">
      <alignment horizontal="center"/>
    </xf>
    <xf numFmtId="0" fontId="33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33" fillId="0" borderId="48" xfId="0" applyFont="1" applyBorder="1" applyAlignment="1">
      <alignment horizontal="centerContinuous"/>
    </xf>
    <xf numFmtId="0" fontId="5" fillId="0" borderId="48" xfId="0" applyFont="1" applyBorder="1" applyAlignment="1">
      <alignment/>
    </xf>
    <xf numFmtId="0" fontId="33" fillId="0" borderId="48" xfId="0" applyFont="1" applyBorder="1" applyAlignment="1">
      <alignment/>
    </xf>
    <xf numFmtId="0" fontId="5" fillId="0" borderId="74" xfId="0" applyFont="1" applyBorder="1" applyAlignment="1">
      <alignment/>
    </xf>
    <xf numFmtId="0" fontId="40" fillId="0" borderId="75" xfId="0" applyFont="1" applyBorder="1" applyAlignment="1">
      <alignment horizontal="left"/>
    </xf>
    <xf numFmtId="194" fontId="39" fillId="0" borderId="63" xfId="21" applyNumberFormat="1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3" fillId="0" borderId="75" xfId="0" applyFont="1" applyBorder="1" applyAlignment="1">
      <alignment horizontal="left"/>
    </xf>
    <xf numFmtId="9" fontId="39" fillId="0" borderId="74" xfId="21" applyFont="1" applyBorder="1" applyAlignment="1">
      <alignment horizontal="center"/>
    </xf>
    <xf numFmtId="0" fontId="33" fillId="0" borderId="74" xfId="0" applyFont="1" applyBorder="1" applyAlignment="1">
      <alignment/>
    </xf>
    <xf numFmtId="9" fontId="39" fillId="0" borderId="76" xfId="21" applyFont="1" applyBorder="1" applyAlignment="1">
      <alignment horizontal="center"/>
    </xf>
    <xf numFmtId="0" fontId="33" fillId="0" borderId="77" xfId="0" applyFont="1" applyBorder="1" applyAlignment="1">
      <alignment horizontal="centerContinuous"/>
    </xf>
    <xf numFmtId="0" fontId="33" fillId="0" borderId="77" xfId="0" applyFont="1" applyBorder="1" applyAlignment="1">
      <alignment horizontal="left"/>
    </xf>
    <xf numFmtId="194" fontId="39" fillId="0" borderId="48" xfId="21" applyNumberFormat="1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3" fillId="0" borderId="37" xfId="0" applyFont="1" applyBorder="1" applyAlignment="1">
      <alignment horizontal="left"/>
    </xf>
    <xf numFmtId="9" fontId="39" fillId="0" borderId="48" xfId="2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48" xfId="0" applyFont="1" applyBorder="1" applyAlignment="1">
      <alignment horizontal="center" vertical="justify"/>
    </xf>
    <xf numFmtId="0" fontId="33" fillId="0" borderId="48" xfId="0" applyFont="1" applyBorder="1" applyAlignment="1">
      <alignment vertical="justify"/>
    </xf>
    <xf numFmtId="194" fontId="39" fillId="0" borderId="48" xfId="21" applyNumberFormat="1" applyFont="1" applyBorder="1" applyAlignment="1">
      <alignment horizontal="center" vertical="justify"/>
    </xf>
    <xf numFmtId="0" fontId="33" fillId="0" borderId="35" xfId="0" applyFont="1" applyBorder="1" applyAlignment="1">
      <alignment horizontal="centerContinuous"/>
    </xf>
    <xf numFmtId="0" fontId="33" fillId="0" borderId="75" xfId="0" applyFont="1" applyBorder="1" applyAlignment="1">
      <alignment horizontal="center"/>
    </xf>
    <xf numFmtId="0" fontId="40" fillId="0" borderId="75" xfId="0" applyFont="1" applyBorder="1" applyAlignment="1">
      <alignment vertical="justify"/>
    </xf>
    <xf numFmtId="194" fontId="39" fillId="0" borderId="37" xfId="21" applyNumberFormat="1" applyFont="1" applyBorder="1" applyAlignment="1">
      <alignment horizontal="center" vertical="justify"/>
    </xf>
    <xf numFmtId="0" fontId="33" fillId="0" borderId="37" xfId="0" applyFont="1" applyBorder="1" applyAlignment="1">
      <alignment vertical="justify"/>
    </xf>
    <xf numFmtId="9" fontId="39" fillId="0" borderId="48" xfId="21" applyFont="1" applyBorder="1" applyAlignment="1">
      <alignment horizontal="center" vertical="justify"/>
    </xf>
    <xf numFmtId="0" fontId="33" fillId="0" borderId="0" xfId="0" applyFont="1" applyBorder="1" applyAlignment="1">
      <alignment vertical="justify"/>
    </xf>
    <xf numFmtId="9" fontId="39" fillId="0" borderId="36" xfId="21" applyFont="1" applyBorder="1" applyAlignment="1">
      <alignment horizontal="center" vertical="justify"/>
    </xf>
    <xf numFmtId="0" fontId="33" fillId="0" borderId="77" xfId="0" applyFont="1" applyBorder="1" applyAlignment="1">
      <alignment horizontal="centerContinuous"/>
    </xf>
    <xf numFmtId="0" fontId="33" fillId="0" borderId="77" xfId="0" applyFont="1" applyBorder="1" applyAlignment="1">
      <alignment vertical="justify"/>
    </xf>
    <xf numFmtId="194" fontId="39" fillId="0" borderId="77" xfId="21" applyNumberFormat="1" applyFont="1" applyBorder="1" applyAlignment="1">
      <alignment horizontal="center" vertical="justify"/>
    </xf>
    <xf numFmtId="9" fontId="39" fillId="0" borderId="77" xfId="21" applyFont="1" applyBorder="1" applyAlignment="1">
      <alignment horizontal="center" vertical="justify"/>
    </xf>
    <xf numFmtId="0" fontId="33" fillId="0" borderId="70" xfId="0" applyFont="1" applyBorder="1" applyAlignment="1">
      <alignment vertical="justify"/>
    </xf>
    <xf numFmtId="9" fontId="39" fillId="0" borderId="78" xfId="21" applyFont="1" applyBorder="1" applyAlignment="1">
      <alignment horizontal="center" vertical="justify"/>
    </xf>
    <xf numFmtId="0" fontId="33" fillId="0" borderId="0" xfId="0" applyFont="1" applyBorder="1" applyAlignment="1">
      <alignment horizontal="centerContinuous"/>
    </xf>
    <xf numFmtId="0" fontId="33" fillId="0" borderId="38" xfId="0" applyFont="1" applyBorder="1" applyAlignment="1">
      <alignment vertical="justify"/>
    </xf>
    <xf numFmtId="0" fontId="33" fillId="0" borderId="0" xfId="0" applyFont="1" applyBorder="1" applyAlignment="1">
      <alignment horizontal="center" vertical="justify"/>
    </xf>
    <xf numFmtId="0" fontId="40" fillId="0" borderId="48" xfId="0" applyFont="1" applyBorder="1" applyAlignment="1">
      <alignment vertical="justify"/>
    </xf>
    <xf numFmtId="0" fontId="33" fillId="0" borderId="79" xfId="0" applyFont="1" applyBorder="1" applyAlignment="1">
      <alignment horizontal="centerContinuous"/>
    </xf>
    <xf numFmtId="0" fontId="33" fillId="0" borderId="75" xfId="0" applyFont="1" applyBorder="1" applyAlignment="1">
      <alignment vertical="justify"/>
    </xf>
    <xf numFmtId="194" fontId="39" fillId="0" borderId="75" xfId="21" applyNumberFormat="1" applyFont="1" applyBorder="1" applyAlignment="1">
      <alignment horizontal="center" vertical="justify"/>
    </xf>
    <xf numFmtId="0" fontId="33" fillId="0" borderId="4" xfId="0" applyFont="1" applyBorder="1" applyAlignment="1">
      <alignment horizontal="centerContinuous" vertical="justify"/>
    </xf>
    <xf numFmtId="0" fontId="0" fillId="0" borderId="77" xfId="0" applyBorder="1" applyAlignment="1">
      <alignment/>
    </xf>
    <xf numFmtId="194" fontId="39" fillId="0" borderId="38" xfId="21" applyNumberFormat="1" applyFont="1" applyBorder="1" applyAlignment="1">
      <alignment horizontal="center"/>
    </xf>
    <xf numFmtId="0" fontId="25" fillId="2" borderId="80" xfId="0" applyFont="1" applyFill="1" applyBorder="1" applyAlignment="1">
      <alignment horizontal="centerContinuous"/>
    </xf>
    <xf numFmtId="9" fontId="39" fillId="2" borderId="81" xfId="21" applyFont="1" applyFill="1" applyBorder="1" applyAlignment="1">
      <alignment horizontal="centerContinuous"/>
    </xf>
    <xf numFmtId="0" fontId="25" fillId="2" borderId="61" xfId="0" applyFont="1" applyFill="1" applyBorder="1" applyAlignment="1">
      <alignment horizontal="centerContinuous"/>
    </xf>
    <xf numFmtId="0" fontId="41" fillId="2" borderId="80" xfId="0" applyFont="1" applyFill="1" applyBorder="1" applyAlignment="1">
      <alignment horizontal="centerContinuous"/>
    </xf>
    <xf numFmtId="9" fontId="39" fillId="2" borderId="82" xfId="21" applyFont="1" applyFill="1" applyBorder="1" applyAlignment="1">
      <alignment horizontal="centerContinuous"/>
    </xf>
    <xf numFmtId="0" fontId="34" fillId="0" borderId="4" xfId="0" applyFont="1" applyBorder="1" applyAlignment="1">
      <alignment horizontal="centerContinuous" vertical="justify"/>
    </xf>
    <xf numFmtId="0" fontId="34" fillId="0" borderId="48" xfId="0" applyFont="1" applyBorder="1" applyAlignment="1">
      <alignment horizontal="right" vertical="justify"/>
    </xf>
    <xf numFmtId="0" fontId="0" fillId="0" borderId="37" xfId="0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194" fontId="39" fillId="0" borderId="36" xfId="21" applyNumberFormat="1" applyFont="1" applyBorder="1" applyAlignment="1">
      <alignment horizontal="center"/>
    </xf>
    <xf numFmtId="0" fontId="33" fillId="0" borderId="48" xfId="0" applyFont="1" applyBorder="1" applyAlignment="1">
      <alignment horizontal="centerContinuous" vertical="justify"/>
    </xf>
    <xf numFmtId="0" fontId="33" fillId="0" borderId="35" xfId="0" applyFont="1" applyBorder="1" applyAlignment="1">
      <alignment horizontal="centerContinuous" vertical="justify"/>
    </xf>
    <xf numFmtId="0" fontId="33" fillId="0" borderId="48" xfId="0" applyFont="1" applyBorder="1" applyAlignment="1">
      <alignment horizontal="center"/>
    </xf>
    <xf numFmtId="9" fontId="42" fillId="0" borderId="48" xfId="0" applyNumberFormat="1" applyFont="1" applyBorder="1" applyAlignment="1">
      <alignment horizontal="center"/>
    </xf>
    <xf numFmtId="194" fontId="39" fillId="0" borderId="0" xfId="21" applyNumberFormat="1" applyFont="1" applyBorder="1" applyAlignment="1">
      <alignment horizontal="center"/>
    </xf>
    <xf numFmtId="0" fontId="33" fillId="0" borderId="75" xfId="0" applyFont="1" applyBorder="1" applyAlignment="1">
      <alignment/>
    </xf>
    <xf numFmtId="194" fontId="39" fillId="0" borderId="75" xfId="21" applyNumberFormat="1" applyFont="1" applyBorder="1" applyAlignment="1">
      <alignment horizontal="center"/>
    </xf>
    <xf numFmtId="0" fontId="33" fillId="0" borderId="83" xfId="0" applyFont="1" applyBorder="1" applyAlignment="1">
      <alignment/>
    </xf>
    <xf numFmtId="0" fontId="33" fillId="0" borderId="77" xfId="0" applyFont="1" applyBorder="1" applyAlignment="1">
      <alignment/>
    </xf>
    <xf numFmtId="0" fontId="33" fillId="0" borderId="84" xfId="0" applyFont="1" applyBorder="1" applyAlignment="1">
      <alignment/>
    </xf>
    <xf numFmtId="194" fontId="39" fillId="0" borderId="84" xfId="21" applyNumberFormat="1" applyFont="1" applyBorder="1" applyAlignment="1">
      <alignment horizontal="center"/>
    </xf>
    <xf numFmtId="194" fontId="39" fillId="0" borderId="77" xfId="21" applyNumberFormat="1" applyFont="1" applyBorder="1" applyAlignment="1">
      <alignment horizontal="center"/>
    </xf>
    <xf numFmtId="194" fontId="39" fillId="0" borderId="78" xfId="21" applyNumberFormat="1" applyFont="1" applyBorder="1" applyAlignment="1">
      <alignment horizontal="center"/>
    </xf>
    <xf numFmtId="0" fontId="33" fillId="0" borderId="48" xfId="0" applyFont="1" applyBorder="1" applyAlignment="1">
      <alignment/>
    </xf>
    <xf numFmtId="0" fontId="33" fillId="0" borderId="38" xfId="0" applyFont="1" applyBorder="1" applyAlignment="1">
      <alignment/>
    </xf>
    <xf numFmtId="194" fontId="39" fillId="0" borderId="76" xfId="2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85" xfId="0" applyFont="1" applyBorder="1" applyAlignment="1">
      <alignment horizontal="centerContinuous" vertical="justify"/>
    </xf>
    <xf numFmtId="0" fontId="33" fillId="0" borderId="49" xfId="0" applyFont="1" applyBorder="1" applyAlignment="1">
      <alignment/>
    </xf>
    <xf numFmtId="194" fontId="39" fillId="0" borderId="1" xfId="21" applyNumberFormat="1" applyFont="1" applyBorder="1" applyAlignment="1">
      <alignment horizontal="center"/>
    </xf>
    <xf numFmtId="194" fontId="39" fillId="0" borderId="49" xfId="21" applyNumberFormat="1" applyFont="1" applyBorder="1" applyAlignment="1">
      <alignment horizontal="center"/>
    </xf>
    <xf numFmtId="0" fontId="33" fillId="0" borderId="1" xfId="0" applyFont="1" applyBorder="1" applyAlignment="1">
      <alignment/>
    </xf>
    <xf numFmtId="194" fontId="39" fillId="0" borderId="72" xfId="21" applyNumberFormat="1" applyFont="1" applyBorder="1" applyAlignment="1">
      <alignment horizontal="center"/>
    </xf>
    <xf numFmtId="194" fontId="33" fillId="0" borderId="0" xfId="0" applyNumberFormat="1" applyFont="1" applyAlignment="1">
      <alignment/>
    </xf>
    <xf numFmtId="194" fontId="0" fillId="0" borderId="0" xfId="0" applyNumberFormat="1" applyFont="1" applyAlignment="1">
      <alignment horizontal="centerContinuous"/>
    </xf>
    <xf numFmtId="194" fontId="34" fillId="2" borderId="81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47" xfId="0" applyFont="1" applyBorder="1" applyAlignment="1">
      <alignment/>
    </xf>
    <xf numFmtId="0" fontId="34" fillId="0" borderId="25" xfId="0" applyFont="1" applyBorder="1" applyAlignment="1">
      <alignment horizontal="center"/>
    </xf>
    <xf numFmtId="194" fontId="39" fillId="0" borderId="74" xfId="21" applyNumberFormat="1" applyFont="1" applyBorder="1" applyAlignment="1">
      <alignment horizontal="center"/>
    </xf>
    <xf numFmtId="0" fontId="33" fillId="0" borderId="77" xfId="0" applyFont="1" applyBorder="1" applyAlignment="1">
      <alignment horizontal="center"/>
    </xf>
    <xf numFmtId="194" fontId="39" fillId="0" borderId="83" xfId="21" applyNumberFormat="1" applyFont="1" applyBorder="1" applyAlignment="1">
      <alignment horizontal="center"/>
    </xf>
    <xf numFmtId="0" fontId="33" fillId="0" borderId="63" xfId="0" applyFont="1" applyBorder="1" applyAlignment="1">
      <alignment/>
    </xf>
    <xf numFmtId="0" fontId="0" fillId="0" borderId="48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 horizontal="center"/>
    </xf>
    <xf numFmtId="194" fontId="39" fillId="0" borderId="70" xfId="21" applyNumberFormat="1" applyFont="1" applyBorder="1" applyAlignment="1">
      <alignment horizontal="center"/>
    </xf>
    <xf numFmtId="194" fontId="39" fillId="0" borderId="69" xfId="21" applyNumberFormat="1" applyFont="1" applyBorder="1" applyAlignment="1">
      <alignment horizontal="center"/>
    </xf>
    <xf numFmtId="0" fontId="33" fillId="0" borderId="70" xfId="0" applyFont="1" applyBorder="1" applyAlignment="1">
      <alignment/>
    </xf>
    <xf numFmtId="0" fontId="39" fillId="0" borderId="0" xfId="0" applyFont="1" applyAlignment="1">
      <alignment/>
    </xf>
    <xf numFmtId="0" fontId="33" fillId="0" borderId="49" xfId="0" applyFont="1" applyBorder="1" applyAlignment="1">
      <alignment horizontal="center"/>
    </xf>
    <xf numFmtId="194" fontId="39" fillId="0" borderId="64" xfId="21" applyNumberFormat="1" applyFont="1" applyBorder="1" applyAlignment="1">
      <alignment horizontal="center"/>
    </xf>
    <xf numFmtId="0" fontId="33" fillId="0" borderId="71" xfId="0" applyFont="1" applyBorder="1" applyAlignment="1">
      <alignment/>
    </xf>
    <xf numFmtId="0" fontId="33" fillId="0" borderId="0" xfId="0" applyFont="1" applyBorder="1" applyAlignment="1">
      <alignment horizontal="centerContinuous" vertical="justify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39" xfId="0" applyFont="1" applyBorder="1" applyAlignment="1">
      <alignment horizontal="center" vertical="justify"/>
    </xf>
    <xf numFmtId="9" fontId="39" fillId="0" borderId="45" xfId="0" applyNumberFormat="1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9" fontId="39" fillId="0" borderId="45" xfId="21" applyFont="1" applyBorder="1" applyAlignment="1">
      <alignment horizontal="center"/>
    </xf>
    <xf numFmtId="9" fontId="39" fillId="0" borderId="40" xfId="21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 horizontal="centerContinuous" vertical="justify"/>
    </xf>
    <xf numFmtId="49" fontId="44" fillId="0" borderId="2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 applyProtection="1">
      <alignment horizontal="right"/>
      <protection/>
    </xf>
    <xf numFmtId="4" fontId="7" fillId="0" borderId="65" xfId="0" applyNumberFormat="1" applyFont="1" applyFill="1" applyBorder="1" applyAlignment="1" applyProtection="1">
      <alignment horizontal="right"/>
      <protection locked="0"/>
    </xf>
    <xf numFmtId="4" fontId="2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Continuous"/>
      <protection/>
    </xf>
    <xf numFmtId="0" fontId="1" fillId="0" borderId="4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9" fontId="36" fillId="0" borderId="0" xfId="2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1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1" fontId="10" fillId="0" borderId="6" xfId="0" applyNumberFormat="1" applyFont="1" applyFill="1" applyBorder="1" applyAlignment="1" applyProtection="1">
      <alignment horizontal="left"/>
      <protection/>
    </xf>
    <xf numFmtId="1" fontId="10" fillId="2" borderId="6" xfId="0" applyNumberFormat="1" applyFont="1" applyFill="1" applyBorder="1" applyAlignment="1" applyProtection="1">
      <alignment horizontal="left"/>
      <protection/>
    </xf>
    <xf numFmtId="1" fontId="47" fillId="0" borderId="6" xfId="0" applyNumberFormat="1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47" fillId="0" borderId="6" xfId="0" applyFont="1" applyFill="1" applyBorder="1" applyAlignment="1" applyProtection="1">
      <alignment horizontal="left"/>
      <protection/>
    </xf>
    <xf numFmtId="0" fontId="10" fillId="0" borderId="6" xfId="0" applyFont="1" applyFill="1" applyBorder="1" applyAlignment="1" applyProtection="1">
      <alignment horizontal="left"/>
      <protection/>
    </xf>
    <xf numFmtId="0" fontId="47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Continuous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centerContinuous"/>
      <protection/>
    </xf>
    <xf numFmtId="0" fontId="10" fillId="2" borderId="12" xfId="0" applyFont="1" applyFill="1" applyBorder="1" applyAlignment="1" applyProtection="1">
      <alignment horizontal="centerContinuous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4" fillId="2" borderId="6" xfId="0" applyFont="1" applyFill="1" applyBorder="1" applyAlignment="1" applyProtection="1">
      <alignment horizontal="left"/>
      <protection/>
    </xf>
    <xf numFmtId="0" fontId="51" fillId="0" borderId="6" xfId="0" applyFont="1" applyFill="1" applyBorder="1" applyAlignment="1" applyProtection="1">
      <alignment horizontal="left"/>
      <protection/>
    </xf>
    <xf numFmtId="0" fontId="52" fillId="0" borderId="6" xfId="0" applyFont="1" applyFill="1" applyBorder="1" applyAlignment="1" applyProtection="1">
      <alignment horizontal="left"/>
      <protection/>
    </xf>
    <xf numFmtId="0" fontId="52" fillId="2" borderId="6" xfId="0" applyFont="1" applyFill="1" applyBorder="1" applyAlignment="1" applyProtection="1">
      <alignment horizontal="left"/>
      <protection/>
    </xf>
    <xf numFmtId="0" fontId="51" fillId="0" borderId="6" xfId="0" applyFont="1" applyFill="1" applyBorder="1" applyAlignment="1" applyProtection="1">
      <alignment horizontal="left"/>
      <protection locked="0"/>
    </xf>
    <xf numFmtId="0" fontId="52" fillId="2" borderId="6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/>
      <protection locked="0"/>
    </xf>
    <xf numFmtId="0" fontId="52" fillId="0" borderId="25" xfId="0" applyFont="1" applyFill="1" applyBorder="1" applyAlignment="1" applyProtection="1">
      <alignment/>
      <protection locked="0"/>
    </xf>
    <xf numFmtId="0" fontId="52" fillId="0" borderId="1" xfId="0" applyFont="1" applyFill="1" applyBorder="1" applyAlignment="1" applyProtection="1">
      <alignment/>
      <protection locked="0"/>
    </xf>
    <xf numFmtId="1" fontId="11" fillId="2" borderId="4" xfId="0" applyNumberFormat="1" applyFont="1" applyFill="1" applyBorder="1" applyAlignment="1" applyProtection="1">
      <alignment horizontal="left"/>
      <protection/>
    </xf>
    <xf numFmtId="0" fontId="11" fillId="0" borderId="4" xfId="0" applyFont="1" applyFill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left"/>
      <protection/>
    </xf>
    <xf numFmtId="1" fontId="7" fillId="2" borderId="12" xfId="0" applyNumberFormat="1" applyFont="1" applyFill="1" applyBorder="1" applyAlignment="1" applyProtection="1">
      <alignment horizontal="left"/>
      <protection/>
    </xf>
    <xf numFmtId="1" fontId="7" fillId="2" borderId="13" xfId="0" applyNumberFormat="1" applyFont="1" applyFill="1" applyBorder="1" applyAlignment="1" applyProtection="1">
      <alignment horizontal="left"/>
      <protection/>
    </xf>
    <xf numFmtId="3" fontId="11" fillId="2" borderId="12" xfId="0" applyNumberFormat="1" applyFont="1" applyFill="1" applyBorder="1" applyAlignment="1" applyProtection="1">
      <alignment/>
      <protection/>
    </xf>
    <xf numFmtId="3" fontId="11" fillId="2" borderId="8" xfId="0" applyNumberFormat="1" applyFont="1" applyFill="1" applyBorder="1" applyAlignment="1" applyProtection="1">
      <alignment/>
      <protection/>
    </xf>
    <xf numFmtId="3" fontId="11" fillId="2" borderId="13" xfId="0" applyNumberFormat="1" applyFont="1" applyFill="1" applyBorder="1" applyAlignment="1" applyProtection="1">
      <alignment/>
      <protection/>
    </xf>
    <xf numFmtId="3" fontId="50" fillId="2" borderId="4" xfId="0" applyNumberFormat="1" applyFont="1" applyFill="1" applyBorder="1" applyAlignment="1" applyProtection="1">
      <alignment/>
      <protection/>
    </xf>
    <xf numFmtId="3" fontId="50" fillId="2" borderId="65" xfId="0" applyNumberFormat="1" applyFont="1" applyFill="1" applyBorder="1" applyAlignment="1" applyProtection="1">
      <alignment/>
      <protection/>
    </xf>
    <xf numFmtId="3" fontId="50" fillId="2" borderId="6" xfId="0" applyNumberFormat="1" applyFont="1" applyFill="1" applyBorder="1" applyAlignment="1" applyProtection="1">
      <alignment/>
      <protection/>
    </xf>
    <xf numFmtId="3" fontId="7" fillId="2" borderId="4" xfId="0" applyNumberFormat="1" applyFont="1" applyFill="1" applyBorder="1" applyAlignment="1" applyProtection="1">
      <alignment/>
      <protection/>
    </xf>
    <xf numFmtId="3" fontId="7" fillId="2" borderId="65" xfId="0" applyNumberFormat="1" applyFont="1" applyFill="1" applyBorder="1" applyAlignment="1" applyProtection="1">
      <alignment/>
      <protection/>
    </xf>
    <xf numFmtId="3" fontId="7" fillId="2" borderId="6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65" xfId="0" applyNumberFormat="1" applyFont="1" applyFill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/>
      <protection locked="0"/>
    </xf>
    <xf numFmtId="3" fontId="7" fillId="0" borderId="65" xfId="0" applyNumberFormat="1" applyFont="1" applyFill="1" applyBorder="1" applyAlignment="1" applyProtection="1">
      <alignment/>
      <protection locked="0"/>
    </xf>
    <xf numFmtId="3" fontId="11" fillId="2" borderId="4" xfId="0" applyNumberFormat="1" applyFont="1" applyFill="1" applyBorder="1" applyAlignment="1" applyProtection="1">
      <alignment/>
      <protection/>
    </xf>
    <xf numFmtId="3" fontId="11" fillId="2" borderId="65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7" fillId="2" borderId="12" xfId="0" applyNumberFormat="1" applyFont="1" applyFill="1" applyBorder="1" applyAlignment="1" applyProtection="1">
      <alignment/>
      <protection/>
    </xf>
    <xf numFmtId="3" fontId="7" fillId="2" borderId="8" xfId="0" applyNumberFormat="1" applyFont="1" applyFill="1" applyBorder="1" applyAlignment="1" applyProtection="1">
      <alignment/>
      <protection/>
    </xf>
    <xf numFmtId="3" fontId="14" fillId="2" borderId="4" xfId="0" applyNumberFormat="1" applyFont="1" applyFill="1" applyBorder="1" applyAlignment="1" applyProtection="1">
      <alignment/>
      <protection/>
    </xf>
    <xf numFmtId="3" fontId="14" fillId="2" borderId="65" xfId="0" applyNumberFormat="1" applyFont="1" applyFill="1" applyBorder="1" applyAlignment="1" applyProtection="1">
      <alignment/>
      <protection/>
    </xf>
    <xf numFmtId="3" fontId="7" fillId="2" borderId="4" xfId="0" applyNumberFormat="1" applyFont="1" applyFill="1" applyBorder="1" applyAlignment="1" applyProtection="1">
      <alignment/>
      <protection/>
    </xf>
    <xf numFmtId="3" fontId="7" fillId="2" borderId="65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65" xfId="0" applyNumberFormat="1" applyFont="1" applyFill="1" applyBorder="1" applyAlignment="1" applyProtection="1">
      <alignment/>
      <protection locked="0"/>
    </xf>
    <xf numFmtId="3" fontId="10" fillId="2" borderId="12" xfId="0" applyNumberFormat="1" applyFont="1" applyFill="1" applyBorder="1" applyAlignment="1" applyProtection="1">
      <alignment/>
      <protection/>
    </xf>
    <xf numFmtId="3" fontId="10" fillId="2" borderId="47" xfId="0" applyNumberFormat="1" applyFont="1" applyFill="1" applyBorder="1" applyAlignment="1" applyProtection="1">
      <alignment/>
      <protection/>
    </xf>
    <xf numFmtId="3" fontId="10" fillId="2" borderId="13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10" fillId="2" borderId="6" xfId="0" applyNumberFormat="1" applyFont="1" applyFill="1" applyBorder="1" applyAlignment="1" applyProtection="1">
      <alignment/>
      <protection/>
    </xf>
    <xf numFmtId="3" fontId="11" fillId="2" borderId="48" xfId="0" applyNumberFormat="1" applyFont="1" applyFill="1" applyBorder="1" applyAlignment="1" applyProtection="1">
      <alignment/>
      <protection/>
    </xf>
    <xf numFmtId="3" fontId="11" fillId="2" borderId="6" xfId="0" applyNumberFormat="1" applyFont="1" applyFill="1" applyBorder="1" applyAlignment="1" applyProtection="1">
      <alignment/>
      <protection/>
    </xf>
    <xf numFmtId="3" fontId="7" fillId="2" borderId="48" xfId="0" applyNumberFormat="1" applyFont="1" applyFill="1" applyBorder="1" applyAlignment="1" applyProtection="1">
      <alignment/>
      <protection/>
    </xf>
    <xf numFmtId="3" fontId="8" fillId="0" borderId="48" xfId="0" applyNumberFormat="1" applyFont="1" applyFill="1" applyBorder="1" applyAlignment="1" applyProtection="1">
      <alignment/>
      <protection locked="0"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 locked="0"/>
    </xf>
    <xf numFmtId="3" fontId="14" fillId="2" borderId="48" xfId="0" applyNumberFormat="1" applyFont="1" applyFill="1" applyBorder="1" applyAlignment="1" applyProtection="1">
      <alignment/>
      <protection/>
    </xf>
    <xf numFmtId="3" fontId="14" fillId="2" borderId="6" xfId="0" applyNumberFormat="1" applyFont="1" applyFill="1" applyBorder="1" applyAlignment="1" applyProtection="1">
      <alignment/>
      <protection/>
    </xf>
    <xf numFmtId="3" fontId="7" fillId="2" borderId="6" xfId="0" applyNumberFormat="1" applyFont="1" applyFill="1" applyBorder="1" applyAlignment="1" applyProtection="1">
      <alignment/>
      <protection/>
    </xf>
    <xf numFmtId="3" fontId="8" fillId="0" borderId="48" xfId="0" applyNumberFormat="1" applyFont="1" applyFill="1" applyBorder="1" applyAlignment="1" applyProtection="1">
      <alignment/>
      <protection locked="0"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 locked="0"/>
    </xf>
    <xf numFmtId="3" fontId="8" fillId="0" borderId="49" xfId="0" applyNumberFormat="1" applyFont="1" applyFill="1" applyBorder="1" applyAlignment="1" applyProtection="1">
      <alignment/>
      <protection locked="0"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 locked="0"/>
    </xf>
    <xf numFmtId="3" fontId="10" fillId="2" borderId="12" xfId="0" applyNumberFormat="1" applyFont="1" applyFill="1" applyBorder="1" applyAlignment="1" applyProtection="1">
      <alignment horizontal="right"/>
      <protection/>
    </xf>
    <xf numFmtId="3" fontId="10" fillId="2" borderId="47" xfId="0" applyNumberFormat="1" applyFont="1" applyFill="1" applyBorder="1" applyAlignment="1" applyProtection="1">
      <alignment horizontal="right"/>
      <protection/>
    </xf>
    <xf numFmtId="3" fontId="10" fillId="2" borderId="13" xfId="0" applyNumberFormat="1" applyFont="1" applyFill="1" applyBorder="1" applyAlignment="1" applyProtection="1">
      <alignment horizontal="right"/>
      <protection/>
    </xf>
    <xf numFmtId="3" fontId="11" fillId="2" borderId="4" xfId="0" applyNumberFormat="1" applyFont="1" applyFill="1" applyBorder="1" applyAlignment="1" applyProtection="1">
      <alignment horizontal="right"/>
      <protection/>
    </xf>
    <xf numFmtId="3" fontId="11" fillId="2" borderId="48" xfId="0" applyNumberFormat="1" applyFont="1" applyFill="1" applyBorder="1" applyAlignment="1" applyProtection="1">
      <alignment horizontal="right"/>
      <protection/>
    </xf>
    <xf numFmtId="3" fontId="11" fillId="2" borderId="6" xfId="0" applyNumberFormat="1" applyFont="1" applyFill="1" applyBorder="1" applyAlignment="1" applyProtection="1">
      <alignment horizontal="right"/>
      <protection/>
    </xf>
    <xf numFmtId="3" fontId="7" fillId="2" borderId="4" xfId="0" applyNumberFormat="1" applyFont="1" applyFill="1" applyBorder="1" applyAlignment="1" applyProtection="1">
      <alignment horizontal="right"/>
      <protection/>
    </xf>
    <xf numFmtId="3" fontId="7" fillId="2" borderId="48" xfId="0" applyNumberFormat="1" applyFont="1" applyFill="1" applyBorder="1" applyAlignment="1" applyProtection="1">
      <alignment horizontal="right"/>
      <protection/>
    </xf>
    <xf numFmtId="3" fontId="7" fillId="2" borderId="6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3" fontId="8" fillId="0" borderId="48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3" fontId="8" fillId="0" borderId="49" xfId="0" applyNumberFormat="1" applyFont="1" applyFill="1" applyBorder="1" applyAlignment="1" applyProtection="1">
      <alignment horizontal="right"/>
      <protection locked="0"/>
    </xf>
    <xf numFmtId="3" fontId="8" fillId="0" borderId="7" xfId="0" applyNumberFormat="1" applyFont="1" applyFill="1" applyBorder="1" applyAlignment="1" applyProtection="1">
      <alignment horizontal="right"/>
      <protection locked="0"/>
    </xf>
    <xf numFmtId="3" fontId="53" fillId="0" borderId="4" xfId="0" applyNumberFormat="1" applyFont="1" applyFill="1" applyBorder="1" applyAlignment="1" applyProtection="1">
      <alignment/>
      <protection locked="0"/>
    </xf>
    <xf numFmtId="3" fontId="53" fillId="0" borderId="48" xfId="0" applyNumberFormat="1" applyFont="1" applyFill="1" applyBorder="1" applyAlignment="1" applyProtection="1">
      <alignment/>
      <protection locked="0"/>
    </xf>
    <xf numFmtId="3" fontId="53" fillId="0" borderId="6" xfId="0" applyNumberFormat="1" applyFont="1" applyFill="1" applyBorder="1" applyAlignment="1" applyProtection="1">
      <alignment/>
      <protection/>
    </xf>
    <xf numFmtId="3" fontId="53" fillId="0" borderId="48" xfId="0" applyNumberFormat="1" applyFont="1" applyFill="1" applyBorder="1" applyAlignment="1" applyProtection="1">
      <alignment/>
      <protection/>
    </xf>
    <xf numFmtId="3" fontId="53" fillId="0" borderId="6" xfId="0" applyNumberFormat="1" applyFont="1" applyFill="1" applyBorder="1" applyAlignment="1" applyProtection="1">
      <alignment/>
      <protection locked="0"/>
    </xf>
    <xf numFmtId="3" fontId="54" fillId="2" borderId="4" xfId="0" applyNumberFormat="1" applyFont="1" applyFill="1" applyBorder="1" applyAlignment="1" applyProtection="1">
      <alignment/>
      <protection/>
    </xf>
    <xf numFmtId="3" fontId="54" fillId="2" borderId="48" xfId="0" applyNumberFormat="1" applyFont="1" applyFill="1" applyBorder="1" applyAlignment="1" applyProtection="1">
      <alignment/>
      <protection/>
    </xf>
    <xf numFmtId="3" fontId="54" fillId="2" borderId="6" xfId="0" applyNumberFormat="1" applyFont="1" applyFill="1" applyBorder="1" applyAlignment="1" applyProtection="1">
      <alignment/>
      <protection/>
    </xf>
    <xf numFmtId="3" fontId="55" fillId="0" borderId="6" xfId="0" applyNumberFormat="1" applyFont="1" applyFill="1" applyBorder="1" applyAlignment="1" applyProtection="1">
      <alignment/>
      <protection locked="0"/>
    </xf>
    <xf numFmtId="3" fontId="56" fillId="2" borderId="4" xfId="0" applyNumberFormat="1" applyFont="1" applyFill="1" applyBorder="1" applyAlignment="1" applyProtection="1">
      <alignment/>
      <protection/>
    </xf>
    <xf numFmtId="3" fontId="56" fillId="2" borderId="48" xfId="0" applyNumberFormat="1" applyFont="1" applyFill="1" applyBorder="1" applyAlignment="1" applyProtection="1">
      <alignment/>
      <protection/>
    </xf>
    <xf numFmtId="3" fontId="56" fillId="2" borderId="6" xfId="0" applyNumberFormat="1" applyFont="1" applyFill="1" applyBorder="1" applyAlignment="1" applyProtection="1">
      <alignment/>
      <protection/>
    </xf>
    <xf numFmtId="3" fontId="53" fillId="0" borderId="37" xfId="0" applyNumberFormat="1" applyFont="1" applyFill="1" applyBorder="1" applyAlignment="1" applyProtection="1">
      <alignment/>
      <protection/>
    </xf>
    <xf numFmtId="3" fontId="53" fillId="0" borderId="5" xfId="0" applyNumberFormat="1" applyFont="1" applyFill="1" applyBorder="1" applyAlignment="1" applyProtection="1">
      <alignment/>
      <protection locked="0"/>
    </xf>
    <xf numFmtId="3" fontId="53" fillId="0" borderId="49" xfId="0" applyNumberFormat="1" applyFont="1" applyFill="1" applyBorder="1" applyAlignment="1" applyProtection="1">
      <alignment/>
      <protection locked="0"/>
    </xf>
    <xf numFmtId="3" fontId="53" fillId="0" borderId="7" xfId="0" applyNumberFormat="1" applyFont="1" applyFill="1" applyBorder="1" applyAlignment="1" applyProtection="1">
      <alignment/>
      <protection/>
    </xf>
    <xf numFmtId="3" fontId="53" fillId="0" borderId="49" xfId="0" applyNumberFormat="1" applyFont="1" applyFill="1" applyBorder="1" applyAlignment="1" applyProtection="1">
      <alignment/>
      <protection/>
    </xf>
    <xf numFmtId="3" fontId="53" fillId="0" borderId="7" xfId="0" applyNumberFormat="1" applyFont="1" applyFill="1" applyBorder="1" applyAlignment="1" applyProtection="1">
      <alignment/>
      <protection locked="0"/>
    </xf>
    <xf numFmtId="3" fontId="53" fillId="0" borderId="4" xfId="0" applyNumberFormat="1" applyFont="1" applyFill="1" applyBorder="1" applyAlignment="1" applyProtection="1">
      <alignment horizontal="right"/>
      <protection locked="0"/>
    </xf>
    <xf numFmtId="3" fontId="53" fillId="0" borderId="48" xfId="0" applyNumberFormat="1" applyFont="1" applyFill="1" applyBorder="1" applyAlignment="1" applyProtection="1">
      <alignment horizontal="right"/>
      <protection locked="0"/>
    </xf>
    <xf numFmtId="3" fontId="53" fillId="0" borderId="6" xfId="0" applyNumberFormat="1" applyFont="1" applyFill="1" applyBorder="1" applyAlignment="1" applyProtection="1">
      <alignment horizontal="right"/>
      <protection locked="0"/>
    </xf>
    <xf numFmtId="3" fontId="55" fillId="0" borderId="4" xfId="0" applyNumberFormat="1" applyFont="1" applyFill="1" applyBorder="1" applyAlignment="1" applyProtection="1">
      <alignment horizontal="right"/>
      <protection locked="0"/>
    </xf>
    <xf numFmtId="3" fontId="54" fillId="2" borderId="4" xfId="0" applyNumberFormat="1" applyFont="1" applyFill="1" applyBorder="1" applyAlignment="1" applyProtection="1">
      <alignment horizontal="right"/>
      <protection/>
    </xf>
    <xf numFmtId="3" fontId="54" fillId="2" borderId="48" xfId="0" applyNumberFormat="1" applyFont="1" applyFill="1" applyBorder="1" applyAlignment="1" applyProtection="1">
      <alignment horizontal="right"/>
      <protection/>
    </xf>
    <xf numFmtId="3" fontId="54" fillId="2" borderId="6" xfId="0" applyNumberFormat="1" applyFont="1" applyFill="1" applyBorder="1" applyAlignment="1" applyProtection="1">
      <alignment horizontal="right"/>
      <protection/>
    </xf>
    <xf numFmtId="3" fontId="55" fillId="0" borderId="48" xfId="0" applyNumberFormat="1" applyFont="1" applyFill="1" applyBorder="1" applyAlignment="1" applyProtection="1">
      <alignment horizontal="right"/>
      <protection locked="0"/>
    </xf>
    <xf numFmtId="3" fontId="55" fillId="0" borderId="6" xfId="0" applyNumberFormat="1" applyFont="1" applyFill="1" applyBorder="1" applyAlignment="1" applyProtection="1">
      <alignment horizontal="right"/>
      <protection locked="0"/>
    </xf>
    <xf numFmtId="3" fontId="53" fillId="0" borderId="4" xfId="0" applyNumberFormat="1" applyFont="1" applyFill="1" applyBorder="1" applyAlignment="1" applyProtection="1">
      <alignment horizontal="right"/>
      <protection/>
    </xf>
    <xf numFmtId="3" fontId="53" fillId="0" borderId="48" xfId="0" applyNumberFormat="1" applyFont="1" applyFill="1" applyBorder="1" applyAlignment="1" applyProtection="1">
      <alignment horizontal="right"/>
      <protection/>
    </xf>
    <xf numFmtId="3" fontId="53" fillId="0" borderId="6" xfId="0" applyNumberFormat="1" applyFont="1" applyFill="1" applyBorder="1" applyAlignment="1" applyProtection="1">
      <alignment horizontal="right"/>
      <protection/>
    </xf>
    <xf numFmtId="3" fontId="53" fillId="0" borderId="5" xfId="0" applyNumberFormat="1" applyFont="1" applyFill="1" applyBorder="1" applyAlignment="1" applyProtection="1">
      <alignment horizontal="right"/>
      <protection locked="0"/>
    </xf>
    <xf numFmtId="3" fontId="53" fillId="0" borderId="49" xfId="0" applyNumberFormat="1" applyFont="1" applyFill="1" applyBorder="1" applyAlignment="1" applyProtection="1">
      <alignment horizontal="right"/>
      <protection locked="0"/>
    </xf>
    <xf numFmtId="3" fontId="53" fillId="0" borderId="7" xfId="0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4" fillId="2" borderId="15" xfId="0" applyFont="1" applyFill="1" applyBorder="1" applyAlignment="1" applyProtection="1">
      <alignment horizontal="center" vertical="center" wrapText="1"/>
      <protection/>
    </xf>
    <xf numFmtId="0" fontId="54" fillId="2" borderId="50" xfId="0" applyFont="1" applyFill="1" applyBorder="1" applyAlignment="1" applyProtection="1">
      <alignment horizontal="center" vertical="center" wrapText="1"/>
      <protection/>
    </xf>
    <xf numFmtId="0" fontId="54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3" fontId="10" fillId="2" borderId="8" xfId="0" applyNumberFormat="1" applyFont="1" applyFill="1" applyBorder="1" applyAlignment="1" applyProtection="1">
      <alignment/>
      <protection/>
    </xf>
    <xf numFmtId="3" fontId="4" fillId="0" borderId="65" xfId="0" applyNumberFormat="1" applyFont="1" applyBorder="1" applyAlignment="1" applyProtection="1">
      <alignment/>
      <protection locked="0"/>
    </xf>
    <xf numFmtId="3" fontId="4" fillId="0" borderId="6" xfId="0" applyNumberFormat="1" applyFont="1" applyBorder="1" applyAlignment="1" applyProtection="1">
      <alignment/>
      <protection locked="0"/>
    </xf>
    <xf numFmtId="3" fontId="5" fillId="2" borderId="4" xfId="0" applyNumberFormat="1" applyFont="1" applyFill="1" applyBorder="1" applyAlignment="1" applyProtection="1">
      <alignment/>
      <protection/>
    </xf>
    <xf numFmtId="3" fontId="5" fillId="2" borderId="65" xfId="0" applyNumberFormat="1" applyFont="1" applyFill="1" applyBorder="1" applyAlignment="1" applyProtection="1">
      <alignment/>
      <protection/>
    </xf>
    <xf numFmtId="3" fontId="50" fillId="2" borderId="12" xfId="0" applyNumberFormat="1" applyFont="1" applyFill="1" applyBorder="1" applyAlignment="1" applyProtection="1">
      <alignment/>
      <protection/>
    </xf>
    <xf numFmtId="3" fontId="50" fillId="2" borderId="8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9" fontId="34" fillId="0" borderId="2" xfId="0" applyNumberFormat="1" applyFont="1" applyBorder="1" applyAlignment="1">
      <alignment horizontal="center"/>
    </xf>
    <xf numFmtId="3" fontId="11" fillId="2" borderId="47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17" applyNumberFormat="1" applyFont="1" applyFill="1" applyBorder="1" applyAlignment="1" applyProtection="1">
      <alignment/>
      <protection locked="0"/>
    </xf>
    <xf numFmtId="3" fontId="7" fillId="0" borderId="48" xfId="0" applyNumberFormat="1" applyFont="1" applyFill="1" applyBorder="1" applyAlignment="1" applyProtection="1">
      <alignment/>
      <protection locked="0"/>
    </xf>
    <xf numFmtId="3" fontId="7" fillId="0" borderId="6" xfId="0" applyNumberFormat="1" applyFont="1" applyFill="1" applyBorder="1" applyAlignment="1" applyProtection="1">
      <alignment/>
      <protection locked="0"/>
    </xf>
    <xf numFmtId="3" fontId="7" fillId="2" borderId="48" xfId="0" applyNumberFormat="1" applyFont="1" applyFill="1" applyBorder="1" applyAlignment="1" applyProtection="1">
      <alignment/>
      <protection locked="0"/>
    </xf>
    <xf numFmtId="3" fontId="7" fillId="2" borderId="4" xfId="0" applyNumberFormat="1" applyFont="1" applyFill="1" applyBorder="1" applyAlignment="1" applyProtection="1">
      <alignment/>
      <protection locked="0"/>
    </xf>
    <xf numFmtId="3" fontId="7" fillId="2" borderId="6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 horizontal="right"/>
      <protection locked="0"/>
    </xf>
    <xf numFmtId="3" fontId="7" fillId="0" borderId="48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10" fillId="2" borderId="73" xfId="0" applyNumberFormat="1" applyFont="1" applyFill="1" applyBorder="1" applyAlignment="1" applyProtection="1">
      <alignment/>
      <protection/>
    </xf>
    <xf numFmtId="3" fontId="11" fillId="2" borderId="37" xfId="0" applyNumberFormat="1" applyFont="1" applyFill="1" applyBorder="1" applyAlignment="1" applyProtection="1">
      <alignment/>
      <protection/>
    </xf>
    <xf numFmtId="3" fontId="7" fillId="2" borderId="37" xfId="0" applyNumberFormat="1" applyFont="1" applyFill="1" applyBorder="1" applyAlignment="1" applyProtection="1">
      <alignment/>
      <protection/>
    </xf>
    <xf numFmtId="3" fontId="8" fillId="0" borderId="65" xfId="0" applyNumberFormat="1" applyFont="1" applyFill="1" applyBorder="1" applyAlignment="1" applyProtection="1">
      <alignment/>
      <protection/>
    </xf>
    <xf numFmtId="3" fontId="8" fillId="0" borderId="37" xfId="0" applyNumberFormat="1" applyFont="1" applyFill="1" applyBorder="1" applyAlignment="1" applyProtection="1">
      <alignment/>
      <protection locked="0"/>
    </xf>
    <xf numFmtId="3" fontId="8" fillId="0" borderId="6" xfId="17" applyNumberFormat="1" applyFont="1" applyFill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3" fontId="14" fillId="2" borderId="37" xfId="0" applyNumberFormat="1" applyFont="1" applyFill="1" applyBorder="1" applyAlignment="1" applyProtection="1">
      <alignment/>
      <protection/>
    </xf>
    <xf numFmtId="3" fontId="7" fillId="2" borderId="37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/>
    </xf>
    <xf numFmtId="3" fontId="8" fillId="0" borderId="64" xfId="0" applyNumberFormat="1" applyFont="1" applyFill="1" applyBorder="1" applyAlignment="1" applyProtection="1">
      <alignment/>
      <protection locked="0"/>
    </xf>
    <xf numFmtId="3" fontId="11" fillId="2" borderId="8" xfId="0" applyNumberFormat="1" applyFont="1" applyFill="1" applyBorder="1" applyAlignment="1" applyProtection="1">
      <alignment horizontal="right"/>
      <protection/>
    </xf>
    <xf numFmtId="3" fontId="12" fillId="0" borderId="65" xfId="0" applyNumberFormat="1" applyFont="1" applyFill="1" applyBorder="1" applyAlignment="1" applyProtection="1">
      <alignment horizontal="right"/>
      <protection/>
    </xf>
    <xf numFmtId="3" fontId="13" fillId="0" borderId="6" xfId="0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/>
    </xf>
    <xf numFmtId="3" fontId="4" fillId="0" borderId="6" xfId="0" applyNumberFormat="1" applyFont="1" applyFill="1" applyBorder="1" applyAlignment="1" applyProtection="1">
      <alignment horizontal="right"/>
      <protection/>
    </xf>
    <xf numFmtId="3" fontId="7" fillId="2" borderId="50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7" fillId="2" borderId="15" xfId="0" applyNumberFormat="1" applyFont="1" applyFill="1" applyBorder="1" applyAlignment="1" applyProtection="1">
      <alignment horizontal="right"/>
      <protection/>
    </xf>
    <xf numFmtId="3" fontId="8" fillId="5" borderId="8" xfId="0" applyNumberFormat="1" applyFont="1" applyFill="1" applyBorder="1" applyAlignment="1" applyProtection="1">
      <alignment horizontal="right"/>
      <protection locked="0"/>
    </xf>
    <xf numFmtId="3" fontId="8" fillId="0" borderId="8" xfId="0" applyNumberFormat="1" applyFont="1" applyFill="1" applyBorder="1" applyAlignment="1" applyProtection="1">
      <alignment horizontal="right"/>
      <protection locked="0"/>
    </xf>
    <xf numFmtId="3" fontId="7" fillId="0" borderId="65" xfId="0" applyNumberFormat="1" applyFont="1" applyFill="1" applyBorder="1" applyAlignment="1" applyProtection="1">
      <alignment horizontal="right"/>
      <protection locked="0"/>
    </xf>
    <xf numFmtId="3" fontId="11" fillId="2" borderId="65" xfId="0" applyNumberFormat="1" applyFont="1" applyFill="1" applyBorder="1" applyAlignment="1" applyProtection="1">
      <alignment horizontal="right"/>
      <protection/>
    </xf>
    <xf numFmtId="3" fontId="13" fillId="0" borderId="65" xfId="0" applyNumberFormat="1" applyFont="1" applyFill="1" applyBorder="1" applyAlignment="1" applyProtection="1">
      <alignment horizontal="right"/>
      <protection locked="0"/>
    </xf>
    <xf numFmtId="3" fontId="10" fillId="2" borderId="5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3" fillId="0" borderId="8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1" fillId="2" borderId="2" xfId="0" applyNumberFormat="1" applyFont="1" applyFill="1" applyBorder="1" applyAlignment="1" applyProtection="1">
      <alignment horizontal="right"/>
      <protection/>
    </xf>
    <xf numFmtId="3" fontId="0" fillId="0" borderId="0" xfId="21" applyNumberFormat="1" applyAlignment="1">
      <alignment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26" fillId="0" borderId="2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0" fillId="2" borderId="8" xfId="0" applyNumberFormat="1" applyFont="1" applyFill="1" applyBorder="1" applyAlignment="1" applyProtection="1">
      <alignment horizontal="right"/>
      <protection/>
    </xf>
    <xf numFmtId="3" fontId="7" fillId="2" borderId="15" xfId="21" applyNumberFormat="1" applyFont="1" applyFill="1" applyBorder="1" applyAlignment="1" applyProtection="1">
      <alignment horizontal="right"/>
      <protection locked="0"/>
    </xf>
    <xf numFmtId="3" fontId="7" fillId="2" borderId="50" xfId="21" applyNumberFormat="1" applyFont="1" applyFill="1" applyBorder="1" applyAlignment="1" applyProtection="1">
      <alignment horizontal="right"/>
      <protection locked="0"/>
    </xf>
    <xf numFmtId="3" fontId="11" fillId="4" borderId="4" xfId="0" applyNumberFormat="1" applyFont="1" applyFill="1" applyBorder="1" applyAlignment="1" applyProtection="1">
      <alignment/>
      <protection/>
    </xf>
    <xf numFmtId="3" fontId="11" fillId="4" borderId="65" xfId="0" applyNumberFormat="1" applyFont="1" applyFill="1" applyBorder="1" applyAlignment="1" applyProtection="1">
      <alignment/>
      <protection/>
    </xf>
    <xf numFmtId="3" fontId="11" fillId="4" borderId="6" xfId="0" applyNumberFormat="1" applyFont="1" applyFill="1" applyBorder="1" applyAlignment="1" applyProtection="1">
      <alignment/>
      <protection/>
    </xf>
    <xf numFmtId="3" fontId="7" fillId="4" borderId="4" xfId="0" applyNumberFormat="1" applyFont="1" applyFill="1" applyBorder="1" applyAlignment="1" applyProtection="1">
      <alignment/>
      <protection/>
    </xf>
    <xf numFmtId="3" fontId="7" fillId="4" borderId="65" xfId="0" applyNumberFormat="1" applyFont="1" applyFill="1" applyBorder="1" applyAlignment="1" applyProtection="1">
      <alignment/>
      <protection/>
    </xf>
    <xf numFmtId="3" fontId="7" fillId="4" borderId="6" xfId="0" applyNumberFormat="1" applyFont="1" applyFill="1" applyBorder="1" applyAlignment="1" applyProtection="1">
      <alignment/>
      <protection/>
    </xf>
    <xf numFmtId="3" fontId="13" fillId="0" borderId="4" xfId="0" applyNumberFormat="1" applyFont="1" applyFill="1" applyBorder="1" applyAlignment="1" applyProtection="1">
      <alignment/>
      <protection/>
    </xf>
    <xf numFmtId="3" fontId="13" fillId="0" borderId="65" xfId="0" applyNumberFormat="1" applyFont="1" applyFill="1" applyBorder="1" applyAlignment="1" applyProtection="1">
      <alignment/>
      <protection/>
    </xf>
    <xf numFmtId="3" fontId="13" fillId="0" borderId="6" xfId="0" applyNumberFormat="1" applyFont="1" applyFill="1" applyBorder="1" applyAlignment="1" applyProtection="1">
      <alignment/>
      <protection/>
    </xf>
    <xf numFmtId="3" fontId="14" fillId="4" borderId="4" xfId="0" applyNumberFormat="1" applyFont="1" applyFill="1" applyBorder="1" applyAlignment="1" applyProtection="1">
      <alignment/>
      <protection/>
    </xf>
    <xf numFmtId="3" fontId="14" fillId="4" borderId="65" xfId="0" applyNumberFormat="1" applyFont="1" applyFill="1" applyBorder="1" applyAlignment="1" applyProtection="1">
      <alignment/>
      <protection/>
    </xf>
    <xf numFmtId="3" fontId="14" fillId="4" borderId="6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8" fillId="6" borderId="4" xfId="0" applyNumberFormat="1" applyFont="1" applyFill="1" applyBorder="1" applyAlignment="1" applyProtection="1">
      <alignment/>
      <protection/>
    </xf>
    <xf numFmtId="3" fontId="8" fillId="6" borderId="65" xfId="0" applyNumberFormat="1" applyFont="1" applyFill="1" applyBorder="1" applyAlignment="1" applyProtection="1">
      <alignment/>
      <protection/>
    </xf>
    <xf numFmtId="3" fontId="8" fillId="6" borderId="6" xfId="0" applyNumberFormat="1" applyFont="1" applyFill="1" applyBorder="1" applyAlignment="1" applyProtection="1">
      <alignment/>
      <protection/>
    </xf>
    <xf numFmtId="3" fontId="7" fillId="4" borderId="12" xfId="0" applyNumberFormat="1" applyFont="1" applyFill="1" applyBorder="1" applyAlignment="1" applyProtection="1">
      <alignment/>
      <protection/>
    </xf>
    <xf numFmtId="3" fontId="7" fillId="4" borderId="8" xfId="0" applyNumberFormat="1" applyFont="1" applyFill="1" applyBorder="1" applyAlignment="1" applyProtection="1">
      <alignment/>
      <protection/>
    </xf>
    <xf numFmtId="3" fontId="7" fillId="4" borderId="1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48" fillId="3" borderId="39" xfId="0" applyNumberFormat="1" applyFont="1" applyFill="1" applyBorder="1" applyAlignment="1" applyProtection="1">
      <alignment horizontal="right"/>
      <protection/>
    </xf>
    <xf numFmtId="3" fontId="48" fillId="3" borderId="50" xfId="0" applyNumberFormat="1" applyFont="1" applyFill="1" applyBorder="1" applyAlignment="1" applyProtection="1">
      <alignment horizontal="right"/>
      <protection/>
    </xf>
    <xf numFmtId="3" fontId="48" fillId="3" borderId="40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5" xfId="0" applyNumberFormat="1" applyFont="1" applyFill="1" applyBorder="1" applyAlignment="1" applyProtection="1">
      <alignment/>
      <protection/>
    </xf>
    <xf numFmtId="0" fontId="48" fillId="3" borderId="40" xfId="0" applyFont="1" applyFill="1" applyBorder="1" applyAlignment="1" applyProtection="1">
      <alignment horizontal="right"/>
      <protection/>
    </xf>
    <xf numFmtId="3" fontId="49" fillId="3" borderId="39" xfId="0" applyNumberFormat="1" applyFont="1" applyFill="1" applyBorder="1" applyAlignment="1" applyProtection="1">
      <alignment horizontal="right"/>
      <protection/>
    </xf>
    <xf numFmtId="3" fontId="49" fillId="3" borderId="50" xfId="0" applyNumberFormat="1" applyFont="1" applyFill="1" applyBorder="1" applyAlignment="1" applyProtection="1">
      <alignment horizontal="right"/>
      <protection/>
    </xf>
    <xf numFmtId="3" fontId="49" fillId="3" borderId="40" xfId="0" applyNumberFormat="1" applyFont="1" applyFill="1" applyBorder="1" applyAlignment="1" applyProtection="1">
      <alignment horizontal="right"/>
      <protection/>
    </xf>
    <xf numFmtId="203" fontId="19" fillId="3" borderId="36" xfId="17" applyNumberFormat="1" applyFont="1" applyFill="1" applyBorder="1" applyAlignment="1">
      <alignment/>
    </xf>
    <xf numFmtId="203" fontId="18" fillId="3" borderId="59" xfId="17" applyNumberFormat="1" applyFont="1" applyFill="1" applyBorder="1" applyAlignment="1">
      <alignment/>
    </xf>
    <xf numFmtId="203" fontId="19" fillId="3" borderId="86" xfId="17" applyNumberFormat="1" applyFont="1" applyFill="1" applyBorder="1" applyAlignment="1">
      <alignment/>
    </xf>
    <xf numFmtId="203" fontId="19" fillId="3" borderId="76" xfId="17" applyNumberFormat="1" applyFont="1" applyFill="1" applyBorder="1" applyAlignment="1">
      <alignment/>
    </xf>
    <xf numFmtId="203" fontId="19" fillId="3" borderId="59" xfId="17" applyNumberFormat="1" applyFont="1" applyFill="1" applyBorder="1" applyAlignment="1">
      <alignment/>
    </xf>
    <xf numFmtId="203" fontId="18" fillId="3" borderId="86" xfId="17" applyNumberFormat="1" applyFont="1" applyFill="1" applyBorder="1" applyAlignment="1">
      <alignment/>
    </xf>
    <xf numFmtId="203" fontId="18" fillId="3" borderId="36" xfId="17" applyNumberFormat="1" applyFont="1" applyFill="1" applyBorder="1" applyAlignment="1">
      <alignment/>
    </xf>
    <xf numFmtId="203" fontId="4" fillId="3" borderId="36" xfId="17" applyNumberFormat="1" applyFont="1" applyFill="1" applyBorder="1" applyAlignment="1">
      <alignment/>
    </xf>
    <xf numFmtId="203" fontId="4" fillId="3" borderId="72" xfId="17" applyNumberFormat="1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203" fontId="34" fillId="0" borderId="11" xfId="17" applyNumberFormat="1" applyFont="1" applyBorder="1" applyAlignment="1">
      <alignment horizontal="right"/>
    </xf>
    <xf numFmtId="203" fontId="33" fillId="0" borderId="10" xfId="17" applyNumberFormat="1" applyFont="1" applyBorder="1" applyAlignment="1">
      <alignment/>
    </xf>
    <xf numFmtId="0" fontId="31" fillId="0" borderId="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3" fontId="33" fillId="0" borderId="10" xfId="0" applyNumberFormat="1" applyFont="1" applyBorder="1" applyAlignment="1">
      <alignment/>
    </xf>
    <xf numFmtId="3" fontId="55" fillId="0" borderId="35" xfId="0" applyNumberFormat="1" applyFont="1" applyFill="1" applyBorder="1" applyAlignment="1" applyProtection="1">
      <alignment horizontal="right"/>
      <protection locked="0"/>
    </xf>
    <xf numFmtId="3" fontId="22" fillId="2" borderId="8" xfId="0" applyNumberFormat="1" applyFont="1" applyFill="1" applyBorder="1" applyAlignment="1" applyProtection="1">
      <alignment/>
      <protection/>
    </xf>
    <xf numFmtId="3" fontId="22" fillId="2" borderId="65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9" fontId="0" fillId="0" borderId="0" xfId="21" applyBorder="1" applyAlignment="1">
      <alignment/>
    </xf>
    <xf numFmtId="0" fontId="0" fillId="0" borderId="25" xfId="0" applyFont="1" applyBorder="1" applyAlignment="1">
      <alignment/>
    </xf>
    <xf numFmtId="0" fontId="14" fillId="0" borderId="25" xfId="0" applyFont="1" applyBorder="1" applyAlignment="1" quotePrefix="1">
      <alignment/>
    </xf>
    <xf numFmtId="203" fontId="34" fillId="2" borderId="27" xfId="17" applyNumberFormat="1" applyFont="1" applyFill="1" applyBorder="1" applyAlignment="1">
      <alignment horizontal="right"/>
    </xf>
    <xf numFmtId="203" fontId="34" fillId="2" borderId="27" xfId="17" applyNumberFormat="1" applyFont="1" applyFill="1" applyBorder="1" applyAlignment="1">
      <alignment/>
    </xf>
    <xf numFmtId="203" fontId="33" fillId="0" borderId="26" xfId="17" applyNumberFormat="1" applyFont="1" applyBorder="1" applyAlignment="1">
      <alignment/>
    </xf>
    <xf numFmtId="203" fontId="34" fillId="2" borderId="26" xfId="17" applyNumberFormat="1" applyFont="1" applyFill="1" applyBorder="1" applyAlignment="1" quotePrefix="1">
      <alignment/>
    </xf>
    <xf numFmtId="203" fontId="33" fillId="0" borderId="26" xfId="17" applyNumberFormat="1" applyFont="1" applyBorder="1" applyAlignment="1" quotePrefix="1">
      <alignment/>
    </xf>
    <xf numFmtId="3" fontId="33" fillId="0" borderId="9" xfId="17" applyNumberFormat="1" applyFont="1" applyBorder="1" applyAlignment="1">
      <alignment horizontal="right"/>
    </xf>
    <xf numFmtId="3" fontId="33" fillId="0" borderId="10" xfId="17" applyNumberFormat="1" applyFont="1" applyBorder="1" applyAlignment="1">
      <alignment/>
    </xf>
    <xf numFmtId="3" fontId="33" fillId="0" borderId="10" xfId="17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3" fontId="33" fillId="0" borderId="9" xfId="17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9" fontId="33" fillId="0" borderId="0" xfId="21" applyFont="1" applyAlignment="1">
      <alignment/>
    </xf>
    <xf numFmtId="0" fontId="4" fillId="0" borderId="1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9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91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92" xfId="0" applyFont="1" applyBorder="1" applyAlignment="1">
      <alignment horizontal="centerContinuous" vertical="center"/>
    </xf>
    <xf numFmtId="0" fontId="5" fillId="0" borderId="93" xfId="0" applyFont="1" applyBorder="1" applyAlignment="1">
      <alignment horizontal="centerContinuous" vertical="center"/>
    </xf>
    <xf numFmtId="0" fontId="5" fillId="0" borderId="92" xfId="0" applyFont="1" applyBorder="1" applyAlignment="1">
      <alignment horizontal="centerContinuous"/>
    </xf>
    <xf numFmtId="0" fontId="5" fillId="0" borderId="93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2" borderId="27" xfId="0" applyFont="1" applyFill="1" applyBorder="1" applyAlignment="1">
      <alignment horizontal="right"/>
    </xf>
    <xf numFmtId="0" fontId="5" fillId="2" borderId="96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203" fontId="5" fillId="2" borderId="27" xfId="17" applyNumberFormat="1" applyFont="1" applyFill="1" applyBorder="1" applyAlignment="1">
      <alignment/>
    </xf>
    <xf numFmtId="0" fontId="5" fillId="2" borderId="96" xfId="0" applyFont="1" applyFill="1" applyBorder="1" applyAlignment="1">
      <alignment/>
    </xf>
    <xf numFmtId="0" fontId="4" fillId="0" borderId="34" xfId="0" applyFont="1" applyBorder="1" applyAlignment="1" quotePrefix="1">
      <alignment/>
    </xf>
    <xf numFmtId="0" fontId="4" fillId="0" borderId="26" xfId="0" applyFont="1" applyBorder="1" applyAlignment="1">
      <alignment/>
    </xf>
    <xf numFmtId="203" fontId="4" fillId="0" borderId="26" xfId="17" applyNumberFormat="1" applyFont="1" applyBorder="1" applyAlignment="1">
      <alignment/>
    </xf>
    <xf numFmtId="0" fontId="4" fillId="0" borderId="97" xfId="0" applyFont="1" applyBorder="1" applyAlignment="1">
      <alignment/>
    </xf>
    <xf numFmtId="0" fontId="5" fillId="2" borderId="34" xfId="0" applyFont="1" applyFill="1" applyBorder="1" applyAlignment="1" quotePrefix="1">
      <alignment horizontal="left"/>
    </xf>
    <xf numFmtId="0" fontId="5" fillId="2" borderId="26" xfId="0" applyFont="1" applyFill="1" applyBorder="1" applyAlignment="1" quotePrefix="1">
      <alignment/>
    </xf>
    <xf numFmtId="0" fontId="5" fillId="2" borderId="97" xfId="0" applyFont="1" applyFill="1" applyBorder="1" applyAlignment="1">
      <alignment/>
    </xf>
    <xf numFmtId="0" fontId="4" fillId="0" borderId="34" xfId="0" applyFont="1" applyBorder="1" applyAlignment="1">
      <alignment horizontal="left"/>
    </xf>
    <xf numFmtId="0" fontId="4" fillId="0" borderId="26" xfId="0" applyFont="1" applyBorder="1" applyAlignment="1" quotePrefix="1">
      <alignment/>
    </xf>
    <xf numFmtId="203" fontId="4" fillId="0" borderId="26" xfId="17" applyNumberFormat="1" applyFont="1" applyBorder="1" applyAlignment="1" quotePrefix="1">
      <alignment/>
    </xf>
    <xf numFmtId="0" fontId="4" fillId="0" borderId="34" xfId="0" applyFont="1" applyBorder="1" applyAlignment="1" quotePrefix="1">
      <alignment horizontal="left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2" borderId="4" xfId="0" applyFont="1" applyFill="1" applyBorder="1" applyAlignment="1" quotePrefix="1">
      <alignment/>
    </xf>
    <xf numFmtId="0" fontId="4" fillId="0" borderId="34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 quotePrefix="1">
      <alignment/>
    </xf>
    <xf numFmtId="0" fontId="4" fillId="0" borderId="100" xfId="0" applyFont="1" applyBorder="1" applyAlignment="1" quotePrefix="1">
      <alignment/>
    </xf>
    <xf numFmtId="203" fontId="4" fillId="0" borderId="100" xfId="17" applyNumberFormat="1" applyFont="1" applyBorder="1" applyAlignment="1" quotePrefix="1">
      <alignment/>
    </xf>
    <xf numFmtId="0" fontId="4" fillId="0" borderId="101" xfId="0" applyFont="1" applyBorder="1" applyAlignment="1">
      <alignment/>
    </xf>
    <xf numFmtId="0" fontId="7" fillId="0" borderId="0" xfId="0" applyFont="1" applyFill="1" applyBorder="1" applyAlignment="1" applyProtection="1">
      <alignment horizontal="centerContinuous"/>
      <protection/>
    </xf>
    <xf numFmtId="0" fontId="7" fillId="0" borderId="50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Continuous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7" fillId="0" borderId="39" xfId="0" applyFont="1" applyFill="1" applyBorder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/>
      <protection/>
    </xf>
    <xf numFmtId="0" fontId="7" fillId="0" borderId="40" xfId="0" applyFont="1" applyFill="1" applyBorder="1" applyAlignment="1" applyProtection="1">
      <alignment horizontal="centerContinuous"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7" fillId="0" borderId="7" xfId="0" applyFont="1" applyFill="1" applyBorder="1" applyAlignment="1" applyProtection="1">
      <alignment horizontal="centerContinuous" vertical="center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10" fillId="0" borderId="47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/>
      <protection/>
    </xf>
    <xf numFmtId="3" fontId="10" fillId="0" borderId="6" xfId="0" applyNumberFormat="1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3" fontId="11" fillId="0" borderId="4" xfId="0" applyNumberFormat="1" applyFont="1" applyFill="1" applyBorder="1" applyAlignment="1" applyProtection="1">
      <alignment/>
      <protection/>
    </xf>
    <xf numFmtId="3" fontId="11" fillId="0" borderId="48" xfId="0" applyNumberFormat="1" applyFont="1" applyFill="1" applyBorder="1" applyAlignment="1" applyProtection="1">
      <alignment/>
      <protection/>
    </xf>
    <xf numFmtId="3" fontId="11" fillId="0" borderId="6" xfId="0" applyNumberFormat="1" applyFont="1" applyFill="1" applyBorder="1" applyAlignment="1" applyProtection="1">
      <alignment/>
      <protection/>
    </xf>
    <xf numFmtId="3" fontId="7" fillId="0" borderId="48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/>
      <protection/>
    </xf>
    <xf numFmtId="203" fontId="58" fillId="0" borderId="10" xfId="17" applyNumberFormat="1" applyFont="1" applyBorder="1" applyAlignment="1">
      <alignment/>
    </xf>
    <xf numFmtId="49" fontId="34" fillId="0" borderId="8" xfId="0" applyNumberFormat="1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203" fontId="33" fillId="0" borderId="0" xfId="17" applyNumberFormat="1" applyFont="1" applyAlignment="1">
      <alignment/>
    </xf>
    <xf numFmtId="203" fontId="0" fillId="0" borderId="0" xfId="17" applyNumberFormat="1" applyAlignment="1">
      <alignment/>
    </xf>
    <xf numFmtId="203" fontId="59" fillId="0" borderId="10" xfId="17" applyNumberFormat="1" applyFont="1" applyBorder="1" applyAlignment="1">
      <alignment horizontal="left"/>
    </xf>
    <xf numFmtId="203" fontId="59" fillId="0" borderId="10" xfId="17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20" fillId="0" borderId="1" xfId="0" applyFont="1" applyFill="1" applyBorder="1" applyAlignment="1" applyProtection="1">
      <alignment horizontal="centerContinuous"/>
      <protection/>
    </xf>
    <xf numFmtId="0" fontId="7" fillId="0" borderId="25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 applyProtection="1">
      <alignment horizontal="centerContinuous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Continuous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right"/>
      <protection/>
    </xf>
    <xf numFmtId="3" fontId="7" fillId="0" borderId="15" xfId="21" applyNumberFormat="1" applyFont="1" applyFill="1" applyBorder="1" applyAlignment="1" applyProtection="1">
      <alignment horizontal="right"/>
      <protection/>
    </xf>
    <xf numFmtId="4" fontId="8" fillId="0" borderId="50" xfId="21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left"/>
    </xf>
    <xf numFmtId="1" fontId="7" fillId="0" borderId="15" xfId="0" applyNumberFormat="1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left"/>
      <protection/>
    </xf>
    <xf numFmtId="3" fontId="7" fillId="0" borderId="50" xfId="0" applyNumberFormat="1" applyFont="1" applyFill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/>
      <protection/>
    </xf>
    <xf numFmtId="4" fontId="7" fillId="0" borderId="50" xfId="21" applyNumberFormat="1" applyFont="1" applyFill="1" applyBorder="1" applyAlignment="1" applyProtection="1">
      <alignment horizontal="right"/>
      <protection/>
    </xf>
    <xf numFmtId="4" fontId="7" fillId="0" borderId="2" xfId="21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C43">
      <selection activeCell="C45" sqref="C45:F45"/>
    </sheetView>
  </sheetViews>
  <sheetFormatPr defaultColWidth="11.5546875" defaultRowHeight="15"/>
  <cols>
    <col min="1" max="1" width="7.21484375" style="235" customWidth="1"/>
    <col min="2" max="2" width="38.5546875" style="235" customWidth="1"/>
    <col min="3" max="3" width="10.5546875" style="235" customWidth="1"/>
    <col min="4" max="4" width="9.99609375" style="235" customWidth="1"/>
    <col min="5" max="5" width="11.21484375" style="235" customWidth="1"/>
    <col min="6" max="6" width="10.6640625" style="235" customWidth="1"/>
    <col min="7" max="7" width="10.88671875" style="235" customWidth="1"/>
    <col min="8" max="8" width="9.77734375" style="235" customWidth="1"/>
    <col min="9" max="9" width="11.10546875" style="235" customWidth="1"/>
    <col min="10" max="10" width="9.5546875" style="235" customWidth="1"/>
    <col min="11" max="11" width="10.88671875" style="235" customWidth="1"/>
    <col min="12" max="12" width="9.6640625" style="235" customWidth="1"/>
    <col min="13" max="13" width="10.5546875" style="235" customWidth="1"/>
    <col min="14" max="16384" width="11.5546875" style="235" customWidth="1"/>
  </cols>
  <sheetData>
    <row r="1" spans="1:14" ht="15.75" thickBo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>
      <c r="A2" s="95"/>
      <c r="B2" s="95"/>
      <c r="C2" s="95"/>
      <c r="D2" s="95"/>
      <c r="E2" s="95" t="s">
        <v>1</v>
      </c>
      <c r="F2" s="219" t="str">
        <f>+'INGR. Y EGRE SEC CENT'!C2</f>
        <v>ARIGUANI</v>
      </c>
      <c r="G2" s="94"/>
      <c r="H2" s="95" t="s">
        <v>2</v>
      </c>
      <c r="I2" s="146" t="e">
        <f>+'INGR. Y EGRE SEC CENT'!#REF!</f>
        <v>#REF!</v>
      </c>
      <c r="J2" s="94"/>
      <c r="K2" s="94"/>
      <c r="L2" s="94"/>
      <c r="M2" s="94"/>
      <c r="N2" s="94"/>
    </row>
    <row r="3" spans="1:14" ht="15.75" thickBo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thickBot="1">
      <c r="A4" s="97" t="s">
        <v>4</v>
      </c>
      <c r="B4" s="98"/>
      <c r="C4" s="99" t="s">
        <v>5</v>
      </c>
      <c r="D4" s="99" t="s">
        <v>6</v>
      </c>
      <c r="E4" s="152" t="s">
        <v>7</v>
      </c>
      <c r="F4" s="100" t="s">
        <v>8</v>
      </c>
      <c r="G4" s="99" t="s">
        <v>9</v>
      </c>
      <c r="H4" s="99" t="s">
        <v>10</v>
      </c>
      <c r="I4" s="99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152" t="s">
        <v>16</v>
      </c>
    </row>
    <row r="5" spans="1:14" ht="15.75" thickBot="1">
      <c r="A5" s="102" t="s">
        <v>632</v>
      </c>
      <c r="B5" s="103"/>
      <c r="C5" s="104">
        <v>1999</v>
      </c>
      <c r="D5" s="104">
        <v>1999</v>
      </c>
      <c r="E5" s="104">
        <v>1999</v>
      </c>
      <c r="F5" s="104">
        <v>1999</v>
      </c>
      <c r="G5" s="104">
        <v>1999</v>
      </c>
      <c r="H5" s="104">
        <v>1999</v>
      </c>
      <c r="I5" s="104">
        <v>1999</v>
      </c>
      <c r="J5" s="104">
        <v>1999</v>
      </c>
      <c r="K5" s="104">
        <v>1999</v>
      </c>
      <c r="L5" s="104">
        <v>1999</v>
      </c>
      <c r="M5" s="104">
        <v>1999</v>
      </c>
      <c r="N5" s="104">
        <v>1999</v>
      </c>
    </row>
    <row r="6" spans="1:14" ht="15.75">
      <c r="A6" s="108">
        <f>+'INGR. Y EGRE SEC CENT'!A6</f>
        <v>1</v>
      </c>
      <c r="B6" s="109" t="str">
        <f>+'INGR. Y EGRE SEC CENT'!B6</f>
        <v>INGRESOS TOTALES</v>
      </c>
      <c r="C6" s="618">
        <f aca="true" t="shared" si="0" ref="C6:N6">+C7+C60</f>
        <v>669796253</v>
      </c>
      <c r="D6" s="619">
        <f t="shared" si="0"/>
        <v>11081698</v>
      </c>
      <c r="E6" s="619">
        <f t="shared" si="0"/>
        <v>736506756</v>
      </c>
      <c r="F6" s="619">
        <f t="shared" si="0"/>
        <v>605588741</v>
      </c>
      <c r="G6" s="619">
        <f t="shared" si="0"/>
        <v>0</v>
      </c>
      <c r="H6" s="619">
        <f t="shared" si="0"/>
        <v>0</v>
      </c>
      <c r="I6" s="619">
        <f t="shared" si="0"/>
        <v>0</v>
      </c>
      <c r="J6" s="619">
        <f t="shared" si="0"/>
        <v>0</v>
      </c>
      <c r="K6" s="619">
        <f t="shared" si="0"/>
        <v>0</v>
      </c>
      <c r="L6" s="619">
        <f t="shared" si="0"/>
        <v>0</v>
      </c>
      <c r="M6" s="619">
        <f t="shared" si="0"/>
        <v>0</v>
      </c>
      <c r="N6" s="620">
        <f t="shared" si="0"/>
        <v>0</v>
      </c>
    </row>
    <row r="7" spans="1:14" ht="15.75">
      <c r="A7" s="110">
        <f>+'INGR. Y EGRE SEC CENT'!A7</f>
        <v>1.1</v>
      </c>
      <c r="B7" s="111" t="str">
        <f>+'INGR. Y EGRE SEC CENT'!B7</f>
        <v>INGRESOS CORRIENTES</v>
      </c>
      <c r="C7" s="621">
        <f>+C8+C28+C41</f>
        <v>622643145</v>
      </c>
      <c r="D7" s="622">
        <f aca="true" t="shared" si="1" ref="D7:N7">+D8+D28+D41</f>
        <v>11081698</v>
      </c>
      <c r="E7" s="622">
        <f t="shared" si="1"/>
        <v>736506756</v>
      </c>
      <c r="F7" s="622">
        <f t="shared" si="1"/>
        <v>605588741</v>
      </c>
      <c r="G7" s="622">
        <f t="shared" si="1"/>
        <v>0</v>
      </c>
      <c r="H7" s="622">
        <f t="shared" si="1"/>
        <v>0</v>
      </c>
      <c r="I7" s="622">
        <f t="shared" si="1"/>
        <v>0</v>
      </c>
      <c r="J7" s="622">
        <f t="shared" si="1"/>
        <v>0</v>
      </c>
      <c r="K7" s="622">
        <f t="shared" si="1"/>
        <v>0</v>
      </c>
      <c r="L7" s="622">
        <f t="shared" si="1"/>
        <v>0</v>
      </c>
      <c r="M7" s="622">
        <f t="shared" si="1"/>
        <v>0</v>
      </c>
      <c r="N7" s="623">
        <f t="shared" si="1"/>
        <v>0</v>
      </c>
    </row>
    <row r="8" spans="1:14" ht="15">
      <c r="A8" s="112" t="str">
        <f>+'INGR. Y EGRE SEC CENT'!A8</f>
        <v>1.1.1</v>
      </c>
      <c r="B8" s="113" t="str">
        <f>+'INGR. Y EGRE SEC CENT'!B8</f>
        <v>INGRESOS TRIBUTARIOS</v>
      </c>
      <c r="C8" s="624">
        <f aca="true" t="shared" si="2" ref="C8:N8">SUM(C9:C23)+C24</f>
        <v>5415566</v>
      </c>
      <c r="D8" s="625">
        <f t="shared" si="2"/>
        <v>5375220</v>
      </c>
      <c r="E8" s="625">
        <f>SUM(E9:E23)+E24</f>
        <v>6332666</v>
      </c>
      <c r="F8" s="625">
        <f t="shared" si="2"/>
        <v>24921471</v>
      </c>
      <c r="G8" s="625">
        <f t="shared" si="2"/>
        <v>0</v>
      </c>
      <c r="H8" s="625">
        <f t="shared" si="2"/>
        <v>0</v>
      </c>
      <c r="I8" s="625">
        <f t="shared" si="2"/>
        <v>0</v>
      </c>
      <c r="J8" s="625">
        <f t="shared" si="2"/>
        <v>0</v>
      </c>
      <c r="K8" s="625">
        <f t="shared" si="2"/>
        <v>0</v>
      </c>
      <c r="L8" s="625">
        <f t="shared" si="2"/>
        <v>0</v>
      </c>
      <c r="M8" s="625">
        <f t="shared" si="2"/>
        <v>0</v>
      </c>
      <c r="N8" s="626">
        <f t="shared" si="2"/>
        <v>0</v>
      </c>
    </row>
    <row r="9" spans="1:14" ht="15">
      <c r="A9" s="8" t="str">
        <f>+'INGR. Y EGRE SEC CENT'!A9</f>
        <v>1.1.1.1</v>
      </c>
      <c r="B9" s="11" t="str">
        <f>+'INGR. Y EGRE SEC CENT'!B9</f>
        <v>Predial Unificado</v>
      </c>
      <c r="C9" s="627">
        <v>4518966</v>
      </c>
      <c r="D9" s="628">
        <v>5135220</v>
      </c>
      <c r="E9" s="628">
        <v>5209766</v>
      </c>
      <c r="F9" s="628">
        <v>23105871</v>
      </c>
      <c r="G9" s="628"/>
      <c r="H9" s="628"/>
      <c r="I9" s="629"/>
      <c r="J9" s="629"/>
      <c r="K9" s="629"/>
      <c r="L9" s="629"/>
      <c r="M9" s="629"/>
      <c r="N9" s="630"/>
    </row>
    <row r="10" spans="1:14" ht="15">
      <c r="A10" s="8" t="str">
        <f>+'INGR. Y EGRE SEC CENT'!A10</f>
        <v>1.1.1.2</v>
      </c>
      <c r="B10" s="11" t="str">
        <f>+'INGR. Y EGRE SEC CENT'!B10</f>
        <v>Industria y comercio</v>
      </c>
      <c r="C10" s="627">
        <v>302600</v>
      </c>
      <c r="D10" s="628">
        <v>40000</v>
      </c>
      <c r="E10" s="628">
        <v>690200</v>
      </c>
      <c r="F10" s="628">
        <v>780100</v>
      </c>
      <c r="G10" s="628"/>
      <c r="H10" s="628"/>
      <c r="I10" s="629"/>
      <c r="J10" s="629"/>
      <c r="K10" s="629"/>
      <c r="L10" s="629"/>
      <c r="M10" s="629"/>
      <c r="N10" s="630"/>
    </row>
    <row r="11" spans="1:14" ht="15">
      <c r="A11" s="8" t="str">
        <f>+'INGR. Y EGRE SEC CENT'!A11</f>
        <v>1.1.1.3</v>
      </c>
      <c r="B11" s="11" t="str">
        <f>+'INGR. Y EGRE SEC CENT'!B11</f>
        <v>Circulación y Transito</v>
      </c>
      <c r="C11" s="627"/>
      <c r="D11" s="628"/>
      <c r="E11" s="628">
        <v>35000</v>
      </c>
      <c r="F11" s="628">
        <v>174000</v>
      </c>
      <c r="G11" s="628"/>
      <c r="H11" s="628"/>
      <c r="I11" s="629"/>
      <c r="J11" s="629"/>
      <c r="K11" s="629"/>
      <c r="L11" s="629"/>
      <c r="M11" s="629"/>
      <c r="N11" s="630"/>
    </row>
    <row r="12" spans="1:14" ht="15">
      <c r="A12" s="8" t="str">
        <f>+'INGR. Y EGRE SEC CENT'!A12</f>
        <v>1.1.1.4</v>
      </c>
      <c r="B12" s="11" t="str">
        <f>+'INGR. Y EGRE SEC CENT'!B12</f>
        <v>Avisos y Tableros </v>
      </c>
      <c r="C12" s="627"/>
      <c r="D12" s="628"/>
      <c r="E12" s="628"/>
      <c r="F12" s="628"/>
      <c r="G12" s="628"/>
      <c r="H12" s="628"/>
      <c r="I12" s="629"/>
      <c r="J12" s="629"/>
      <c r="K12" s="629"/>
      <c r="L12" s="629"/>
      <c r="M12" s="629"/>
      <c r="N12" s="630"/>
    </row>
    <row r="13" spans="1:14" ht="15">
      <c r="A13" s="8" t="str">
        <f>+'INGR. Y EGRE SEC CENT'!A13</f>
        <v>1.1.1.5</v>
      </c>
      <c r="B13" s="11" t="str">
        <f>+'INGR. Y EGRE SEC CENT'!B13</f>
        <v>Rifas, apuestas y Sorteos</v>
      </c>
      <c r="C13" s="627">
        <v>594000</v>
      </c>
      <c r="D13" s="628">
        <v>194200</v>
      </c>
      <c r="E13" s="628">
        <v>250000</v>
      </c>
      <c r="F13" s="628">
        <v>663400</v>
      </c>
      <c r="G13" s="628"/>
      <c r="H13" s="628"/>
      <c r="I13" s="629"/>
      <c r="J13" s="629"/>
      <c r="K13" s="629"/>
      <c r="L13" s="629"/>
      <c r="M13" s="629"/>
      <c r="N13" s="630"/>
    </row>
    <row r="14" spans="1:14" ht="15">
      <c r="A14" s="8" t="str">
        <f>+'INGR. Y EGRE SEC CENT'!A14</f>
        <v>1.1.1.6</v>
      </c>
      <c r="B14" s="11" t="str">
        <f>+'INGR. Y EGRE SEC CENT'!B14</f>
        <v>Espectáculos Públicos</v>
      </c>
      <c r="C14" s="627"/>
      <c r="D14" s="628"/>
      <c r="E14" s="628"/>
      <c r="F14" s="628"/>
      <c r="G14" s="628"/>
      <c r="H14" s="628"/>
      <c r="I14" s="629"/>
      <c r="J14" s="629"/>
      <c r="K14" s="629"/>
      <c r="L14" s="629"/>
      <c r="M14" s="629"/>
      <c r="N14" s="630"/>
    </row>
    <row r="15" spans="1:14" ht="15">
      <c r="A15" s="8" t="str">
        <f>+'INGR. Y EGRE SEC CENT'!A15</f>
        <v>1.1.1.7</v>
      </c>
      <c r="B15" s="11" t="str">
        <f>+'INGR. Y EGRE SEC CENT'!B15</f>
        <v>Deguello ganado mayor</v>
      </c>
      <c r="C15" s="627"/>
      <c r="D15" s="628"/>
      <c r="E15" s="628"/>
      <c r="F15" s="628"/>
      <c r="G15" s="628"/>
      <c r="H15" s="628"/>
      <c r="I15" s="629"/>
      <c r="J15" s="629"/>
      <c r="K15" s="629"/>
      <c r="L15" s="629"/>
      <c r="M15" s="629"/>
      <c r="N15" s="630"/>
    </row>
    <row r="16" spans="1:14" ht="15">
      <c r="A16" s="8" t="str">
        <f>+'INGR. Y EGRE SEC CENT'!A16</f>
        <v>1.1.1.8</v>
      </c>
      <c r="B16" s="11" t="str">
        <f>+'INGR. Y EGRE SEC CENT'!B16</f>
        <v>Delineación Urbana</v>
      </c>
      <c r="C16" s="627"/>
      <c r="D16" s="628"/>
      <c r="E16" s="628">
        <v>50500</v>
      </c>
      <c r="F16" s="628"/>
      <c r="G16" s="628"/>
      <c r="H16" s="628"/>
      <c r="I16" s="629"/>
      <c r="J16" s="629"/>
      <c r="K16" s="629"/>
      <c r="L16" s="629"/>
      <c r="M16" s="629"/>
      <c r="N16" s="630"/>
    </row>
    <row r="17" spans="1:14" ht="15">
      <c r="A17" s="8" t="str">
        <f>+'INGR. Y EGRE SEC CENT'!A17</f>
        <v>1.1.1.9</v>
      </c>
      <c r="B17" s="11" t="str">
        <f>+'INGR. Y EGRE SEC CENT'!B17</f>
        <v>Degüello de Ganado Menor</v>
      </c>
      <c r="C17" s="627"/>
      <c r="D17" s="628"/>
      <c r="E17" s="628"/>
      <c r="F17" s="628">
        <v>1000</v>
      </c>
      <c r="G17" s="628"/>
      <c r="H17" s="628"/>
      <c r="I17" s="629"/>
      <c r="J17" s="629"/>
      <c r="K17" s="629"/>
      <c r="L17" s="629"/>
      <c r="M17" s="629"/>
      <c r="N17" s="630"/>
    </row>
    <row r="18" spans="1:14" ht="15">
      <c r="A18" s="8" t="str">
        <f>+'INGR. Y EGRE SEC CENT'!A18</f>
        <v>1.1.1.10</v>
      </c>
      <c r="B18" s="11" t="str">
        <f>+'INGR. Y EGRE SEC CENT'!B18</f>
        <v>Sobretasa a la Gasolina</v>
      </c>
      <c r="C18" s="627"/>
      <c r="D18" s="628"/>
      <c r="E18" s="628"/>
      <c r="F18" s="628"/>
      <c r="G18" s="628"/>
      <c r="H18" s="628"/>
      <c r="I18" s="629"/>
      <c r="J18" s="629"/>
      <c r="K18" s="629"/>
      <c r="L18" s="629"/>
      <c r="M18" s="629"/>
      <c r="N18" s="630"/>
    </row>
    <row r="19" spans="1:14" ht="15">
      <c r="A19" s="8" t="str">
        <f>+'INGR. Y EGRE SEC CENT'!A19</f>
        <v>1.1.1.11</v>
      </c>
      <c r="B19" s="11" t="str">
        <f>+'INGR. Y EGRE SEC CENT'!B19</f>
        <v>Ocupación de Vías</v>
      </c>
      <c r="C19" s="627"/>
      <c r="D19" s="628"/>
      <c r="E19" s="628"/>
      <c r="F19" s="628"/>
      <c r="G19" s="628"/>
      <c r="H19" s="628"/>
      <c r="I19" s="629"/>
      <c r="J19" s="629"/>
      <c r="K19" s="629"/>
      <c r="L19" s="629"/>
      <c r="M19" s="629"/>
      <c r="N19" s="630"/>
    </row>
    <row r="20" spans="1:14" ht="15">
      <c r="A20" s="8" t="str">
        <f>+'INGR. Y EGRE SEC CENT'!A20</f>
        <v>1.1.1.12</v>
      </c>
      <c r="B20" s="11" t="str">
        <f>+'INGR. Y EGRE SEC CENT'!B20</f>
        <v>Extracción de Arena Cascajo y Otros</v>
      </c>
      <c r="C20" s="627"/>
      <c r="D20" s="628"/>
      <c r="E20" s="628"/>
      <c r="F20" s="628"/>
      <c r="G20" s="628"/>
      <c r="H20" s="628"/>
      <c r="I20" s="629"/>
      <c r="J20" s="629"/>
      <c r="K20" s="629"/>
      <c r="L20" s="629"/>
      <c r="M20" s="629"/>
      <c r="N20" s="630"/>
    </row>
    <row r="21" spans="1:14" ht="15">
      <c r="A21" s="8" t="str">
        <f>+'INGR. Y EGRE SEC CENT'!A21</f>
        <v>1.1.1.13</v>
      </c>
      <c r="B21" s="11" t="str">
        <f>+'INGR. Y EGRE SEC CENT'!B21</f>
        <v>Juegos permitidos</v>
      </c>
      <c r="C21" s="627"/>
      <c r="D21" s="628"/>
      <c r="E21" s="628"/>
      <c r="F21" s="628"/>
      <c r="G21" s="628"/>
      <c r="H21" s="628"/>
      <c r="I21" s="629"/>
      <c r="J21" s="629"/>
      <c r="K21" s="629"/>
      <c r="L21" s="629"/>
      <c r="M21" s="629"/>
      <c r="N21" s="630"/>
    </row>
    <row r="22" spans="1:14" ht="15">
      <c r="A22" s="8" t="str">
        <f>+'INGR. Y EGRE SEC CENT'!A22</f>
        <v>1.1.1.14</v>
      </c>
      <c r="B22" s="11" t="str">
        <f>+'INGR. Y EGRE SEC CENT'!B22</f>
        <v>Otros Indirectos</v>
      </c>
      <c r="C22" s="627"/>
      <c r="D22" s="628"/>
      <c r="E22" s="628"/>
      <c r="F22" s="628"/>
      <c r="G22" s="628"/>
      <c r="H22" s="628"/>
      <c r="I22" s="629"/>
      <c r="J22" s="629"/>
      <c r="K22" s="629"/>
      <c r="L22" s="629"/>
      <c r="M22" s="629"/>
      <c r="N22" s="630"/>
    </row>
    <row r="23" spans="1:14" ht="15">
      <c r="A23" s="8" t="str">
        <f>+'INGR. Y EGRE SEC CENT'!A23</f>
        <v>1.1.1.15</v>
      </c>
      <c r="B23" s="11" t="str">
        <f>+'INGR. Y EGRE SEC CENT'!B23</f>
        <v>Registro de Patentes, Marcas y Herretes</v>
      </c>
      <c r="C23" s="627"/>
      <c r="D23" s="628"/>
      <c r="E23" s="628"/>
      <c r="F23" s="628">
        <v>33000</v>
      </c>
      <c r="G23" s="628"/>
      <c r="H23" s="628"/>
      <c r="I23" s="629"/>
      <c r="J23" s="629"/>
      <c r="K23" s="629"/>
      <c r="L23" s="629"/>
      <c r="M23" s="629"/>
      <c r="N23" s="630"/>
    </row>
    <row r="24" spans="1:14" ht="15">
      <c r="A24" s="114" t="str">
        <f>+'INGR. Y EGRE SEC CENT'!A24</f>
        <v>1.1.1.16</v>
      </c>
      <c r="B24" s="115" t="str">
        <f>+'INGR. Y EGRE SEC CENT'!B24</f>
        <v>Otros Tributarios :</v>
      </c>
      <c r="C24" s="624">
        <f aca="true" t="shared" si="3" ref="C24:N24">SUM(C25:C27)</f>
        <v>0</v>
      </c>
      <c r="D24" s="625">
        <f t="shared" si="3"/>
        <v>5800</v>
      </c>
      <c r="E24" s="625">
        <f t="shared" si="3"/>
        <v>97200</v>
      </c>
      <c r="F24" s="625">
        <f t="shared" si="3"/>
        <v>164100</v>
      </c>
      <c r="G24" s="625">
        <f t="shared" si="3"/>
        <v>0</v>
      </c>
      <c r="H24" s="625">
        <f t="shared" si="3"/>
        <v>0</v>
      </c>
      <c r="I24" s="625">
        <f t="shared" si="3"/>
        <v>0</v>
      </c>
      <c r="J24" s="625">
        <f t="shared" si="3"/>
        <v>0</v>
      </c>
      <c r="K24" s="625">
        <f t="shared" si="3"/>
        <v>0</v>
      </c>
      <c r="L24" s="625">
        <f t="shared" si="3"/>
        <v>0</v>
      </c>
      <c r="M24" s="625">
        <f t="shared" si="3"/>
        <v>0</v>
      </c>
      <c r="N24" s="625">
        <f t="shared" si="3"/>
        <v>0</v>
      </c>
    </row>
    <row r="25" spans="1:14" ht="15">
      <c r="A25" s="8" t="str">
        <f>+'INGR. Y EGRE SEC CENT'!A25</f>
        <v>1.1.1.16.1</v>
      </c>
      <c r="B25" s="33" t="str">
        <f>+'INGR. Y EGRE SEC CENT'!B25</f>
        <v>Impuesto Nacional de Timbre</v>
      </c>
      <c r="C25" s="627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</row>
    <row r="26" spans="1:14" ht="15">
      <c r="A26" s="8" t="str">
        <f>+'INGR. Y EGRE SEC CENT'!A26</f>
        <v>1.1.1.16.2</v>
      </c>
      <c r="B26" s="33" t="str">
        <f>+'INGR. Y EGRE SEC CENT'!B26</f>
        <v>MOVILIZACION DE GANADO</v>
      </c>
      <c r="C26" s="627"/>
      <c r="D26" s="628">
        <v>4200</v>
      </c>
      <c r="E26" s="628">
        <v>97200</v>
      </c>
      <c r="F26" s="628">
        <v>103100</v>
      </c>
      <c r="G26" s="628"/>
      <c r="H26" s="628"/>
      <c r="I26" s="628"/>
      <c r="J26" s="628"/>
      <c r="K26" s="628"/>
      <c r="L26" s="628"/>
      <c r="M26" s="628"/>
      <c r="N26" s="628"/>
    </row>
    <row r="27" spans="1:14" ht="15">
      <c r="A27" s="8" t="str">
        <f>+'INGR. Y EGRE SEC CENT'!A27</f>
        <v>1.1.1.16.3</v>
      </c>
      <c r="B27" s="33" t="str">
        <f>+'INGR. Y EGRE SEC CENT'!B27</f>
        <v>Extracción de queso</v>
      </c>
      <c r="C27" s="627"/>
      <c r="D27" s="628">
        <v>1600</v>
      </c>
      <c r="E27" s="628"/>
      <c r="F27" s="628">
        <v>61000</v>
      </c>
      <c r="G27" s="628"/>
      <c r="H27" s="628"/>
      <c r="I27" s="628"/>
      <c r="J27" s="628"/>
      <c r="K27" s="628"/>
      <c r="L27" s="628"/>
      <c r="M27" s="628"/>
      <c r="N27" s="628"/>
    </row>
    <row r="28" spans="1:14" ht="15">
      <c r="A28" s="112" t="str">
        <f>+'INGR. Y EGRE SEC CENT'!A28</f>
        <v>1.1.2</v>
      </c>
      <c r="B28" s="113" t="str">
        <f>+'INGR. Y EGRE SEC CENT'!B28</f>
        <v>INGRESOS NO TRIBUTARIOS</v>
      </c>
      <c r="C28" s="624">
        <f>SUM(C29:C37)</f>
        <v>13928977</v>
      </c>
      <c r="D28" s="625">
        <f aca="true" t="shared" si="4" ref="D28:N28">SUM(D29:D37)</f>
        <v>5706478</v>
      </c>
      <c r="E28" s="625">
        <f t="shared" si="4"/>
        <v>11494476</v>
      </c>
      <c r="F28" s="625">
        <f t="shared" si="4"/>
        <v>16859909</v>
      </c>
      <c r="G28" s="625">
        <f t="shared" si="4"/>
        <v>0</v>
      </c>
      <c r="H28" s="625">
        <f t="shared" si="4"/>
        <v>0</v>
      </c>
      <c r="I28" s="625">
        <f t="shared" si="4"/>
        <v>0</v>
      </c>
      <c r="J28" s="625">
        <f t="shared" si="4"/>
        <v>0</v>
      </c>
      <c r="K28" s="625">
        <f t="shared" si="4"/>
        <v>0</v>
      </c>
      <c r="L28" s="625">
        <f t="shared" si="4"/>
        <v>0</v>
      </c>
      <c r="M28" s="625">
        <f t="shared" si="4"/>
        <v>0</v>
      </c>
      <c r="N28" s="625">
        <f t="shared" si="4"/>
        <v>0</v>
      </c>
    </row>
    <row r="29" spans="1:14" s="7" customFormat="1" ht="15">
      <c r="A29" s="8" t="str">
        <f>+'INGR. Y EGRE SEC CENT'!A29</f>
        <v>1.1.2.1</v>
      </c>
      <c r="B29" s="34" t="str">
        <f>+'INGR. Y EGRE SEC CENT'!B29</f>
        <v>Aseo</v>
      </c>
      <c r="C29" s="631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</row>
    <row r="30" spans="1:14" ht="15">
      <c r="A30" s="8" t="str">
        <f>+'INGR. Y EGRE SEC CENT'!A30</f>
        <v>1.1.2.2</v>
      </c>
      <c r="B30" s="14" t="str">
        <f>+'INGR. Y EGRE SEC CENT'!B30</f>
        <v>Pliego de Licitaciones</v>
      </c>
      <c r="C30" s="627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</row>
    <row r="31" spans="1:14" ht="15">
      <c r="A31" s="8" t="str">
        <f>+'INGR. Y EGRE SEC CENT'!A31</f>
        <v>1.1.2.3</v>
      </c>
      <c r="B31" s="34" t="str">
        <f>+'INGR. Y EGRE SEC CENT'!B31</f>
        <v>Gaceta Municipal</v>
      </c>
      <c r="C31" s="627">
        <v>224366</v>
      </c>
      <c r="D31" s="628">
        <v>322918</v>
      </c>
      <c r="E31" s="628">
        <v>400179</v>
      </c>
      <c r="F31" s="628">
        <v>1245053</v>
      </c>
      <c r="G31" s="628"/>
      <c r="H31" s="628"/>
      <c r="I31" s="628"/>
      <c r="J31" s="628"/>
      <c r="K31" s="628"/>
      <c r="L31" s="628"/>
      <c r="M31" s="628"/>
      <c r="N31" s="628"/>
    </row>
    <row r="32" spans="1:14" s="7" customFormat="1" ht="15">
      <c r="A32" s="8" t="str">
        <f>+'INGR. Y EGRE SEC CENT'!A32</f>
        <v>1.1.2.4</v>
      </c>
      <c r="B32" s="34" t="str">
        <f>+'INGR. Y EGRE SEC CENT'!B32</f>
        <v>Venta de formulario y placas</v>
      </c>
      <c r="C32" s="631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</row>
    <row r="33" spans="1:14" ht="15">
      <c r="A33" s="8" t="str">
        <f>+'INGR. Y EGRE SEC CENT'!A33</f>
        <v>1.1.2.5</v>
      </c>
      <c r="B33" s="34" t="str">
        <f>+'INGR. Y EGRE SEC CENT'!B33</f>
        <v>Arrendamientos o Alquileres</v>
      </c>
      <c r="C33" s="627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</row>
    <row r="34" spans="1:14" ht="15">
      <c r="A34" s="8" t="str">
        <f>+'INGR. Y EGRE SEC CENT'!A34</f>
        <v>1.1.2.6</v>
      </c>
      <c r="B34" s="34" t="str">
        <f>+'INGR. Y EGRE SEC CENT'!B34</f>
        <v>Multas,contravenciones y coso mpal.</v>
      </c>
      <c r="C34" s="627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</row>
    <row r="35" spans="1:14" ht="15">
      <c r="A35" s="8" t="str">
        <f>+'INGR. Y EGRE SEC CENT'!A35</f>
        <v>1.1.2.7</v>
      </c>
      <c r="B35" s="34" t="str">
        <f>+'INGR. Y EGRE SEC CENT'!B35</f>
        <v>Mercado y matadero Público</v>
      </c>
      <c r="C35" s="627"/>
      <c r="D35" s="628"/>
      <c r="E35" s="628"/>
      <c r="F35" s="628">
        <v>30000</v>
      </c>
      <c r="G35" s="628"/>
      <c r="H35" s="628"/>
      <c r="I35" s="628"/>
      <c r="J35" s="628"/>
      <c r="K35" s="628"/>
      <c r="L35" s="628"/>
      <c r="M35" s="628"/>
      <c r="N35" s="628"/>
    </row>
    <row r="36" spans="1:14" ht="15">
      <c r="A36" s="8" t="str">
        <f>+'INGR. Y EGRE SEC CENT'!A36</f>
        <v>1.1.2.8</v>
      </c>
      <c r="B36" s="34" t="str">
        <f>+'INGR. Y EGRE SEC CENT'!B36</f>
        <v>Acueducto</v>
      </c>
      <c r="C36" s="627">
        <v>6976687</v>
      </c>
      <c r="D36" s="628">
        <v>3791280</v>
      </c>
      <c r="E36" s="628">
        <v>7101440</v>
      </c>
      <c r="F36" s="628">
        <v>9765499</v>
      </c>
      <c r="G36" s="628"/>
      <c r="H36" s="628"/>
      <c r="I36" s="628"/>
      <c r="J36" s="628"/>
      <c r="K36" s="628"/>
      <c r="L36" s="628"/>
      <c r="M36" s="628"/>
      <c r="N36" s="628"/>
    </row>
    <row r="37" spans="1:14" ht="15">
      <c r="A37" s="114" t="str">
        <f>+'INGR. Y EGRE SEC CENT'!A37</f>
        <v>1.1.2.9</v>
      </c>
      <c r="B37" s="115" t="str">
        <f>+'INGR. Y EGRE SEC CENT'!B37</f>
        <v>Otros Ingresos No Tributarios</v>
      </c>
      <c r="C37" s="624">
        <f>SUM(C38:C40)</f>
        <v>6727924</v>
      </c>
      <c r="D37" s="625">
        <f aca="true" t="shared" si="5" ref="D37:N37">SUM(D38:D40)</f>
        <v>1592280</v>
      </c>
      <c r="E37" s="625">
        <f t="shared" si="5"/>
        <v>3992857</v>
      </c>
      <c r="F37" s="625">
        <f t="shared" si="5"/>
        <v>5819357</v>
      </c>
      <c r="G37" s="625">
        <f t="shared" si="5"/>
        <v>0</v>
      </c>
      <c r="H37" s="625">
        <f t="shared" si="5"/>
        <v>0</v>
      </c>
      <c r="I37" s="625">
        <f t="shared" si="5"/>
        <v>0</v>
      </c>
      <c r="J37" s="625">
        <f t="shared" si="5"/>
        <v>0</v>
      </c>
      <c r="K37" s="625">
        <f t="shared" si="5"/>
        <v>0</v>
      </c>
      <c r="L37" s="625">
        <f t="shared" si="5"/>
        <v>0</v>
      </c>
      <c r="M37" s="625">
        <f t="shared" si="5"/>
        <v>0</v>
      </c>
      <c r="N37" s="625">
        <f t="shared" si="5"/>
        <v>0</v>
      </c>
    </row>
    <row r="38" spans="1:14" ht="15">
      <c r="A38" s="8" t="str">
        <f>+'INGR. Y EGRE SEC CENT'!A38</f>
        <v>1.1.2.9.1</v>
      </c>
      <c r="B38" s="14" t="str">
        <f>+'INGR. Y EGRE SEC CENT'!B38</f>
        <v>CORPAMAG</v>
      </c>
      <c r="C38" s="627">
        <v>2324684</v>
      </c>
      <c r="D38" s="628">
        <v>908628</v>
      </c>
      <c r="E38" s="628">
        <v>1463184</v>
      </c>
      <c r="F38" s="628">
        <v>3119136</v>
      </c>
      <c r="G38" s="628"/>
      <c r="H38" s="628"/>
      <c r="I38" s="628"/>
      <c r="J38" s="628"/>
      <c r="K38" s="628"/>
      <c r="L38" s="628"/>
      <c r="M38" s="628"/>
      <c r="N38" s="628"/>
    </row>
    <row r="39" spans="1:14" ht="15">
      <c r="A39" s="8" t="str">
        <f>+'INGR. Y EGRE SEC CENT'!A39</f>
        <v>1.1.2.9.2</v>
      </c>
      <c r="B39" s="14" t="str">
        <f>+'INGR. Y EGRE SEC CENT'!B39</f>
        <v>Aporte empl. Seguro social y Pensión</v>
      </c>
      <c r="C39" s="627">
        <v>3899917</v>
      </c>
      <c r="D39" s="628"/>
      <c r="E39" s="628">
        <v>1624635</v>
      </c>
      <c r="F39" s="628"/>
      <c r="G39" s="628"/>
      <c r="H39" s="628"/>
      <c r="I39" s="628"/>
      <c r="J39" s="628"/>
      <c r="K39" s="628"/>
      <c r="L39" s="628"/>
      <c r="M39" s="628"/>
      <c r="N39" s="628"/>
    </row>
    <row r="40" spans="1:14" ht="15">
      <c r="A40" s="8" t="str">
        <f>+'INGR. Y EGRE SEC CENT'!A40</f>
        <v>1.1.2.9.3</v>
      </c>
      <c r="B40" s="14" t="str">
        <f>+'INGR. Y EGRE SEC CENT'!B40</f>
        <v>Impuesto Propalacio</v>
      </c>
      <c r="C40" s="627">
        <v>503323</v>
      </c>
      <c r="D40" s="628">
        <v>683652</v>
      </c>
      <c r="E40" s="628">
        <v>905038</v>
      </c>
      <c r="F40" s="628">
        <v>2700221</v>
      </c>
      <c r="G40" s="628"/>
      <c r="H40" s="628"/>
      <c r="I40" s="628"/>
      <c r="J40" s="628"/>
      <c r="K40" s="628"/>
      <c r="L40" s="628"/>
      <c r="M40" s="628"/>
      <c r="N40" s="628"/>
    </row>
    <row r="41" spans="1:14" ht="15.75">
      <c r="A41" s="110" t="str">
        <f>+'INGR. Y EGRE SEC CENT'!A41</f>
        <v>1.1.3</v>
      </c>
      <c r="B41" s="116" t="str">
        <f>+'INGR. Y EGRE SEC CENT'!B41</f>
        <v>TRANSFERENCIAS</v>
      </c>
      <c r="C41" s="633">
        <f aca="true" t="shared" si="6" ref="C41:N41">+C42+C45+C55</f>
        <v>603298602</v>
      </c>
      <c r="D41" s="634">
        <f t="shared" si="6"/>
        <v>0</v>
      </c>
      <c r="E41" s="634">
        <f t="shared" si="6"/>
        <v>718679614</v>
      </c>
      <c r="F41" s="634">
        <f t="shared" si="6"/>
        <v>563807361</v>
      </c>
      <c r="G41" s="634">
        <f t="shared" si="6"/>
        <v>0</v>
      </c>
      <c r="H41" s="634">
        <f t="shared" si="6"/>
        <v>0</v>
      </c>
      <c r="I41" s="634">
        <f t="shared" si="6"/>
        <v>0</v>
      </c>
      <c r="J41" s="634">
        <f t="shared" si="6"/>
        <v>0</v>
      </c>
      <c r="K41" s="634">
        <f t="shared" si="6"/>
        <v>0</v>
      </c>
      <c r="L41" s="634">
        <f t="shared" si="6"/>
        <v>0</v>
      </c>
      <c r="M41" s="634">
        <f t="shared" si="6"/>
        <v>0</v>
      </c>
      <c r="N41" s="634">
        <f t="shared" si="6"/>
        <v>0</v>
      </c>
    </row>
    <row r="42" spans="1:14" ht="15">
      <c r="A42" s="114" t="str">
        <f>+'INGR. Y EGRE SEC CENT'!A42</f>
        <v>1.1.3.1</v>
      </c>
      <c r="B42" s="115" t="str">
        <f>+'INGR. Y EGRE SEC CENT'!B42</f>
        <v>Por Situado Fiscal</v>
      </c>
      <c r="C42" s="624">
        <f aca="true" t="shared" si="7" ref="C42:N42">SUM(C43:C44)</f>
        <v>0</v>
      </c>
      <c r="D42" s="625">
        <f t="shared" si="7"/>
        <v>0</v>
      </c>
      <c r="E42" s="625">
        <f t="shared" si="7"/>
        <v>0</v>
      </c>
      <c r="F42" s="625">
        <f t="shared" si="7"/>
        <v>0</v>
      </c>
      <c r="G42" s="625">
        <f t="shared" si="7"/>
        <v>0</v>
      </c>
      <c r="H42" s="625">
        <f t="shared" si="7"/>
        <v>0</v>
      </c>
      <c r="I42" s="625">
        <f t="shared" si="7"/>
        <v>0</v>
      </c>
      <c r="J42" s="625">
        <f t="shared" si="7"/>
        <v>0</v>
      </c>
      <c r="K42" s="625">
        <f t="shared" si="7"/>
        <v>0</v>
      </c>
      <c r="L42" s="625">
        <f t="shared" si="7"/>
        <v>0</v>
      </c>
      <c r="M42" s="625">
        <f t="shared" si="7"/>
        <v>0</v>
      </c>
      <c r="N42" s="625">
        <f t="shared" si="7"/>
        <v>0</v>
      </c>
    </row>
    <row r="43" spans="1:14" ht="15">
      <c r="A43" s="8" t="str">
        <f>+'INGR. Y EGRE SEC CENT'!A43</f>
        <v>1.1.3.1.1</v>
      </c>
      <c r="B43" s="14" t="str">
        <f>+'INGR. Y EGRE SEC CENT'!B43</f>
        <v>Situado Fiscal Educación</v>
      </c>
      <c r="C43" s="627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</row>
    <row r="44" spans="1:14" ht="15">
      <c r="A44" s="8" t="str">
        <f>+'INGR. Y EGRE SEC CENT'!A44</f>
        <v>1.1.3.1.2</v>
      </c>
      <c r="B44" s="14" t="str">
        <f>+'INGR. Y EGRE SEC CENT'!B44</f>
        <v>Situado Fiscal Salud</v>
      </c>
      <c r="C44" s="627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</row>
    <row r="45" spans="1:14" ht="15">
      <c r="A45" s="114" t="str">
        <f>+'INGR. Y EGRE SEC CENT'!A45</f>
        <v>1.1.3.2</v>
      </c>
      <c r="B45" s="113" t="str">
        <f>+'INGR. Y EGRE SEC CENT'!B45</f>
        <v>Por Participación en Ingresos Corrientes de la Nación</v>
      </c>
      <c r="C45" s="624">
        <f aca="true" t="shared" si="8" ref="C45:N45">SUM(C46:C47)</f>
        <v>531487500</v>
      </c>
      <c r="D45" s="625">
        <f t="shared" si="8"/>
        <v>0</v>
      </c>
      <c r="E45" s="625">
        <f t="shared" si="8"/>
        <v>677895726</v>
      </c>
      <c r="F45" s="625">
        <f t="shared" si="8"/>
        <v>507335884</v>
      </c>
      <c r="G45" s="625">
        <f t="shared" si="8"/>
        <v>0</v>
      </c>
      <c r="H45" s="625">
        <f t="shared" si="8"/>
        <v>0</v>
      </c>
      <c r="I45" s="625">
        <f t="shared" si="8"/>
        <v>0</v>
      </c>
      <c r="J45" s="625">
        <f t="shared" si="8"/>
        <v>0</v>
      </c>
      <c r="K45" s="625">
        <f t="shared" si="8"/>
        <v>0</v>
      </c>
      <c r="L45" s="625">
        <f t="shared" si="8"/>
        <v>0</v>
      </c>
      <c r="M45" s="625">
        <f t="shared" si="8"/>
        <v>0</v>
      </c>
      <c r="N45" s="625">
        <f t="shared" si="8"/>
        <v>0</v>
      </c>
    </row>
    <row r="46" spans="1:14" ht="15">
      <c r="A46" s="8" t="str">
        <f>+'INGR. Y EGRE SEC CENT'!A46</f>
        <v>1.1.3.2.1</v>
      </c>
      <c r="B46" s="14" t="str">
        <f>+'INGR. Y EGRE SEC CENT'!B46</f>
        <v>ICN. de Inversión Forzosa</v>
      </c>
      <c r="C46" s="627">
        <v>419875125</v>
      </c>
      <c r="D46" s="628"/>
      <c r="E46" s="628">
        <v>555874495</v>
      </c>
      <c r="F46" s="628">
        <v>405385675</v>
      </c>
      <c r="G46" s="628"/>
      <c r="H46" s="628"/>
      <c r="I46" s="628"/>
      <c r="J46" s="628"/>
      <c r="K46" s="628"/>
      <c r="L46" s="628"/>
      <c r="M46" s="628"/>
      <c r="N46" s="628"/>
    </row>
    <row r="47" spans="1:14" ht="15.75" thickBot="1">
      <c r="A47" s="345" t="str">
        <f>+'INGR. Y EGRE SEC CENT'!A47</f>
        <v>1.1.3.2.2</v>
      </c>
      <c r="B47" s="38" t="str">
        <f>+'INGR. Y EGRE SEC CENT'!B47</f>
        <v>ICN. de Libre Destinación</v>
      </c>
      <c r="C47" s="635">
        <v>111612375</v>
      </c>
      <c r="D47" s="636"/>
      <c r="E47" s="636">
        <v>122021231</v>
      </c>
      <c r="F47" s="636">
        <v>101950209</v>
      </c>
      <c r="G47" s="636"/>
      <c r="H47" s="636"/>
      <c r="I47" s="636"/>
      <c r="J47" s="636"/>
      <c r="K47" s="636"/>
      <c r="L47" s="636"/>
      <c r="M47" s="636"/>
      <c r="N47" s="636"/>
    </row>
    <row r="52" ht="15.75" thickBot="1"/>
    <row r="53" spans="1:14" ht="15.75" thickBot="1">
      <c r="A53" s="97" t="s">
        <v>4</v>
      </c>
      <c r="B53" s="98"/>
      <c r="C53" s="99" t="s">
        <v>5</v>
      </c>
      <c r="D53" s="99" t="s">
        <v>6</v>
      </c>
      <c r="E53" s="152" t="s">
        <v>7</v>
      </c>
      <c r="F53" s="100" t="s">
        <v>8</v>
      </c>
      <c r="G53" s="99" t="s">
        <v>9</v>
      </c>
      <c r="H53" s="99" t="s">
        <v>10</v>
      </c>
      <c r="I53" s="99" t="s">
        <v>11</v>
      </c>
      <c r="J53" s="99" t="s">
        <v>12</v>
      </c>
      <c r="K53" s="99" t="s">
        <v>13</v>
      </c>
      <c r="L53" s="99" t="s">
        <v>14</v>
      </c>
      <c r="M53" s="99" t="s">
        <v>15</v>
      </c>
      <c r="N53" s="152" t="s">
        <v>16</v>
      </c>
    </row>
    <row r="54" spans="1:14" ht="15.75" thickBot="1">
      <c r="A54" s="102" t="s">
        <v>17</v>
      </c>
      <c r="B54" s="103"/>
      <c r="C54" s="104">
        <v>1999</v>
      </c>
      <c r="D54" s="104">
        <v>1999</v>
      </c>
      <c r="E54" s="153">
        <v>1999</v>
      </c>
      <c r="F54" s="105">
        <v>1999</v>
      </c>
      <c r="G54" s="104">
        <v>1999</v>
      </c>
      <c r="H54" s="104">
        <v>1999</v>
      </c>
      <c r="I54" s="104">
        <v>1999</v>
      </c>
      <c r="J54" s="104">
        <v>1999</v>
      </c>
      <c r="K54" s="104">
        <v>1999</v>
      </c>
      <c r="L54" s="104">
        <v>1999</v>
      </c>
      <c r="M54" s="104">
        <v>1999</v>
      </c>
      <c r="N54" s="153">
        <v>1999</v>
      </c>
    </row>
    <row r="55" spans="1:14" ht="15">
      <c r="A55" s="616" t="str">
        <f>+'INGR. Y EGRE SEC CENT'!A48</f>
        <v>1.1.3.3.3</v>
      </c>
      <c r="B55" s="617" t="str">
        <f>+'INGR. Y EGRE SEC CENT'!B48</f>
        <v>Otras Transferencias :</v>
      </c>
      <c r="C55" s="637">
        <f aca="true" t="shared" si="9" ref="C55:N55">SUM(C56:C59)</f>
        <v>71811102</v>
      </c>
      <c r="D55" s="638">
        <f t="shared" si="9"/>
        <v>0</v>
      </c>
      <c r="E55" s="638">
        <f t="shared" si="9"/>
        <v>40783888</v>
      </c>
      <c r="F55" s="638">
        <f t="shared" si="9"/>
        <v>56471477</v>
      </c>
      <c r="G55" s="638">
        <f t="shared" si="9"/>
        <v>0</v>
      </c>
      <c r="H55" s="638">
        <f t="shared" si="9"/>
        <v>0</v>
      </c>
      <c r="I55" s="638">
        <f t="shared" si="9"/>
        <v>0</v>
      </c>
      <c r="J55" s="638">
        <f t="shared" si="9"/>
        <v>0</v>
      </c>
      <c r="K55" s="638">
        <f t="shared" si="9"/>
        <v>0</v>
      </c>
      <c r="L55" s="638">
        <f t="shared" si="9"/>
        <v>0</v>
      </c>
      <c r="M55" s="638">
        <f t="shared" si="9"/>
        <v>0</v>
      </c>
      <c r="N55" s="638">
        <f t="shared" si="9"/>
        <v>0</v>
      </c>
    </row>
    <row r="56" spans="1:14" ht="15">
      <c r="A56" s="8" t="str">
        <f>+'INGR. Y EGRE SEC CENT'!A49</f>
        <v>1.1.3.3.3.1</v>
      </c>
      <c r="B56" s="34" t="str">
        <f>+'INGR. Y EGRE SEC CENT'!B49</f>
        <v>Recibidas De la Nación</v>
      </c>
      <c r="C56" s="627">
        <v>71811102</v>
      </c>
      <c r="D56" s="628"/>
      <c r="E56" s="628">
        <v>27759811</v>
      </c>
      <c r="F56" s="628">
        <v>27759811</v>
      </c>
      <c r="G56" s="628"/>
      <c r="H56" s="628"/>
      <c r="I56" s="628"/>
      <c r="J56" s="628"/>
      <c r="K56" s="628"/>
      <c r="L56" s="628"/>
      <c r="M56" s="628"/>
      <c r="N56" s="628"/>
    </row>
    <row r="57" spans="1:14" ht="15">
      <c r="A57" s="8" t="str">
        <f>+'INGR. Y EGRE SEC CENT'!A50</f>
        <v>1.1.3.3.3.2</v>
      </c>
      <c r="B57" s="34" t="str">
        <f>+'INGR. Y EGRE SEC CENT'!B50</f>
        <v>Recibidas Del Departamento</v>
      </c>
      <c r="C57" s="627"/>
      <c r="D57" s="628"/>
      <c r="E57" s="628">
        <v>13024077</v>
      </c>
      <c r="F57" s="628"/>
      <c r="G57" s="628"/>
      <c r="H57" s="628"/>
      <c r="I57" s="628"/>
      <c r="J57" s="628"/>
      <c r="K57" s="628"/>
      <c r="L57" s="628"/>
      <c r="M57" s="628"/>
      <c r="N57" s="628"/>
    </row>
    <row r="58" spans="1:14" ht="15">
      <c r="A58" s="8" t="str">
        <f>+'INGR. Y EGRE SEC CENT'!A51</f>
        <v>1.1.3.3.3.3</v>
      </c>
      <c r="B58" s="34" t="str">
        <f>+'INGR. Y EGRE SEC CENT'!B51</f>
        <v>Recibidas de Otras Entidades </v>
      </c>
      <c r="C58" s="627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</row>
    <row r="59" spans="1:14" ht="15">
      <c r="A59" s="8" t="str">
        <f>+'INGR. Y EGRE SEC CENT'!A52</f>
        <v>1.1.3.3.3.4</v>
      </c>
      <c r="B59" s="34" t="str">
        <f>+'INGR. Y EGRE SEC CENT'!B52</f>
        <v>Otras</v>
      </c>
      <c r="C59" s="627"/>
      <c r="D59" s="628"/>
      <c r="E59" s="628"/>
      <c r="F59" s="628">
        <v>28711666</v>
      </c>
      <c r="G59" s="628"/>
      <c r="H59" s="628"/>
      <c r="I59" s="628"/>
      <c r="J59" s="628"/>
      <c r="K59" s="628"/>
      <c r="L59" s="628"/>
      <c r="M59" s="628"/>
      <c r="N59" s="628"/>
    </row>
    <row r="60" spans="1:14" ht="15.75">
      <c r="A60" s="110">
        <f>+'INGR. Y EGRE SEC CENT'!A53</f>
        <v>1.2</v>
      </c>
      <c r="B60" s="117" t="str">
        <f>+'INGR. Y EGRE SEC CENT'!B53</f>
        <v>RECURSOS  DE CAPITAL</v>
      </c>
      <c r="C60" s="639">
        <f>+C61+C65+C69+C70+C76+C79+C80+C81+C82</f>
        <v>47153108</v>
      </c>
      <c r="D60" s="640">
        <f aca="true" t="shared" si="10" ref="D60:N60">+D61+D65+D69+D70+D76+D79+D80+D81+D82</f>
        <v>0</v>
      </c>
      <c r="E60" s="640">
        <f t="shared" si="10"/>
        <v>0</v>
      </c>
      <c r="F60" s="640">
        <f t="shared" si="10"/>
        <v>0</v>
      </c>
      <c r="G60" s="640">
        <f t="shared" si="10"/>
        <v>0</v>
      </c>
      <c r="H60" s="640">
        <f t="shared" si="10"/>
        <v>0</v>
      </c>
      <c r="I60" s="640">
        <f t="shared" si="10"/>
        <v>0</v>
      </c>
      <c r="J60" s="640">
        <f t="shared" si="10"/>
        <v>0</v>
      </c>
      <c r="K60" s="640">
        <f t="shared" si="10"/>
        <v>0</v>
      </c>
      <c r="L60" s="640">
        <f t="shared" si="10"/>
        <v>0</v>
      </c>
      <c r="M60" s="640">
        <f t="shared" si="10"/>
        <v>0</v>
      </c>
      <c r="N60" s="640">
        <f t="shared" si="10"/>
        <v>0</v>
      </c>
    </row>
    <row r="61" spans="1:14" ht="15">
      <c r="A61" s="112" t="str">
        <f>+'INGR. Y EGRE SEC CENT'!A54</f>
        <v>1.2.1</v>
      </c>
      <c r="B61" s="113" t="str">
        <f>+'INGR. Y EGRE SEC CENT'!B54</f>
        <v>Recursos del Balance</v>
      </c>
      <c r="C61" s="624">
        <f>SUM(C62:C64)</f>
        <v>47153108</v>
      </c>
      <c r="D61" s="625">
        <f>SUM(D62:D64)</f>
        <v>0</v>
      </c>
      <c r="E61" s="625">
        <f aca="true" t="shared" si="11" ref="E61:N61">SUM(E62:E64)</f>
        <v>0</v>
      </c>
      <c r="F61" s="625">
        <f t="shared" si="11"/>
        <v>0</v>
      </c>
      <c r="G61" s="625">
        <f t="shared" si="11"/>
        <v>0</v>
      </c>
      <c r="H61" s="625">
        <f t="shared" si="11"/>
        <v>0</v>
      </c>
      <c r="I61" s="625">
        <f t="shared" si="11"/>
        <v>0</v>
      </c>
      <c r="J61" s="625">
        <f t="shared" si="11"/>
        <v>0</v>
      </c>
      <c r="K61" s="625">
        <f t="shared" si="11"/>
        <v>0</v>
      </c>
      <c r="L61" s="625">
        <f t="shared" si="11"/>
        <v>0</v>
      </c>
      <c r="M61" s="625">
        <f t="shared" si="11"/>
        <v>0</v>
      </c>
      <c r="N61" s="625">
        <f t="shared" si="11"/>
        <v>0</v>
      </c>
    </row>
    <row r="62" spans="1:14" ht="15">
      <c r="A62" s="9" t="str">
        <f>+'INGR. Y EGRE SEC CENT'!A55</f>
        <v>1.2.1.1</v>
      </c>
      <c r="B62" s="14" t="str">
        <f>+'INGR. Y EGRE SEC CENT'!B55</f>
        <v>Superávit</v>
      </c>
      <c r="C62" s="627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</row>
    <row r="63" spans="1:14" ht="15">
      <c r="A63" s="9" t="str">
        <f>+'INGR. Y EGRE SEC CENT'!A56</f>
        <v>1.2.1.2</v>
      </c>
      <c r="B63" s="14" t="str">
        <f>+'INGR. Y EGRE SEC CENT'!B56</f>
        <v>Cancelación de Reservas</v>
      </c>
      <c r="C63" s="627">
        <v>47153108</v>
      </c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</row>
    <row r="64" spans="1:14" ht="15">
      <c r="A64" s="9" t="str">
        <f>+'INGR. Y EGRE SEC CENT'!A57</f>
        <v>1.2.1.3</v>
      </c>
      <c r="B64" s="14" t="str">
        <f>+'INGR. Y EGRE SEC CENT'!B57</f>
        <v>Venta de Activos</v>
      </c>
      <c r="C64" s="627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/>
    </row>
    <row r="65" spans="1:14" ht="15">
      <c r="A65" s="112" t="str">
        <f>+'INGR. Y EGRE SEC CENT'!A58</f>
        <v>1.2.2</v>
      </c>
      <c r="B65" s="113" t="str">
        <f>+'INGR. Y EGRE SEC CENT'!B58</f>
        <v>Recursos de Cofinanciación</v>
      </c>
      <c r="C65" s="641">
        <f>SUM(C66:C68)</f>
        <v>0</v>
      </c>
      <c r="D65" s="642">
        <f aca="true" t="shared" si="12" ref="D65:N65">SUM(D66:D68)</f>
        <v>0</v>
      </c>
      <c r="E65" s="642">
        <f t="shared" si="12"/>
        <v>0</v>
      </c>
      <c r="F65" s="642">
        <f t="shared" si="12"/>
        <v>0</v>
      </c>
      <c r="G65" s="642">
        <f t="shared" si="12"/>
        <v>0</v>
      </c>
      <c r="H65" s="642">
        <f t="shared" si="12"/>
        <v>0</v>
      </c>
      <c r="I65" s="642">
        <f t="shared" si="12"/>
        <v>0</v>
      </c>
      <c r="J65" s="642">
        <f t="shared" si="12"/>
        <v>0</v>
      </c>
      <c r="K65" s="642">
        <f t="shared" si="12"/>
        <v>0</v>
      </c>
      <c r="L65" s="642">
        <f t="shared" si="12"/>
        <v>0</v>
      </c>
      <c r="M65" s="642">
        <f t="shared" si="12"/>
        <v>0</v>
      </c>
      <c r="N65" s="642">
        <f t="shared" si="12"/>
        <v>0</v>
      </c>
    </row>
    <row r="66" spans="1:14" ht="15">
      <c r="A66" s="9" t="str">
        <f>+'INGR. Y EGRE SEC CENT'!A59</f>
        <v>1.2.2.1</v>
      </c>
      <c r="B66" s="151" t="str">
        <f>+'INGR. Y EGRE SEC CENT'!B59</f>
        <v>Recursos del FIS, DRI, FIU y FCV.</v>
      </c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4"/>
    </row>
    <row r="67" spans="1:14" ht="15">
      <c r="A67" s="9" t="str">
        <f>+'INGR. Y EGRE SEC CENT'!A60</f>
        <v>1.2.2.2</v>
      </c>
      <c r="B67" s="151" t="str">
        <f>+'INGR. Y EGRE SEC CENT'!B60</f>
        <v>Fondo Nacional de Regalías</v>
      </c>
      <c r="C67" s="643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</row>
    <row r="68" spans="1:14" ht="15">
      <c r="A68" s="9" t="str">
        <f>+'INGR. Y EGRE SEC CENT'!A61</f>
        <v>1.2.2.3</v>
      </c>
      <c r="B68" s="151" t="str">
        <f>+'INGR. Y EGRE SEC CENT'!B61</f>
        <v>Otros recursos de Cofinanciación</v>
      </c>
      <c r="C68" s="643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</row>
    <row r="69" spans="1:14" ht="15">
      <c r="A69" s="9" t="str">
        <f>+'INGR. Y EGRE SEC CENT'!A62</f>
        <v>1.2.3</v>
      </c>
      <c r="B69" s="12" t="str">
        <f>+'INGR. Y EGRE SEC CENT'!B62</f>
        <v>Donaciones</v>
      </c>
      <c r="C69" s="627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</row>
    <row r="70" spans="1:14" ht="15">
      <c r="A70" s="112" t="s">
        <v>18</v>
      </c>
      <c r="B70" s="113" t="str">
        <f>+'INGR. Y EGRE SEC CENT'!B63</f>
        <v>Regalías</v>
      </c>
      <c r="C70" s="624">
        <f>SUM(C71:C75)</f>
        <v>0</v>
      </c>
      <c r="D70" s="625">
        <f aca="true" t="shared" si="13" ref="D70:N70">SUM(D71:D75)</f>
        <v>0</v>
      </c>
      <c r="E70" s="625">
        <f t="shared" si="13"/>
        <v>0</v>
      </c>
      <c r="F70" s="625">
        <f t="shared" si="13"/>
        <v>0</v>
      </c>
      <c r="G70" s="625">
        <f t="shared" si="13"/>
        <v>0</v>
      </c>
      <c r="H70" s="625">
        <f t="shared" si="13"/>
        <v>0</v>
      </c>
      <c r="I70" s="625">
        <f t="shared" si="13"/>
        <v>0</v>
      </c>
      <c r="J70" s="625">
        <f t="shared" si="13"/>
        <v>0</v>
      </c>
      <c r="K70" s="625">
        <f t="shared" si="13"/>
        <v>0</v>
      </c>
      <c r="L70" s="625">
        <f t="shared" si="13"/>
        <v>0</v>
      </c>
      <c r="M70" s="625">
        <f t="shared" si="13"/>
        <v>0</v>
      </c>
      <c r="N70" s="625">
        <f t="shared" si="13"/>
        <v>0</v>
      </c>
    </row>
    <row r="71" spans="1:14" ht="15">
      <c r="A71" s="9" t="str">
        <f>+'INGR. Y EGRE SEC CENT'!A64</f>
        <v>1.2.4.1</v>
      </c>
      <c r="B71" s="151" t="str">
        <f>+'INGR. Y EGRE SEC CENT'!B64</f>
        <v>Anticipos de Regalías</v>
      </c>
      <c r="C71" s="643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</row>
    <row r="72" spans="1:14" ht="15">
      <c r="A72" s="9" t="str">
        <f>+'INGR. Y EGRE SEC CENT'!A65</f>
        <v>1.2.4.2</v>
      </c>
      <c r="B72" s="14" t="str">
        <f>+'INGR. Y EGRE SEC CENT'!B65</f>
        <v>Regalías Petroleras</v>
      </c>
      <c r="C72" s="627"/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</row>
    <row r="73" spans="1:14" ht="15">
      <c r="A73" s="9" t="str">
        <f>+'INGR. Y EGRE SEC CENT'!A66</f>
        <v>1.2.4.3</v>
      </c>
      <c r="B73" s="14" t="str">
        <f>+'INGR. Y EGRE SEC CENT'!B66</f>
        <v>Regalías Carboníferas</v>
      </c>
      <c r="C73" s="627"/>
      <c r="D73" s="628"/>
      <c r="E73" s="628"/>
      <c r="F73" s="628"/>
      <c r="G73" s="628"/>
      <c r="H73" s="628"/>
      <c r="I73" s="628"/>
      <c r="J73" s="628"/>
      <c r="K73" s="628"/>
      <c r="L73" s="628"/>
      <c r="M73" s="628"/>
      <c r="N73" s="628"/>
    </row>
    <row r="74" spans="1:14" ht="15">
      <c r="A74" s="9" t="str">
        <f>+'INGR. Y EGRE SEC CENT'!A67</f>
        <v>1.2.4.4</v>
      </c>
      <c r="B74" s="14" t="str">
        <f>+'INGR. Y EGRE SEC CENT'!B67</f>
        <v>Regalías por Gas</v>
      </c>
      <c r="C74" s="627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</row>
    <row r="75" spans="1:14" ht="15">
      <c r="A75" s="9" t="str">
        <f>+'INGR. Y EGRE SEC CENT'!A68</f>
        <v>1.2.4.5</v>
      </c>
      <c r="B75" s="14" t="str">
        <f>+'INGR. Y EGRE SEC CENT'!B68</f>
        <v>Otras Regalías :</v>
      </c>
      <c r="C75" s="627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</row>
    <row r="76" spans="1:14" ht="15">
      <c r="A76" s="112" t="str">
        <f>+'INGR. Y EGRE SEC CENT'!A69</f>
        <v>1.2.5</v>
      </c>
      <c r="B76" s="113" t="str">
        <f>+'INGR. Y EGRE SEC CENT'!B69</f>
        <v>Recursos del Crédito (DESEMBOLSOS)</v>
      </c>
      <c r="C76" s="624">
        <f aca="true" t="shared" si="14" ref="C76:N76">SUM(C77:C78)</f>
        <v>0</v>
      </c>
      <c r="D76" s="625">
        <f t="shared" si="14"/>
        <v>0</v>
      </c>
      <c r="E76" s="625">
        <f t="shared" si="14"/>
        <v>0</v>
      </c>
      <c r="F76" s="625">
        <f t="shared" si="14"/>
        <v>0</v>
      </c>
      <c r="G76" s="625">
        <f t="shared" si="14"/>
        <v>0</v>
      </c>
      <c r="H76" s="625">
        <f t="shared" si="14"/>
        <v>0</v>
      </c>
      <c r="I76" s="625">
        <f t="shared" si="14"/>
        <v>0</v>
      </c>
      <c r="J76" s="625">
        <f t="shared" si="14"/>
        <v>0</v>
      </c>
      <c r="K76" s="625">
        <f t="shared" si="14"/>
        <v>0</v>
      </c>
      <c r="L76" s="625">
        <f t="shared" si="14"/>
        <v>0</v>
      </c>
      <c r="M76" s="625">
        <f t="shared" si="14"/>
        <v>0</v>
      </c>
      <c r="N76" s="625">
        <f t="shared" si="14"/>
        <v>0</v>
      </c>
    </row>
    <row r="77" spans="1:14" ht="15">
      <c r="A77" s="9" t="str">
        <f>+'INGR. Y EGRE SEC CENT'!A70</f>
        <v>1.2.5.1</v>
      </c>
      <c r="B77" s="14" t="str">
        <f>+'INGR. Y EGRE SEC CENT'!B70</f>
        <v>Desembolsos Crédito Interno</v>
      </c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8"/>
    </row>
    <row r="78" spans="1:14" ht="15">
      <c r="A78" s="9" t="str">
        <f>+'INGR. Y EGRE SEC CENT'!A71</f>
        <v>1.2.5.2</v>
      </c>
      <c r="B78" s="14" t="str">
        <f>+'INGR. Y EGRE SEC CENT'!B71</f>
        <v>Desembolsos Crédito Externo</v>
      </c>
      <c r="C78" s="627"/>
      <c r="D78" s="628"/>
      <c r="E78" s="628"/>
      <c r="F78" s="628"/>
      <c r="G78" s="628"/>
      <c r="H78" s="628"/>
      <c r="I78" s="628"/>
      <c r="J78" s="628"/>
      <c r="K78" s="628"/>
      <c r="L78" s="628"/>
      <c r="M78" s="628"/>
      <c r="N78" s="628"/>
    </row>
    <row r="79" spans="1:14" ht="15">
      <c r="A79" s="9" t="str">
        <f>+'INGR. Y EGRE SEC CENT'!A72</f>
        <v>1.2.6</v>
      </c>
      <c r="B79" s="12" t="str">
        <f>+'INGR. Y EGRE SEC CENT'!B72</f>
        <v>Rendimientos Financieros</v>
      </c>
      <c r="C79" s="627"/>
      <c r="D79" s="628"/>
      <c r="E79" s="628"/>
      <c r="F79" s="628"/>
      <c r="G79" s="628"/>
      <c r="H79" s="628"/>
      <c r="I79" s="628"/>
      <c r="J79" s="628"/>
      <c r="K79" s="628"/>
      <c r="L79" s="628"/>
      <c r="M79" s="628"/>
      <c r="N79" s="628"/>
    </row>
    <row r="80" spans="1:14" ht="15">
      <c r="A80" s="9" t="str">
        <f>+'INGR. Y EGRE SEC CENT'!A73</f>
        <v>1.2.7</v>
      </c>
      <c r="B80" s="12" t="str">
        <f>+'INGR. Y EGRE SEC CENT'!B73</f>
        <v>Excedentes Financieros Ent. Descentralizadas</v>
      </c>
      <c r="C80" s="627"/>
      <c r="D80" s="628"/>
      <c r="E80" s="628"/>
      <c r="F80" s="628"/>
      <c r="G80" s="628"/>
      <c r="H80" s="628"/>
      <c r="I80" s="628"/>
      <c r="J80" s="628"/>
      <c r="K80" s="628"/>
      <c r="L80" s="628"/>
      <c r="M80" s="628"/>
      <c r="N80" s="628"/>
    </row>
    <row r="81" spans="1:14" ht="15">
      <c r="A81" s="9" t="str">
        <f>+'INGR. Y EGRE SEC CENT'!A74</f>
        <v>1.2.8</v>
      </c>
      <c r="B81" s="12" t="str">
        <f>+'INGR. Y EGRE SEC CENT'!B74</f>
        <v>Venta de Activos</v>
      </c>
      <c r="C81" s="627"/>
      <c r="D81" s="628"/>
      <c r="E81" s="628"/>
      <c r="F81" s="628"/>
      <c r="G81" s="628"/>
      <c r="H81" s="628"/>
      <c r="I81" s="628"/>
      <c r="J81" s="628"/>
      <c r="K81" s="628"/>
      <c r="L81" s="628"/>
      <c r="M81" s="628"/>
      <c r="N81" s="628"/>
    </row>
    <row r="82" spans="1:14" ht="15">
      <c r="A82" s="112" t="str">
        <f>+'INGR. Y EGRE SEC CENT'!A75</f>
        <v>1.2.9</v>
      </c>
      <c r="B82" s="113" t="str">
        <f>+'INGR. Y EGRE SEC CENT'!B75</f>
        <v>Otros Recursos de Capital</v>
      </c>
      <c r="C82" s="624">
        <f aca="true" t="shared" si="15" ref="C82:N82">SUM(C83:C85)</f>
        <v>0</v>
      </c>
      <c r="D82" s="625">
        <f t="shared" si="15"/>
        <v>0</v>
      </c>
      <c r="E82" s="625">
        <f t="shared" si="15"/>
        <v>0</v>
      </c>
      <c r="F82" s="625">
        <f t="shared" si="15"/>
        <v>0</v>
      </c>
      <c r="G82" s="625">
        <f t="shared" si="15"/>
        <v>0</v>
      </c>
      <c r="H82" s="625">
        <f t="shared" si="15"/>
        <v>0</v>
      </c>
      <c r="I82" s="625">
        <f t="shared" si="15"/>
        <v>0</v>
      </c>
      <c r="J82" s="625">
        <f t="shared" si="15"/>
        <v>0</v>
      </c>
      <c r="K82" s="625">
        <f t="shared" si="15"/>
        <v>0</v>
      </c>
      <c r="L82" s="625">
        <f t="shared" si="15"/>
        <v>0</v>
      </c>
      <c r="M82" s="625">
        <f t="shared" si="15"/>
        <v>0</v>
      </c>
      <c r="N82" s="625">
        <f t="shared" si="15"/>
        <v>0</v>
      </c>
    </row>
    <row r="83" spans="1:14" ht="15">
      <c r="A83" s="9" t="str">
        <f>+'INGR. Y EGRE SEC CENT'!A76</f>
        <v>1.2.9.1</v>
      </c>
      <c r="B83" s="35" t="str">
        <f>+'INGR. Y EGRE SEC CENT'!B76</f>
        <v>Recurso de Capital</v>
      </c>
      <c r="C83" s="627"/>
      <c r="D83" s="628"/>
      <c r="E83" s="628"/>
      <c r="F83" s="628"/>
      <c r="G83" s="628"/>
      <c r="H83" s="628"/>
      <c r="I83" s="628"/>
      <c r="J83" s="628"/>
      <c r="K83" s="628"/>
      <c r="L83" s="628"/>
      <c r="M83" s="628">
        <v>0</v>
      </c>
      <c r="N83" s="628">
        <v>0</v>
      </c>
    </row>
    <row r="84" spans="1:14" ht="15">
      <c r="A84" s="9" t="str">
        <f>+'INGR. Y EGRE SEC CENT'!A77</f>
        <v>1.2.9.2</v>
      </c>
      <c r="B84" s="351">
        <f>+'INGR. Y EGRE SEC CENT'!B77</f>
        <v>0</v>
      </c>
      <c r="C84" s="627"/>
      <c r="D84" s="628"/>
      <c r="E84" s="628"/>
      <c r="F84" s="628"/>
      <c r="G84" s="628"/>
      <c r="H84" s="628"/>
      <c r="I84" s="628"/>
      <c r="J84" s="628"/>
      <c r="K84" s="628"/>
      <c r="L84" s="628"/>
      <c r="M84" s="628">
        <v>0</v>
      </c>
      <c r="N84" s="628">
        <v>0</v>
      </c>
    </row>
    <row r="85" spans="1:14" ht="15.75" thickBot="1">
      <c r="A85" s="10" t="str">
        <f>+'INGR. Y EGRE SEC CENT'!A78</f>
        <v>1.2.9.3</v>
      </c>
      <c r="B85" s="78" t="str">
        <f>+'INGR. Y EGRE SEC CENT'!B78</f>
        <v>Otros</v>
      </c>
      <c r="C85" s="635"/>
      <c r="D85" s="636"/>
      <c r="E85" s="636"/>
      <c r="F85" s="636"/>
      <c r="G85" s="636"/>
      <c r="H85" s="636"/>
      <c r="I85" s="636"/>
      <c r="J85" s="636"/>
      <c r="K85" s="636"/>
      <c r="L85" s="636"/>
      <c r="M85" s="636">
        <v>0</v>
      </c>
      <c r="N85" s="636">
        <v>0</v>
      </c>
    </row>
    <row r="86" spans="1:14" ht="15">
      <c r="A86" s="77" t="s">
        <v>19</v>
      </c>
      <c r="B86" s="20" t="s">
        <v>20</v>
      </c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</row>
    <row r="87" spans="1:14" ht="15">
      <c r="A87" s="178"/>
      <c r="B87" s="36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</row>
    <row r="88" spans="1:14" ht="15">
      <c r="A88" s="178"/>
      <c r="B88" s="36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</row>
    <row r="89" spans="1:3" ht="18">
      <c r="A89" s="186"/>
      <c r="B89" s="186"/>
      <c r="C89" s="235" t="s">
        <v>21</v>
      </c>
    </row>
    <row r="90" ht="18">
      <c r="A90" s="834" t="s">
        <v>645</v>
      </c>
    </row>
  </sheetData>
  <printOptions horizontalCentered="1" verticalCentered="1"/>
  <pageMargins left="0.3937007874015748" right="0.3937007874015748" top="0.5905511811023623" bottom="0.3937007874015748" header="0" footer="0"/>
  <pageSetup horizontalDpi="120" verticalDpi="120" orientation="landscape" paperSize="5" scale="70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B14">
      <selection activeCell="E14" sqref="E14"/>
    </sheetView>
  </sheetViews>
  <sheetFormatPr defaultColWidth="11.5546875" defaultRowHeight="15"/>
  <cols>
    <col min="1" max="1" width="6.88671875" style="0" customWidth="1"/>
    <col min="2" max="2" width="44.3359375" style="0" customWidth="1"/>
    <col min="3" max="3" width="12.4453125" style="0" customWidth="1"/>
    <col min="4" max="4" width="12.5546875" style="0" customWidth="1"/>
    <col min="5" max="5" width="12.88671875" style="0" customWidth="1"/>
    <col min="6" max="6" width="12.4453125" style="0" customWidth="1"/>
    <col min="7" max="7" width="12.10546875" style="0" customWidth="1"/>
    <col min="8" max="8" width="12.4453125" style="0" customWidth="1"/>
    <col min="9" max="9" width="12.10546875" style="0" customWidth="1"/>
    <col min="10" max="16384" width="11.5546875" style="239" customWidth="1"/>
  </cols>
  <sheetData>
    <row r="1" spans="1:9" ht="16.5" thickBot="1">
      <c r="A1" s="94" t="s">
        <v>424</v>
      </c>
      <c r="B1" s="94"/>
      <c r="C1" s="94"/>
      <c r="D1" s="94"/>
      <c r="E1" s="94"/>
      <c r="F1" s="94"/>
      <c r="G1" s="94"/>
      <c r="H1" s="94"/>
      <c r="I1" s="94"/>
    </row>
    <row r="2" spans="1:9" ht="16.5" thickBot="1">
      <c r="A2" s="171"/>
      <c r="B2" s="240" t="s">
        <v>157</v>
      </c>
      <c r="C2" s="234" t="str">
        <f>+'INGR. Y EGRE SEC CENT'!C2</f>
        <v>ARIGUANI</v>
      </c>
      <c r="D2" s="95"/>
      <c r="E2" s="95"/>
      <c r="F2" s="95"/>
      <c r="G2" s="95"/>
      <c r="H2" s="95"/>
      <c r="I2" s="95"/>
    </row>
    <row r="3" spans="1:9" s="242" customFormat="1" ht="15.75" thickBot="1">
      <c r="A3" s="241" t="s">
        <v>390</v>
      </c>
      <c r="B3" s="241"/>
      <c r="C3" s="241"/>
      <c r="D3" s="241"/>
      <c r="E3" s="241"/>
      <c r="F3" s="241"/>
      <c r="G3" s="241"/>
      <c r="H3" s="241"/>
      <c r="I3" s="241"/>
    </row>
    <row r="4" spans="1:9" ht="25.5">
      <c r="A4" s="97"/>
      <c r="B4" s="243"/>
      <c r="C4" s="244" t="s">
        <v>24</v>
      </c>
      <c r="D4" s="245" t="s">
        <v>285</v>
      </c>
      <c r="E4" s="246" t="s">
        <v>425</v>
      </c>
      <c r="F4" s="246" t="s">
        <v>425</v>
      </c>
      <c r="G4" s="246" t="s">
        <v>425</v>
      </c>
      <c r="H4" s="246" t="s">
        <v>425</v>
      </c>
      <c r="I4" s="246" t="s">
        <v>425</v>
      </c>
    </row>
    <row r="5" spans="1:9" ht="15.75" thickBot="1">
      <c r="A5" s="102" t="s">
        <v>391</v>
      </c>
      <c r="B5" s="247"/>
      <c r="C5" s="248">
        <v>1997</v>
      </c>
      <c r="D5" s="249">
        <v>1998</v>
      </c>
      <c r="E5" s="250">
        <v>1999</v>
      </c>
      <c r="F5" s="250">
        <f>+'PROYECCIONES SIN PLAN DESEMPE.'!E5</f>
        <v>2000</v>
      </c>
      <c r="G5" s="250">
        <f>+'PROYECCIONES SIN PLAN DESEMPE.'!F5</f>
        <v>2001</v>
      </c>
      <c r="H5" s="250">
        <f>+'PROYECCIONES SIN PLAN DESEMPE.'!G5</f>
        <v>2002</v>
      </c>
      <c r="I5" s="250">
        <f>+'PROYECCIONES SIN PLAN DESEMPE.'!H5</f>
        <v>2003</v>
      </c>
    </row>
    <row r="6" spans="1:9" ht="15.75">
      <c r="A6" s="251">
        <v>1</v>
      </c>
      <c r="B6" s="252" t="s">
        <v>392</v>
      </c>
      <c r="C6" s="780">
        <f aca="true" t="shared" si="0" ref="C6:I6">SUM(C7:C12)</f>
        <v>3998707387</v>
      </c>
      <c r="D6" s="780">
        <f t="shared" si="0"/>
        <v>4638500568.919999</v>
      </c>
      <c r="E6" s="780">
        <f t="shared" si="0"/>
        <v>2306189730.72</v>
      </c>
      <c r="F6" s="780">
        <f t="shared" si="0"/>
        <v>2323659520</v>
      </c>
      <c r="G6" s="780">
        <f t="shared" si="0"/>
        <v>2502694075.2000003</v>
      </c>
      <c r="H6" s="780">
        <f t="shared" si="0"/>
        <v>2767559754.3</v>
      </c>
      <c r="I6" s="780">
        <f t="shared" si="0"/>
        <v>3089967365.1</v>
      </c>
    </row>
    <row r="7" spans="1:9" ht="15.75">
      <c r="A7" s="253" t="s">
        <v>30</v>
      </c>
      <c r="B7" s="179" t="s">
        <v>31</v>
      </c>
      <c r="C7" s="758">
        <f>+'INGR. Y EGRE SEC CENT'!E8</f>
        <v>126111050</v>
      </c>
      <c r="D7" s="759">
        <f aca="true" t="shared" si="1" ref="D7:D12">+C7*$D$18</f>
        <v>146288818</v>
      </c>
      <c r="E7" s="758">
        <f>+'PROYECCIONES CON PLAN DESEMPE.'!C8*'INDICADORES CON PLAN'!E18</f>
        <v>47931212.22</v>
      </c>
      <c r="F7" s="760">
        <f>+'PROYECCIONES CON PLAN DESEMPE.'!D8*'INDICADORES CON PLAN'!F18</f>
        <v>121521120.00000001</v>
      </c>
      <c r="G7" s="760">
        <f>+'PROYECCIONES CON PLAN DESEMPE.'!E8*'INDICADORES CON PLAN'!G18</f>
        <v>130934100.00000001</v>
      </c>
      <c r="H7" s="760">
        <f>+'PROYECCIONES CON PLAN DESEMPE.'!F8*'INDICADORES CON PLAN'!H18</f>
        <v>149499631.60000002</v>
      </c>
      <c r="I7" s="760">
        <f>+'PROYECCIONES CON PLAN DESEMPE.'!G8*'INDICADORES CON PLAN'!I18</f>
        <v>170629543.70000002</v>
      </c>
    </row>
    <row r="8" spans="1:9" ht="15">
      <c r="A8" s="13" t="s">
        <v>65</v>
      </c>
      <c r="B8" s="254" t="s">
        <v>66</v>
      </c>
      <c r="C8" s="761">
        <f>+'INGR. Y EGRE SEC CENT'!E28</f>
        <v>119703045</v>
      </c>
      <c r="D8" s="677">
        <f t="shared" si="1"/>
        <v>138855532.2</v>
      </c>
      <c r="E8" s="761">
        <f>+'PROYECCIONES CON PLAN DESEMPE.'!C28*'INDICADORES CON PLAN'!E18</f>
        <v>54708417.599999994</v>
      </c>
      <c r="F8" s="762">
        <f>+'PROYECCIONES CON PLAN DESEMPE.'!D28*'INDICADORES CON PLAN'!F18</f>
        <v>20952960.000000004</v>
      </c>
      <c r="G8" s="762">
        <f>+'PROYECCIONES CON PLAN DESEMPE.'!E28*'INDICADORES CON PLAN'!G18</f>
        <v>22627000</v>
      </c>
      <c r="H8" s="762">
        <f>+'PROYECCIONES CON PLAN DESEMPE.'!F28*'INDICADORES CON PLAN'!H18</f>
        <v>24351250.000000004</v>
      </c>
      <c r="I8" s="762">
        <f>+'PROYECCIONES CON PLAN DESEMPE.'!G28*'INDICADORES CON PLAN'!I18</f>
        <v>28136130.000000004</v>
      </c>
    </row>
    <row r="9" spans="1:9" ht="15">
      <c r="A9" s="8" t="s">
        <v>82</v>
      </c>
      <c r="B9" s="178" t="s">
        <v>83</v>
      </c>
      <c r="C9" s="761">
        <f>+'INGR. Y EGRE SEC CENT'!E41</f>
        <v>3752893292</v>
      </c>
      <c r="D9" s="677">
        <f t="shared" si="1"/>
        <v>4353356218.719999</v>
      </c>
      <c r="E9" s="761">
        <f>+'PROYECCIONES CON PLAN DESEMPE.'!C41*'INDICADORES CON PLAN'!E18</f>
        <v>2149795557.7799997</v>
      </c>
      <c r="F9" s="762">
        <f>+'PROYECCIONES CON PLAN DESEMPE.'!D41*'INDICADORES CON PLAN'!F18</f>
        <v>2181185440</v>
      </c>
      <c r="G9" s="762">
        <f>+'PROYECCIONES CON PLAN DESEMPE.'!E41*'INDICADORES CON PLAN'!G18</f>
        <v>2349132975.2000003</v>
      </c>
      <c r="H9" s="762">
        <f>+'PROYECCIONES CON PLAN DESEMPE.'!F41*'INDICADORES CON PLAN'!H18</f>
        <v>2593708872.7000003</v>
      </c>
      <c r="I9" s="762">
        <f>+'PROYECCIONES CON PLAN DESEMPE.'!G41*'INDICADORES CON PLAN'!I18</f>
        <v>2891201691.4</v>
      </c>
    </row>
    <row r="10" spans="1:9" ht="15">
      <c r="A10" s="8" t="s">
        <v>107</v>
      </c>
      <c r="B10" s="178" t="s">
        <v>108</v>
      </c>
      <c r="C10" s="761">
        <f>+'INGR. Y EGRE SEC CENT'!E54</f>
        <v>0</v>
      </c>
      <c r="D10" s="677">
        <f t="shared" si="1"/>
        <v>0</v>
      </c>
      <c r="E10" s="761">
        <f>+'PROYECCIONES CON PLAN DESEMPE.'!C54*'INDICADORES CON PLAN'!E18</f>
        <v>53754543.12</v>
      </c>
      <c r="F10" s="762">
        <f>+'PROYECCIONES CON PLAN DESEMPE.'!D54*'INDICADORES CON PLAN'!F18</f>
        <v>0</v>
      </c>
      <c r="G10" s="762">
        <f>+'PROYECCIONES CON PLAN DESEMPE.'!E54*'INDICADORES CON PLAN'!G18</f>
        <v>0</v>
      </c>
      <c r="H10" s="762">
        <f>+'PROYECCIONES CON PLAN DESEMPE.'!F54*'INDICADORES CON PLAN'!H18</f>
        <v>0</v>
      </c>
      <c r="I10" s="762">
        <f>+'PROYECCIONES CON PLAN DESEMPE.'!G54*'INDICADORES CON PLAN'!I18</f>
        <v>0</v>
      </c>
    </row>
    <row r="11" spans="1:9" ht="15">
      <c r="A11" s="13" t="s">
        <v>142</v>
      </c>
      <c r="B11" s="178" t="s">
        <v>125</v>
      </c>
      <c r="C11" s="761">
        <f>+'INGR. Y EGRE SEC CENT'!E63</f>
        <v>0</v>
      </c>
      <c r="D11" s="677">
        <f t="shared" si="1"/>
        <v>0</v>
      </c>
      <c r="E11" s="761">
        <f>+'PROYECCIONES CON PLAN DESEMPE.'!C63*'INDICADORES CON PLAN'!E18</f>
        <v>0</v>
      </c>
      <c r="F11" s="762">
        <f>+'PROYECCIONES CON PLAN DESEMPE.'!D63*'INDICADORES CON PLAN'!F18</f>
        <v>0</v>
      </c>
      <c r="G11" s="762">
        <f>+'PROYECCIONES CON PLAN DESEMPE.'!E63*'INDICADORES CON PLAN'!G18</f>
        <v>0</v>
      </c>
      <c r="H11" s="762">
        <f>+'PROYECCIONES CON PLAN DESEMPE.'!F63*'INDICADORES CON PLAN'!H18</f>
        <v>0</v>
      </c>
      <c r="I11" s="762">
        <f>+'PROYECCIONES CON PLAN DESEMPE.'!G63*'INDICADORES CON PLAN'!I18</f>
        <v>0</v>
      </c>
    </row>
    <row r="12" spans="1:9" ht="15.75" thickBot="1">
      <c r="A12" s="8" t="s">
        <v>146</v>
      </c>
      <c r="B12" s="178" t="s">
        <v>143</v>
      </c>
      <c r="C12" s="761">
        <f>+'INGR. Y EGRE SEC CENT'!E72</f>
        <v>0</v>
      </c>
      <c r="D12" s="677">
        <f t="shared" si="1"/>
        <v>0</v>
      </c>
      <c r="E12" s="761">
        <f>+'PROYECCIONES CON PLAN DESEMPE.'!C72*E18</f>
        <v>0</v>
      </c>
      <c r="F12" s="762">
        <f>+'PROYECCIONES CON PLAN DESEMPE.'!D72*F18</f>
        <v>0</v>
      </c>
      <c r="G12" s="762">
        <f>+'PROYECCIONES CON PLAN DESEMPE.'!E72*G18</f>
        <v>0</v>
      </c>
      <c r="H12" s="762">
        <f>+'PROYECCIONES CON PLAN DESEMPE.'!F72*H18</f>
        <v>0</v>
      </c>
      <c r="I12" s="762">
        <f>+'PROYECCIONES CON PLAN DESEMPE.'!G72*I18</f>
        <v>0</v>
      </c>
    </row>
    <row r="13" spans="1:9" ht="15.75" thickBot="1">
      <c r="A13" s="256">
        <v>2</v>
      </c>
      <c r="B13" s="257" t="s">
        <v>393</v>
      </c>
      <c r="C13" s="763">
        <f aca="true" t="shared" si="2" ref="C13:I13">SUM(C14:C16)</f>
        <v>1490079320</v>
      </c>
      <c r="D13" s="763">
        <f t="shared" si="2"/>
        <v>1728492011.1999998</v>
      </c>
      <c r="E13" s="763">
        <f t="shared" si="2"/>
        <v>1042726773.1199999</v>
      </c>
      <c r="F13" s="763">
        <f t="shared" si="2"/>
        <v>1086934724.96</v>
      </c>
      <c r="G13" s="763">
        <f t="shared" si="2"/>
        <v>1067525176.3000001</v>
      </c>
      <c r="H13" s="763">
        <f t="shared" si="2"/>
        <v>1062707011.3000001</v>
      </c>
      <c r="I13" s="763">
        <f t="shared" si="2"/>
        <v>1104781194</v>
      </c>
    </row>
    <row r="14" spans="1:9" ht="15">
      <c r="A14" s="8" t="s">
        <v>163</v>
      </c>
      <c r="B14" s="178" t="s">
        <v>164</v>
      </c>
      <c r="C14" s="761">
        <f>+'INGR. Y EGRE SEC CENT'!E91</f>
        <v>1234539877</v>
      </c>
      <c r="D14" s="677">
        <f>+C14*$D$18</f>
        <v>1432066257.32</v>
      </c>
      <c r="E14" s="761">
        <f>+'PROYECCIONES CON PLAN DESEMPE.'!C91*'INDICADORES CON PLAN'!E18</f>
        <v>576968071.02</v>
      </c>
      <c r="F14" s="762">
        <f>+'PROYECCIONES CON PLAN DESEMPE.'!D91*'INDICADORES CON PLAN'!F18</f>
        <v>738963705.7600001</v>
      </c>
      <c r="G14" s="762">
        <f>+'PROYECCIONES CON PLAN DESEMPE.'!E91*'INDICADORES CON PLAN'!G18</f>
        <v>725767925.3000001</v>
      </c>
      <c r="H14" s="762">
        <f>+'PROYECCIONES CON PLAN DESEMPE.'!F91*'INDICADORES CON PLAN'!H18</f>
        <v>765983533.7</v>
      </c>
      <c r="I14" s="762">
        <f>+'PROYECCIONES CON PLAN DESEMPE.'!G91*'INDICADORES CON PLAN'!I18</f>
        <v>797772716.4000001</v>
      </c>
    </row>
    <row r="15" spans="1:9" ht="15">
      <c r="A15" s="8" t="s">
        <v>203</v>
      </c>
      <c r="B15" s="178" t="s">
        <v>204</v>
      </c>
      <c r="C15" s="761">
        <f>+'INGR. Y EGRE SEC CENT'!E114</f>
        <v>251325822</v>
      </c>
      <c r="D15" s="677">
        <f>+C15*$D$18</f>
        <v>291537953.52</v>
      </c>
      <c r="E15" s="761">
        <f>+'PROYECCIONES CON PLAN DESEMPE.'!C114*'INDICADORES CON PLAN'!E18</f>
        <v>152440362.23999998</v>
      </c>
      <c r="F15" s="762">
        <f>+'PROYECCIONES CON PLAN DESEMPE.'!D114*'INDICADORES CON PLAN'!F18</f>
        <v>104720000.00000001</v>
      </c>
      <c r="G15" s="762">
        <f>+'PROYECCIONES CON PLAN DESEMPE.'!E114*'INDICADORES CON PLAN'!G18</f>
        <v>102850000.00000001</v>
      </c>
      <c r="H15" s="762">
        <f>+'PROYECCIONES CON PLAN DESEMPE.'!F114*'INDICADORES CON PLAN'!H18</f>
        <v>102850000.00000001</v>
      </c>
      <c r="I15" s="762">
        <f>+'PROYECCIONES CON PLAN DESEMPE.'!G114*'INDICADORES CON PLAN'!I18</f>
        <v>113135000.00000001</v>
      </c>
    </row>
    <row r="16" spans="1:9" ht="15.75" thickBot="1">
      <c r="A16" s="8" t="s">
        <v>211</v>
      </c>
      <c r="B16" s="178" t="s">
        <v>394</v>
      </c>
      <c r="C16" s="761">
        <f>+'INGR. Y EGRE SEC CENT'!E118</f>
        <v>4213621</v>
      </c>
      <c r="D16" s="677">
        <f>+C16*$D$18</f>
        <v>4887800.359999999</v>
      </c>
      <c r="E16" s="761">
        <f>+'PROYECCIONES CON PLAN DESEMPE.'!C118*'INDICADORES CON PLAN'!E18</f>
        <v>313318339.85999995</v>
      </c>
      <c r="F16" s="762">
        <f>+'PROYECCIONES CON PLAN DESEMPE.'!D118*'INDICADORES CON PLAN'!F18</f>
        <v>243251019.20000002</v>
      </c>
      <c r="G16" s="762">
        <f>+'PROYECCIONES CON PLAN DESEMPE.'!E118*'INDICADORES CON PLAN'!G18</f>
        <v>238907251.00000003</v>
      </c>
      <c r="H16" s="762">
        <f>+'PROYECCIONES CON PLAN DESEMPE.'!F118*'INDICADORES CON PLAN'!H18</f>
        <v>193873477.60000002</v>
      </c>
      <c r="I16" s="762">
        <f>+'PROYECCIONES CON PLAN DESEMPE.'!G118*'INDICADORES CON PLAN'!I18</f>
        <v>193873477.60000002</v>
      </c>
    </row>
    <row r="17" spans="1:9" ht="15.75" thickBot="1">
      <c r="A17" s="259" t="s">
        <v>395</v>
      </c>
      <c r="B17" s="260" t="s">
        <v>396</v>
      </c>
      <c r="C17" s="765">
        <f aca="true" t="shared" si="3" ref="C17:I17">+(C6-C13)</f>
        <v>2508628067</v>
      </c>
      <c r="D17" s="763">
        <f t="shared" si="3"/>
        <v>2910008557.7199993</v>
      </c>
      <c r="E17" s="763">
        <f t="shared" si="3"/>
        <v>1263462957.6</v>
      </c>
      <c r="F17" s="763">
        <f t="shared" si="3"/>
        <v>1236724795.04</v>
      </c>
      <c r="G17" s="763">
        <f t="shared" si="3"/>
        <v>1435168898.9</v>
      </c>
      <c r="H17" s="763">
        <f t="shared" si="3"/>
        <v>1704852743</v>
      </c>
      <c r="I17" s="763">
        <f t="shared" si="3"/>
        <v>1985186171.1</v>
      </c>
    </row>
    <row r="18" spans="1:9" ht="15.75" thickBot="1">
      <c r="A18" s="256"/>
      <c r="B18" s="261" t="s">
        <v>397</v>
      </c>
      <c r="C18" s="781"/>
      <c r="D18" s="782">
        <v>1.16</v>
      </c>
      <c r="E18" s="782">
        <v>1.14</v>
      </c>
      <c r="F18" s="782">
        <v>1.12</v>
      </c>
      <c r="G18" s="782">
        <v>1.1</v>
      </c>
      <c r="H18" s="782">
        <v>1.1</v>
      </c>
      <c r="I18" s="782">
        <v>1.1</v>
      </c>
    </row>
    <row r="19" spans="1:9" ht="15.75" thickBot="1">
      <c r="A19" s="262"/>
      <c r="B19" s="178"/>
      <c r="C19" s="263"/>
      <c r="D19" s="263"/>
      <c r="E19" s="263"/>
      <c r="F19" s="263"/>
      <c r="G19" s="263"/>
      <c r="H19" s="263"/>
      <c r="I19" s="263"/>
    </row>
    <row r="20" spans="1:9" ht="15.75" thickBot="1">
      <c r="A20" s="264"/>
      <c r="B20" s="265" t="s">
        <v>426</v>
      </c>
      <c r="C20" s="266"/>
      <c r="D20" s="267"/>
      <c r="E20" s="267"/>
      <c r="F20" s="267"/>
      <c r="G20" s="267"/>
      <c r="H20" s="267"/>
      <c r="I20" s="267"/>
    </row>
    <row r="21" spans="1:9" ht="15">
      <c r="A21" s="268">
        <v>3.1</v>
      </c>
      <c r="B21" s="269" t="s">
        <v>399</v>
      </c>
      <c r="C21" s="270"/>
      <c r="D21" s="766">
        <v>0</v>
      </c>
      <c r="E21" s="767">
        <v>0</v>
      </c>
      <c r="F21" s="767"/>
      <c r="G21" s="767"/>
      <c r="H21" s="767"/>
      <c r="I21" s="767"/>
    </row>
    <row r="22" spans="1:9" ht="15.75">
      <c r="A22" s="268">
        <v>3.2</v>
      </c>
      <c r="B22" s="272" t="s">
        <v>400</v>
      </c>
      <c r="C22" s="273"/>
      <c r="D22" s="768">
        <v>0</v>
      </c>
      <c r="E22" s="768">
        <v>0</v>
      </c>
      <c r="F22" s="768">
        <v>0</v>
      </c>
      <c r="G22" s="768"/>
      <c r="H22" s="768"/>
      <c r="I22" s="768"/>
    </row>
    <row r="23" spans="1:9" s="277" customFormat="1" ht="15">
      <c r="A23" s="274">
        <v>3.3</v>
      </c>
      <c r="B23" s="275" t="s">
        <v>401</v>
      </c>
      <c r="C23" s="276"/>
      <c r="D23" s="769">
        <f>SUM(D24:D25)</f>
        <v>0</v>
      </c>
      <c r="E23" s="769">
        <f>SUM(E24:E25)</f>
        <v>0</v>
      </c>
      <c r="F23" s="769"/>
      <c r="G23" s="769">
        <f>SUM(G24:G25)</f>
        <v>0</v>
      </c>
      <c r="H23" s="769">
        <f>SUM(H24:H25)</f>
        <v>0</v>
      </c>
      <c r="I23" s="769">
        <f>SUM(I24:I25)</f>
        <v>0</v>
      </c>
    </row>
    <row r="24" spans="1:9" s="277" customFormat="1" ht="15.75">
      <c r="A24" s="268" t="s">
        <v>402</v>
      </c>
      <c r="B24" s="272" t="s">
        <v>403</v>
      </c>
      <c r="C24" s="278"/>
      <c r="D24" s="770">
        <v>0</v>
      </c>
      <c r="E24" s="770">
        <v>0</v>
      </c>
      <c r="F24" s="770"/>
      <c r="G24" s="770"/>
      <c r="H24" s="770"/>
      <c r="I24" s="770"/>
    </row>
    <row r="25" spans="1:9" s="277" customFormat="1" ht="16.5" thickBot="1">
      <c r="A25" s="268" t="s">
        <v>404</v>
      </c>
      <c r="B25" s="272" t="s">
        <v>405</v>
      </c>
      <c r="C25" s="278"/>
      <c r="D25" s="770">
        <v>0</v>
      </c>
      <c r="E25" s="770">
        <v>0</v>
      </c>
      <c r="F25" s="770"/>
      <c r="G25" s="770"/>
      <c r="H25" s="770"/>
      <c r="I25" s="770"/>
    </row>
    <row r="26" spans="1:9" s="281" customFormat="1" ht="16.5" thickBot="1">
      <c r="A26" s="279">
        <v>3</v>
      </c>
      <c r="B26" s="279" t="s">
        <v>406</v>
      </c>
      <c r="C26" s="280"/>
      <c r="D26" s="771">
        <f aca="true" t="shared" si="4" ref="D26:I26">+D21+D22-D23</f>
        <v>0</v>
      </c>
      <c r="E26" s="771">
        <f t="shared" si="4"/>
        <v>0</v>
      </c>
      <c r="F26" s="771">
        <f t="shared" si="4"/>
        <v>0</v>
      </c>
      <c r="G26" s="771">
        <f t="shared" si="4"/>
        <v>0</v>
      </c>
      <c r="H26" s="771">
        <f t="shared" si="4"/>
        <v>0</v>
      </c>
      <c r="I26" s="771">
        <f t="shared" si="4"/>
        <v>0</v>
      </c>
    </row>
    <row r="27" ht="15.75" thickBot="1"/>
    <row r="28" spans="1:9" s="277" customFormat="1" ht="15.75">
      <c r="A28" s="282">
        <v>4.1</v>
      </c>
      <c r="B28" s="269" t="s">
        <v>407</v>
      </c>
      <c r="C28" s="283"/>
      <c r="D28" s="284">
        <v>0</v>
      </c>
      <c r="E28" s="284">
        <v>0</v>
      </c>
      <c r="F28" s="284"/>
      <c r="G28" s="284"/>
      <c r="H28" s="284"/>
      <c r="I28" s="284"/>
    </row>
    <row r="29" spans="1:9" s="277" customFormat="1" ht="16.5" thickBot="1">
      <c r="A29" s="285">
        <v>4.2</v>
      </c>
      <c r="B29" s="286" t="s">
        <v>408</v>
      </c>
      <c r="C29" s="287"/>
      <c r="D29" s="288">
        <v>0</v>
      </c>
      <c r="E29" s="288">
        <v>0</v>
      </c>
      <c r="F29" s="288"/>
      <c r="G29" s="288"/>
      <c r="H29" s="288"/>
      <c r="I29" s="288"/>
    </row>
    <row r="30" spans="1:9" s="277" customFormat="1" ht="15.75" thickBot="1">
      <c r="A30" s="289">
        <v>4</v>
      </c>
      <c r="B30" s="290" t="s">
        <v>409</v>
      </c>
      <c r="C30" s="291"/>
      <c r="D30" s="292">
        <f aca="true" t="shared" si="5" ref="D30:I30">SUM(D28:D29)</f>
        <v>0</v>
      </c>
      <c r="E30" s="292">
        <f t="shared" si="5"/>
        <v>0</v>
      </c>
      <c r="F30" s="292"/>
      <c r="G30" s="292">
        <f t="shared" si="5"/>
        <v>0</v>
      </c>
      <c r="H30" s="292">
        <f t="shared" si="5"/>
        <v>0</v>
      </c>
      <c r="I30" s="292">
        <f t="shared" si="5"/>
        <v>0</v>
      </c>
    </row>
    <row r="31" spans="1:9" ht="15.75" thickBot="1">
      <c r="A31" s="268"/>
      <c r="B31" s="1"/>
      <c r="D31" s="91"/>
      <c r="E31" s="91"/>
      <c r="F31" s="91"/>
      <c r="G31" s="91"/>
      <c r="H31" s="91"/>
      <c r="I31" s="91"/>
    </row>
    <row r="32" spans="1:9" ht="15.75" thickBot="1">
      <c r="A32" s="264"/>
      <c r="B32" s="265" t="s">
        <v>410</v>
      </c>
      <c r="C32" s="266"/>
      <c r="D32" s="293"/>
      <c r="E32" s="293"/>
      <c r="F32" s="293"/>
      <c r="G32" s="293"/>
      <c r="H32" s="293"/>
      <c r="I32" s="293"/>
    </row>
    <row r="33" spans="1:9" ht="15">
      <c r="A33" s="294">
        <v>5.1</v>
      </c>
      <c r="B33" s="295" t="s">
        <v>411</v>
      </c>
      <c r="C33" s="565"/>
      <c r="D33" s="335">
        <v>0</v>
      </c>
      <c r="E33" s="271">
        <v>0</v>
      </c>
      <c r="F33" s="271"/>
      <c r="G33" s="271"/>
      <c r="H33" s="271"/>
      <c r="I33" s="271"/>
    </row>
    <row r="34" spans="1:9" ht="15">
      <c r="A34" s="296">
        <v>5.2</v>
      </c>
      <c r="B34" s="262" t="s">
        <v>412</v>
      </c>
      <c r="C34" s="12"/>
      <c r="D34" s="566">
        <v>0</v>
      </c>
      <c r="E34" s="566">
        <v>0</v>
      </c>
      <c r="F34" s="566">
        <v>0</v>
      </c>
      <c r="G34" s="566"/>
      <c r="H34" s="566"/>
      <c r="I34" s="566"/>
    </row>
    <row r="35" spans="1:9" ht="15.75" thickBot="1">
      <c r="A35" s="297">
        <v>5.3</v>
      </c>
      <c r="B35" s="298" t="s">
        <v>413</v>
      </c>
      <c r="C35" s="299"/>
      <c r="D35" s="567">
        <v>0</v>
      </c>
      <c r="E35" s="567">
        <v>0</v>
      </c>
      <c r="F35" s="829"/>
      <c r="G35" s="567"/>
      <c r="H35" s="567"/>
      <c r="I35" s="567"/>
    </row>
    <row r="36" spans="1:9" ht="15.75" thickBot="1">
      <c r="A36" s="300"/>
      <c r="B36" s="262"/>
      <c r="C36" s="178"/>
      <c r="D36" s="263"/>
      <c r="E36" s="263"/>
      <c r="F36" s="263"/>
      <c r="G36" s="263"/>
      <c r="H36" s="263"/>
      <c r="I36" s="263"/>
    </row>
    <row r="37" spans="1:3" ht="16.5" thickBot="1">
      <c r="A37" s="268"/>
      <c r="B37" s="40" t="s">
        <v>414</v>
      </c>
      <c r="C37" s="87"/>
    </row>
    <row r="38" spans="1:9" ht="16.5" thickBot="1">
      <c r="A38" s="301">
        <v>5</v>
      </c>
      <c r="B38" s="302" t="s">
        <v>415</v>
      </c>
      <c r="C38" s="303"/>
      <c r="D38" s="258">
        <f aca="true" t="shared" si="6" ref="D38:I38">+D21+D22-D23+D33-D34</f>
        <v>0</v>
      </c>
      <c r="E38" s="258">
        <f t="shared" si="6"/>
        <v>0</v>
      </c>
      <c r="F38" s="258">
        <f t="shared" si="6"/>
        <v>0</v>
      </c>
      <c r="G38" s="258">
        <f t="shared" si="6"/>
        <v>0</v>
      </c>
      <c r="H38" s="258">
        <f t="shared" si="6"/>
        <v>0</v>
      </c>
      <c r="I38" s="258">
        <f t="shared" si="6"/>
        <v>0</v>
      </c>
    </row>
    <row r="39" spans="1:9" ht="16.5" thickBot="1">
      <c r="A39" s="301">
        <v>6</v>
      </c>
      <c r="B39" s="302" t="s">
        <v>416</v>
      </c>
      <c r="C39" s="303"/>
      <c r="D39" s="258">
        <f aca="true" t="shared" si="7" ref="D39:I39">+D30+D35</f>
        <v>0</v>
      </c>
      <c r="E39" s="258">
        <f t="shared" si="7"/>
        <v>0</v>
      </c>
      <c r="F39" s="258">
        <f t="shared" si="7"/>
        <v>0</v>
      </c>
      <c r="G39" s="258">
        <f t="shared" si="7"/>
        <v>0</v>
      </c>
      <c r="H39" s="258">
        <f t="shared" si="7"/>
        <v>0</v>
      </c>
      <c r="I39" s="258">
        <f t="shared" si="7"/>
        <v>0</v>
      </c>
    </row>
    <row r="40" spans="1:9" ht="16.5" thickBot="1">
      <c r="A40" s="301">
        <v>7</v>
      </c>
      <c r="B40" s="304" t="s">
        <v>417</v>
      </c>
      <c r="C40" s="303"/>
      <c r="D40" s="305">
        <f aca="true" t="shared" si="8" ref="D40:I40">IF(D17&gt;0,D39/D17,0)</f>
        <v>0</v>
      </c>
      <c r="E40" s="305">
        <f t="shared" si="8"/>
        <v>0</v>
      </c>
      <c r="F40" s="305">
        <f t="shared" si="8"/>
        <v>0</v>
      </c>
      <c r="G40" s="305">
        <f t="shared" si="8"/>
        <v>0</v>
      </c>
      <c r="H40" s="305">
        <f t="shared" si="8"/>
        <v>0</v>
      </c>
      <c r="I40" s="305">
        <f t="shared" si="8"/>
        <v>0</v>
      </c>
    </row>
    <row r="41" spans="1:9" ht="16.5" thickBot="1">
      <c r="A41" s="301">
        <v>8</v>
      </c>
      <c r="B41" s="306" t="s">
        <v>418</v>
      </c>
      <c r="C41" s="307"/>
      <c r="D41" s="308">
        <f aca="true" t="shared" si="9" ref="D41:I41">IF(D6&gt;0,D38/D6,0)</f>
        <v>0</v>
      </c>
      <c r="E41" s="308">
        <f t="shared" si="9"/>
        <v>0</v>
      </c>
      <c r="F41" s="308">
        <f t="shared" si="9"/>
        <v>0</v>
      </c>
      <c r="G41" s="308">
        <f t="shared" si="9"/>
        <v>0</v>
      </c>
      <c r="H41" s="308">
        <f t="shared" si="9"/>
        <v>0</v>
      </c>
      <c r="I41" s="308">
        <f t="shared" si="9"/>
        <v>0</v>
      </c>
    </row>
    <row r="42" ht="9" customHeight="1" thickBot="1"/>
    <row r="43" spans="1:9" ht="22.5" customHeight="1" thickBot="1">
      <c r="A43" s="262"/>
      <c r="B43" s="828" t="s">
        <v>419</v>
      </c>
      <c r="C43" s="309" t="s">
        <v>420</v>
      </c>
      <c r="D43" s="310" t="str">
        <f aca="true" t="shared" si="10" ref="D43:I43">IF(D40=0,"FALTAN  DATOS",IF(D41&gt;0.8,"ROJO",IF(D40&gt;0.6,"ROJO",IF(D40&lt;=0.4,"VERDE","AMARILLO"))))</f>
        <v>FALTAN  DATOS</v>
      </c>
      <c r="E43" s="310" t="str">
        <f t="shared" si="10"/>
        <v>FALTAN  DATOS</v>
      </c>
      <c r="F43" s="310" t="str">
        <f t="shared" si="10"/>
        <v>FALTAN  DATOS</v>
      </c>
      <c r="G43" s="310" t="str">
        <f t="shared" si="10"/>
        <v>FALTAN  DATOS</v>
      </c>
      <c r="H43" s="310" t="str">
        <f t="shared" si="10"/>
        <v>FALTAN  DATOS</v>
      </c>
      <c r="I43" s="310" t="str">
        <f t="shared" si="10"/>
        <v>FALTAN  DATOS</v>
      </c>
    </row>
    <row r="44" spans="1:9" ht="34.5" customHeight="1" thickBot="1">
      <c r="A44" s="311"/>
      <c r="B44" s="326"/>
      <c r="C44" s="312" t="s">
        <v>421</v>
      </c>
      <c r="D44" s="827" t="str">
        <f aca="true" t="shared" si="11" ref="D44:I44">IF(D43="VERDE","NO REQUIERE AUTORIZACION PARA ENDEUDARSE",".-.-.-.")</f>
        <v>.-.-.-.</v>
      </c>
      <c r="E44" s="313" t="str">
        <f t="shared" si="11"/>
        <v>.-.-.-.</v>
      </c>
      <c r="F44" s="313" t="str">
        <f t="shared" si="11"/>
        <v>.-.-.-.</v>
      </c>
      <c r="G44" s="313" t="str">
        <f t="shared" si="11"/>
        <v>.-.-.-.</v>
      </c>
      <c r="H44" s="313" t="str">
        <f t="shared" si="11"/>
        <v>.-.-.-.</v>
      </c>
      <c r="I44" s="313" t="str">
        <f t="shared" si="11"/>
        <v>.-.-.-.</v>
      </c>
    </row>
    <row r="45" spans="1:9" ht="24" customHeight="1" thickBot="1">
      <c r="A45" s="311"/>
      <c r="B45" s="326"/>
      <c r="C45" s="312" t="s">
        <v>422</v>
      </c>
      <c r="D45" s="313" t="str">
        <f aca="true" t="shared" si="12" ref="D45:I45">IF(D33=0,".-.-.-.",IF(D21=0,".-.-.-.",IF(D43="FALTAN  DATOS",".-.-.-.",IF(D43="VERDE",".-.-.-.",IF(D43="ROJO",".-.-.-.",IF(((D21+D33)/D21)&lt;=D18,"NO REQUIERE AUTORIZACION PARA ENDEUDARSE","SI REQUIERE AUTORIZACION PARA ENDEUDARSE"))))))</f>
        <v>.-.-.-.</v>
      </c>
      <c r="E45" s="313" t="str">
        <f t="shared" si="12"/>
        <v>.-.-.-.</v>
      </c>
      <c r="F45" s="313" t="str">
        <f t="shared" si="12"/>
        <v>.-.-.-.</v>
      </c>
      <c r="G45" s="313" t="str">
        <f t="shared" si="12"/>
        <v>.-.-.-.</v>
      </c>
      <c r="H45" s="313" t="str">
        <f t="shared" si="12"/>
        <v>.-.-.-.</v>
      </c>
      <c r="I45" s="313" t="str">
        <f t="shared" si="12"/>
        <v>.-.-.-.</v>
      </c>
    </row>
    <row r="46" spans="1:9" ht="31.5" customHeight="1" thickBot="1">
      <c r="A46" s="311"/>
      <c r="B46" s="314"/>
      <c r="C46" s="315" t="s">
        <v>423</v>
      </c>
      <c r="D46" s="313" t="str">
        <f>IF(D33=0,".-.-.-.",IF(D43="FALTAN  DATOS",".-.-.-.",IF(D43="VERDE",".-.-.-.",IF(D43="AMARILLO",".-.-.-.",IF(D26+D33&lt;=(D26*(((D18-1)*0.4)+1)),"N.R.AUT.","SI REQUIERE AUTORIZACION.")))))</f>
        <v>.-.-.-.</v>
      </c>
      <c r="E46" s="328" t="str">
        <f>IF(E33=0,".-.-.-.",IF(E43="FALTAN  DATOS",".-.-.-.",IF(E43="VERDE",".-.-.-.",IF(E43="AMARILLO",".-.-.-.",IF($B$44="CONVENIO DE DESEMPEÑO VIGENTE","SI REQUIERE AUTORIZACION.",IF(E26+E33&lt;=(E26*(((E18-1)*0.4)+1)),"N.R.AUT.","SI REQUIERE AUTORIZACION."))))))</f>
        <v>.-.-.-.</v>
      </c>
      <c r="F46" s="328" t="str">
        <f>IF(F33=0,".-.-.-.",IF(F43="FALTAN  DATOS",".-.-.-.",IF(F43="VERDE",".-.-.-.",IF(F43="AMARILLO",".-.-.-.",IF($B$44="CONVENIO DE DESEMPEÑO VIGENTE","SI REQUIERE AUTORIZACION.","SI REQUIERE AUTORIZACION.")))))</f>
        <v>.-.-.-.</v>
      </c>
      <c r="G46" s="328" t="str">
        <f>IF(G33=0,".-.-.-.",IF(G43="FALTAN  DATOS",".-.-.-.",IF(G43="VERDE",".-.-.-.",IF(G43="AMARILLO",".-.-.-.",IF($B$44="CONVENIO DE DESEMPEÑO VIGENTE","SI REQUIERE AUTORIZACION.","SI REQUIERE AUTORIZACION.")))))</f>
        <v>.-.-.-.</v>
      </c>
      <c r="H46" s="328" t="str">
        <f>IF(H33=0,".-.-.-.",IF(H43="FALTAN  DATOS",".-.-.-.",IF(H43="VERDE",".-.-.-.",IF(H43="AMARILLO",".-.-.-.",IF($B$44="CONVENIO DE DESEMPEÑO VIGENTE","SI REQUIERE AUTORIZACION.","SI REQUIERE AUTORIZACION.")))))</f>
        <v>.-.-.-.</v>
      </c>
      <c r="I46" s="328" t="str">
        <f>IF(I33=0,".-.-.-.",IF(I43="FALTAN  DATOS",".-.-.-.",IF(I43="VERDE",".-.-.-.",IF(I43="AMARILLO",".-.-.-.",IF($B$44="CONVENIO DE DESEMPEÑO VIGENTE","SI REQUIERE AUTORIZACION.","SI REQUIERE AUTORIZACION.")))))</f>
        <v>.-.-.-.</v>
      </c>
    </row>
    <row r="47" spans="1:3" ht="15.75">
      <c r="A47" s="316"/>
      <c r="B47" s="178"/>
      <c r="C47" s="32"/>
    </row>
    <row r="48" spans="1:3" ht="15.75">
      <c r="A48" s="317"/>
      <c r="B48" s="32"/>
      <c r="C48" s="178"/>
    </row>
    <row r="49" spans="1:9" ht="15.75">
      <c r="A49" s="317"/>
      <c r="B49" s="32"/>
      <c r="C49" s="318"/>
      <c r="D49" s="263"/>
      <c r="E49" s="263"/>
      <c r="F49" s="263"/>
      <c r="G49" s="263"/>
      <c r="H49" s="263"/>
      <c r="I49" s="263"/>
    </row>
    <row r="50" spans="1:9" ht="15">
      <c r="A50" s="319"/>
      <c r="B50" s="178"/>
      <c r="C50" s="263"/>
      <c r="D50" s="320"/>
      <c r="E50" s="320"/>
      <c r="F50" s="320"/>
      <c r="G50" s="320"/>
      <c r="H50" s="320"/>
      <c r="I50" s="320"/>
    </row>
    <row r="51" spans="1:9" ht="15">
      <c r="A51" s="319"/>
      <c r="B51" s="178"/>
      <c r="C51" s="178"/>
      <c r="D51" s="320"/>
      <c r="E51" s="320"/>
      <c r="F51" s="320"/>
      <c r="G51" s="320"/>
      <c r="H51" s="320"/>
      <c r="I51" s="320"/>
    </row>
    <row r="52" spans="1:9" ht="15">
      <c r="A52" s="319"/>
      <c r="B52" s="178"/>
      <c r="C52" s="178"/>
      <c r="D52" s="320"/>
      <c r="E52" s="320"/>
      <c r="F52" s="320"/>
      <c r="G52" s="320"/>
      <c r="H52" s="320"/>
      <c r="I52" s="320"/>
    </row>
    <row r="53" spans="1:9" ht="15">
      <c r="A53" s="319"/>
      <c r="B53" s="321"/>
      <c r="C53" s="321"/>
      <c r="D53" s="322"/>
      <c r="E53" s="322"/>
      <c r="F53" s="322"/>
      <c r="G53" s="322"/>
      <c r="H53" s="322"/>
      <c r="I53" s="322"/>
    </row>
    <row r="54" spans="1:9" ht="15">
      <c r="A54" s="319"/>
      <c r="B54" s="178"/>
      <c r="C54" s="178"/>
      <c r="D54" s="322"/>
      <c r="E54" s="322"/>
      <c r="F54" s="322"/>
      <c r="G54" s="322"/>
      <c r="H54" s="322"/>
      <c r="I54" s="322"/>
    </row>
    <row r="55" spans="1:9" ht="15">
      <c r="A55" s="319"/>
      <c r="B55" s="178"/>
      <c r="C55" s="178"/>
      <c r="D55" s="263"/>
      <c r="E55" s="263"/>
      <c r="F55" s="263"/>
      <c r="G55" s="263"/>
      <c r="H55" s="263"/>
      <c r="I55" s="263"/>
    </row>
    <row r="56" spans="1:9" ht="15">
      <c r="A56" s="319"/>
      <c r="B56" s="321"/>
      <c r="C56" s="321"/>
      <c r="D56" s="322"/>
      <c r="E56" s="322"/>
      <c r="F56" s="322"/>
      <c r="G56" s="322"/>
      <c r="H56" s="322"/>
      <c r="I56" s="322"/>
    </row>
    <row r="57" spans="1:9" ht="15">
      <c r="A57" s="319"/>
      <c r="B57" s="321"/>
      <c r="C57" s="321"/>
      <c r="D57" s="322"/>
      <c r="E57" s="322"/>
      <c r="F57" s="322"/>
      <c r="G57" s="322"/>
      <c r="H57" s="322"/>
      <c r="I57" s="322"/>
    </row>
    <row r="58" spans="1:9" ht="15">
      <c r="A58" s="319"/>
      <c r="B58" s="321"/>
      <c r="C58" s="321"/>
      <c r="D58" s="322"/>
      <c r="E58" s="322"/>
      <c r="F58" s="322"/>
      <c r="G58" s="322"/>
      <c r="H58" s="322"/>
      <c r="I58" s="322"/>
    </row>
    <row r="59" spans="1:9" ht="15">
      <c r="A59" s="319"/>
      <c r="B59" s="321"/>
      <c r="C59" s="321"/>
      <c r="D59" s="322"/>
      <c r="E59" s="322"/>
      <c r="F59" s="322"/>
      <c r="G59" s="322"/>
      <c r="H59" s="322"/>
      <c r="I59" s="322"/>
    </row>
    <row r="60" spans="1:9" ht="15">
      <c r="A60" s="319"/>
      <c r="B60" s="323"/>
      <c r="C60" s="323"/>
      <c r="D60" s="263"/>
      <c r="E60" s="263"/>
      <c r="F60" s="263"/>
      <c r="G60" s="263"/>
      <c r="H60" s="263"/>
      <c r="I60" s="263"/>
    </row>
    <row r="61" spans="1:9" ht="15">
      <c r="A61" s="262"/>
      <c r="B61" s="178"/>
      <c r="C61" s="178"/>
      <c r="D61" s="263"/>
      <c r="E61" s="263"/>
      <c r="F61" s="263"/>
      <c r="G61" s="263"/>
      <c r="H61" s="263"/>
      <c r="I61" s="263"/>
    </row>
    <row r="62" spans="1:9" ht="15">
      <c r="A62" s="262"/>
      <c r="B62" s="321"/>
      <c r="C62" s="321"/>
      <c r="D62" s="322"/>
      <c r="E62" s="322"/>
      <c r="F62" s="322"/>
      <c r="G62" s="322"/>
      <c r="H62" s="322"/>
      <c r="I62" s="322"/>
    </row>
    <row r="63" spans="1:9" ht="15">
      <c r="A63" s="262" t="s">
        <v>18</v>
      </c>
      <c r="B63" s="321"/>
      <c r="C63" s="321"/>
      <c r="D63" s="322"/>
      <c r="E63" s="322"/>
      <c r="F63" s="322"/>
      <c r="G63" s="322"/>
      <c r="H63" s="322"/>
      <c r="I63" s="322"/>
    </row>
    <row r="64" spans="1:9" ht="15">
      <c r="A64" s="262"/>
      <c r="B64" s="178"/>
      <c r="C64" s="178"/>
      <c r="D64" s="263"/>
      <c r="E64" s="263"/>
      <c r="F64" s="263"/>
      <c r="G64" s="263"/>
      <c r="H64" s="263"/>
      <c r="I64" s="263"/>
    </row>
    <row r="65" spans="1:9" ht="15">
      <c r="A65" s="178"/>
      <c r="B65" s="321"/>
      <c r="C65" s="321"/>
      <c r="D65" s="322"/>
      <c r="E65" s="322"/>
      <c r="F65" s="322"/>
      <c r="G65" s="322"/>
      <c r="H65" s="322"/>
      <c r="I65" s="322"/>
    </row>
    <row r="66" spans="1:9" ht="15">
      <c r="A66" s="178"/>
      <c r="B66" s="321"/>
      <c r="C66" s="321"/>
      <c r="D66" s="322"/>
      <c r="E66" s="322"/>
      <c r="F66" s="322"/>
      <c r="G66" s="322"/>
      <c r="H66" s="322"/>
      <c r="I66" s="322"/>
    </row>
    <row r="67" spans="1:9" ht="15">
      <c r="A67" s="178"/>
      <c r="B67" s="323"/>
      <c r="C67" s="323"/>
      <c r="D67" s="263"/>
      <c r="E67" s="263"/>
      <c r="F67" s="263"/>
      <c r="G67" s="263"/>
      <c r="H67" s="263"/>
      <c r="I67" s="263"/>
    </row>
    <row r="68" spans="1:9" ht="15">
      <c r="A68" s="178"/>
      <c r="B68" s="321"/>
      <c r="C68" s="321"/>
      <c r="D68" s="322"/>
      <c r="E68" s="322"/>
      <c r="F68" s="322"/>
      <c r="G68" s="322"/>
      <c r="H68" s="322"/>
      <c r="I68" s="322"/>
    </row>
    <row r="69" spans="1:9" ht="15">
      <c r="A69" s="178"/>
      <c r="B69" s="321"/>
      <c r="C69" s="321"/>
      <c r="D69" s="322"/>
      <c r="E69" s="322"/>
      <c r="F69" s="322"/>
      <c r="G69" s="322"/>
      <c r="H69" s="322"/>
      <c r="I69" s="322"/>
    </row>
    <row r="70" spans="1:9" ht="15">
      <c r="A70" s="178"/>
      <c r="B70" s="178"/>
      <c r="C70" s="178"/>
      <c r="D70" s="263"/>
      <c r="E70" s="263"/>
      <c r="F70" s="263"/>
      <c r="G70" s="263"/>
      <c r="H70" s="263"/>
      <c r="I70" s="263"/>
    </row>
    <row r="71" spans="1:9" ht="15">
      <c r="A71" s="178"/>
      <c r="B71" s="321"/>
      <c r="C71" s="321"/>
      <c r="D71" s="322"/>
      <c r="E71" s="322"/>
      <c r="F71" s="322"/>
      <c r="G71" s="322"/>
      <c r="H71" s="322"/>
      <c r="I71" s="32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scale="60" r:id="rId1"/>
  <headerFooter alignWithMargins="0">
    <oddFooter>&amp;R&amp;9Página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4"/>
  <sheetViews>
    <sheetView zoomScale="75" zoomScaleNormal="75" workbookViewId="0" topLeftCell="B49">
      <selection activeCell="D60" sqref="D60"/>
    </sheetView>
  </sheetViews>
  <sheetFormatPr defaultColWidth="11.5546875" defaultRowHeight="15"/>
  <cols>
    <col min="1" max="1" width="5.4453125" style="214" customWidth="1"/>
    <col min="2" max="2" width="45.4453125" style="190" customWidth="1"/>
    <col min="3" max="3" width="25.10546875" style="190" customWidth="1"/>
    <col min="4" max="16384" width="11.5546875" style="190" customWidth="1"/>
  </cols>
  <sheetData>
    <row r="1" spans="1:3" ht="15">
      <c r="A1" s="187"/>
      <c r="B1" s="188" t="s">
        <v>427</v>
      </c>
      <c r="C1" s="189"/>
    </row>
    <row r="2" spans="1:3" ht="15.75" thickBot="1">
      <c r="A2" s="187"/>
      <c r="B2" s="188" t="s">
        <v>428</v>
      </c>
      <c r="C2" s="189"/>
    </row>
    <row r="3" spans="1:3" ht="15.75" thickBot="1">
      <c r="A3" s="187"/>
      <c r="B3" s="191" t="s">
        <v>157</v>
      </c>
      <c r="C3" s="192" t="str">
        <f>+'INGR. Y EGRE SEC CENT'!C2</f>
        <v>ARIGUANI</v>
      </c>
    </row>
    <row r="4" spans="1:3" ht="15.75" thickBot="1">
      <c r="A4" s="187"/>
      <c r="B4" s="188" t="s">
        <v>429</v>
      </c>
      <c r="C4" s="189"/>
    </row>
    <row r="5" spans="1:3" ht="15.75" thickBot="1">
      <c r="A5" s="193"/>
      <c r="B5" s="194" t="s">
        <v>430</v>
      </c>
      <c r="C5" s="195" t="s">
        <v>431</v>
      </c>
    </row>
    <row r="6" spans="1:3" ht="20.25" customHeight="1" thickBot="1">
      <c r="A6" s="196">
        <v>1</v>
      </c>
      <c r="B6" s="197" t="s">
        <v>432</v>
      </c>
      <c r="C6" s="816">
        <v>799869000</v>
      </c>
    </row>
    <row r="7" spans="1:3" ht="13.5">
      <c r="A7" s="198">
        <v>1.1</v>
      </c>
      <c r="B7" s="199" t="s">
        <v>433</v>
      </c>
      <c r="C7" s="815">
        <v>2780000</v>
      </c>
    </row>
    <row r="8" spans="1:3" ht="13.5">
      <c r="A8" s="198">
        <v>1.2</v>
      </c>
      <c r="B8" s="199" t="s">
        <v>434</v>
      </c>
      <c r="C8" s="815">
        <v>238370000</v>
      </c>
    </row>
    <row r="9" spans="1:3" ht="15">
      <c r="A9" s="200">
        <v>1.3</v>
      </c>
      <c r="B9" s="201" t="s">
        <v>435</v>
      </c>
      <c r="C9" s="817"/>
    </row>
    <row r="10" spans="1:3" ht="13.5">
      <c r="A10" s="198">
        <v>1.4</v>
      </c>
      <c r="B10" s="199" t="s">
        <v>436</v>
      </c>
      <c r="C10" s="815">
        <v>453719000</v>
      </c>
    </row>
    <row r="11" spans="1:3" ht="13.5">
      <c r="A11" s="198" t="s">
        <v>437</v>
      </c>
      <c r="B11" s="199" t="s">
        <v>438</v>
      </c>
      <c r="C11" s="815">
        <v>0</v>
      </c>
    </row>
    <row r="12" spans="1:3" ht="13.5">
      <c r="A12" s="198" t="s">
        <v>439</v>
      </c>
      <c r="B12" s="199" t="s">
        <v>440</v>
      </c>
      <c r="C12" s="815">
        <v>453719000</v>
      </c>
    </row>
    <row r="13" spans="1:3" ht="13.5">
      <c r="A13" s="198" t="s">
        <v>441</v>
      </c>
      <c r="B13" s="199" t="s">
        <v>442</v>
      </c>
      <c r="C13" s="815">
        <v>0</v>
      </c>
    </row>
    <row r="14" spans="1:3" ht="14.25" thickBot="1">
      <c r="A14" s="198" t="s">
        <v>441</v>
      </c>
      <c r="B14" s="199" t="s">
        <v>443</v>
      </c>
      <c r="C14" s="815">
        <v>0</v>
      </c>
    </row>
    <row r="15" spans="1:3" ht="15.75" thickBot="1">
      <c r="A15" s="196">
        <v>2</v>
      </c>
      <c r="B15" s="197" t="s">
        <v>444</v>
      </c>
      <c r="C15" s="816">
        <v>3443185000</v>
      </c>
    </row>
    <row r="16" spans="1:3" ht="15">
      <c r="A16" s="202">
        <v>2.1</v>
      </c>
      <c r="B16" s="203" t="s">
        <v>445</v>
      </c>
      <c r="C16" s="818">
        <f>SUM(C17:C22)</f>
        <v>3443185000</v>
      </c>
    </row>
    <row r="17" spans="1:3" ht="13.5">
      <c r="A17" s="198" t="s">
        <v>446</v>
      </c>
      <c r="B17" s="199" t="s">
        <v>447</v>
      </c>
      <c r="C17" s="815">
        <v>151533000</v>
      </c>
    </row>
    <row r="18" spans="1:3" ht="13.5">
      <c r="A18" s="198" t="s">
        <v>448</v>
      </c>
      <c r="B18" s="199" t="s">
        <v>449</v>
      </c>
      <c r="C18" s="815">
        <v>1552380000</v>
      </c>
    </row>
    <row r="19" spans="1:3" ht="13.5">
      <c r="A19" s="198" t="s">
        <v>450</v>
      </c>
      <c r="B19" s="199" t="s">
        <v>451</v>
      </c>
      <c r="C19" s="815">
        <v>25022000</v>
      </c>
    </row>
    <row r="20" spans="1:3" ht="13.5">
      <c r="A20" s="198" t="s">
        <v>452</v>
      </c>
      <c r="B20" s="199" t="s">
        <v>453</v>
      </c>
      <c r="C20" s="815">
        <v>0</v>
      </c>
    </row>
    <row r="21" spans="1:3" ht="13.5">
      <c r="A21" s="198" t="s">
        <v>454</v>
      </c>
      <c r="B21" s="199" t="s">
        <v>455</v>
      </c>
      <c r="C21" s="815">
        <v>29399000</v>
      </c>
    </row>
    <row r="22" spans="1:3" ht="14.25" thickBot="1">
      <c r="A22" s="198" t="s">
        <v>456</v>
      </c>
      <c r="B22" s="199" t="s">
        <v>457</v>
      </c>
      <c r="C22" s="815">
        <v>1684851000</v>
      </c>
    </row>
    <row r="23" spans="1:3" ht="15.75" thickBot="1">
      <c r="A23" s="196">
        <v>3</v>
      </c>
      <c r="B23" s="197" t="s">
        <v>458</v>
      </c>
      <c r="C23" s="819"/>
    </row>
    <row r="24" spans="1:3" ht="13.5">
      <c r="A24" s="204">
        <v>3.1</v>
      </c>
      <c r="B24" s="205" t="s">
        <v>459</v>
      </c>
      <c r="C24" s="818">
        <v>946402000</v>
      </c>
    </row>
    <row r="25" spans="1:3" ht="13.5">
      <c r="A25" s="198" t="s">
        <v>460</v>
      </c>
      <c r="B25" s="199" t="s">
        <v>371</v>
      </c>
      <c r="C25" s="815">
        <v>52709000</v>
      </c>
    </row>
    <row r="26" spans="1:3" ht="13.5">
      <c r="A26" s="198" t="s">
        <v>461</v>
      </c>
      <c r="B26" s="199" t="s">
        <v>462</v>
      </c>
      <c r="C26" s="815">
        <v>893693000</v>
      </c>
    </row>
    <row r="27" spans="1:3" ht="13.5">
      <c r="A27" s="206">
        <v>3.2</v>
      </c>
      <c r="B27" s="207" t="s">
        <v>463</v>
      </c>
      <c r="C27" s="817">
        <v>0</v>
      </c>
    </row>
    <row r="28" spans="1:3" ht="13.5">
      <c r="A28" s="198" t="s">
        <v>464</v>
      </c>
      <c r="B28" s="199" t="s">
        <v>371</v>
      </c>
      <c r="C28" s="815">
        <v>0</v>
      </c>
    </row>
    <row r="29" spans="1:3" ht="13.5">
      <c r="A29" s="198" t="s">
        <v>465</v>
      </c>
      <c r="B29" s="199" t="s">
        <v>462</v>
      </c>
      <c r="C29" s="815">
        <v>0</v>
      </c>
    </row>
    <row r="30" spans="1:3" ht="15">
      <c r="A30" s="208">
        <v>3.3</v>
      </c>
      <c r="B30" s="209" t="s">
        <v>466</v>
      </c>
      <c r="C30" s="820">
        <v>0</v>
      </c>
    </row>
    <row r="31" spans="1:3" ht="13.5">
      <c r="A31" s="198" t="s">
        <v>467</v>
      </c>
      <c r="B31" s="199" t="s">
        <v>468</v>
      </c>
      <c r="C31" s="815"/>
    </row>
    <row r="32" spans="1:3" ht="13.5">
      <c r="A32" s="204" t="s">
        <v>469</v>
      </c>
      <c r="B32" s="205" t="s">
        <v>81</v>
      </c>
      <c r="C32" s="818">
        <v>0</v>
      </c>
    </row>
    <row r="33" spans="1:3" ht="13.5">
      <c r="A33" s="208">
        <v>3.4</v>
      </c>
      <c r="B33" s="209" t="s">
        <v>470</v>
      </c>
      <c r="C33" s="817">
        <v>47307000</v>
      </c>
    </row>
    <row r="34" spans="1:3" ht="15">
      <c r="A34" s="208" t="s">
        <v>471</v>
      </c>
      <c r="B34" s="201" t="s">
        <v>472</v>
      </c>
      <c r="C34" s="817">
        <v>41347000</v>
      </c>
    </row>
    <row r="35" spans="1:3" ht="13.5">
      <c r="A35" s="198" t="s">
        <v>473</v>
      </c>
      <c r="B35" s="199" t="s">
        <v>474</v>
      </c>
      <c r="C35" s="815">
        <v>0</v>
      </c>
    </row>
    <row r="36" spans="1:3" ht="13.5">
      <c r="A36" s="198" t="s">
        <v>475</v>
      </c>
      <c r="B36" s="199" t="s">
        <v>476</v>
      </c>
      <c r="C36" s="815">
        <v>0</v>
      </c>
    </row>
    <row r="37" spans="1:3" ht="13.5">
      <c r="A37" s="198" t="s">
        <v>477</v>
      </c>
      <c r="B37" s="199" t="s">
        <v>478</v>
      </c>
      <c r="C37" s="815">
        <v>0</v>
      </c>
    </row>
    <row r="38" spans="1:3" ht="15">
      <c r="A38" s="198" t="s">
        <v>479</v>
      </c>
      <c r="B38" s="199" t="s">
        <v>480</v>
      </c>
      <c r="C38" s="821">
        <v>0</v>
      </c>
    </row>
    <row r="39" spans="1:3" ht="13.5">
      <c r="A39" s="198" t="s">
        <v>481</v>
      </c>
      <c r="B39" s="199" t="s">
        <v>482</v>
      </c>
      <c r="C39" s="815">
        <v>5960000</v>
      </c>
    </row>
    <row r="40" spans="1:3" ht="15">
      <c r="A40" s="200" t="s">
        <v>483</v>
      </c>
      <c r="B40" s="201" t="s">
        <v>484</v>
      </c>
      <c r="C40" s="817">
        <v>41347000</v>
      </c>
    </row>
    <row r="41" spans="1:3" ht="13.5">
      <c r="A41" s="198" t="s">
        <v>485</v>
      </c>
      <c r="B41" s="199" t="s">
        <v>486</v>
      </c>
      <c r="C41" s="815">
        <v>0</v>
      </c>
    </row>
    <row r="42" spans="1:3" ht="13.5">
      <c r="A42" s="198" t="s">
        <v>487</v>
      </c>
      <c r="B42" s="199" t="s">
        <v>488</v>
      </c>
      <c r="C42" s="815">
        <v>0</v>
      </c>
    </row>
    <row r="43" spans="1:3" ht="13.5">
      <c r="A43" s="198" t="s">
        <v>489</v>
      </c>
      <c r="B43" s="199" t="s">
        <v>490</v>
      </c>
      <c r="C43" s="815">
        <v>0</v>
      </c>
    </row>
    <row r="44" spans="1:3" ht="13.5">
      <c r="A44" s="198" t="s">
        <v>491</v>
      </c>
      <c r="B44" s="199" t="s">
        <v>492</v>
      </c>
      <c r="C44" s="815">
        <v>0</v>
      </c>
    </row>
    <row r="45" spans="1:3" ht="13.5">
      <c r="A45" s="198" t="s">
        <v>493</v>
      </c>
      <c r="B45" s="199" t="s">
        <v>494</v>
      </c>
      <c r="C45" s="815">
        <v>0</v>
      </c>
    </row>
    <row r="46" spans="1:3" ht="13.5">
      <c r="A46" s="198" t="s">
        <v>495</v>
      </c>
      <c r="B46" s="199" t="s">
        <v>496</v>
      </c>
      <c r="C46" s="815">
        <v>0</v>
      </c>
    </row>
    <row r="47" spans="1:3" ht="13.5">
      <c r="A47" s="198" t="s">
        <v>497</v>
      </c>
      <c r="B47" s="199" t="s">
        <v>498</v>
      </c>
      <c r="C47" s="815">
        <v>0</v>
      </c>
    </row>
    <row r="48" spans="1:3" ht="13.5">
      <c r="A48" s="198" t="s">
        <v>499</v>
      </c>
      <c r="B48" s="199" t="s">
        <v>500</v>
      </c>
      <c r="C48" s="815">
        <v>0</v>
      </c>
    </row>
    <row r="49" spans="1:3" ht="13.5">
      <c r="A49" s="198" t="s">
        <v>501</v>
      </c>
      <c r="B49" s="199" t="s">
        <v>502</v>
      </c>
      <c r="C49" s="815">
        <v>0</v>
      </c>
    </row>
    <row r="50" spans="1:3" ht="13.5">
      <c r="A50" s="198" t="s">
        <v>503</v>
      </c>
      <c r="B50" s="199" t="s">
        <v>504</v>
      </c>
      <c r="C50" s="815">
        <v>0</v>
      </c>
    </row>
    <row r="51" spans="1:3" ht="13.5">
      <c r="A51" s="198" t="s">
        <v>505</v>
      </c>
      <c r="B51" s="199" t="s">
        <v>506</v>
      </c>
      <c r="C51" s="815">
        <v>0</v>
      </c>
    </row>
    <row r="52" spans="1:3" ht="13.5">
      <c r="A52" s="198" t="s">
        <v>507</v>
      </c>
      <c r="B52" s="199" t="s">
        <v>508</v>
      </c>
      <c r="C52" s="815">
        <v>0</v>
      </c>
    </row>
    <row r="53" spans="1:3" ht="13.5">
      <c r="A53" s="198" t="s">
        <v>509</v>
      </c>
      <c r="B53" s="199" t="s">
        <v>510</v>
      </c>
      <c r="C53" s="815">
        <v>0</v>
      </c>
    </row>
    <row r="54" spans="1:3" ht="13.5">
      <c r="A54" s="198" t="s">
        <v>511</v>
      </c>
      <c r="B54" s="199" t="s">
        <v>512</v>
      </c>
      <c r="C54" s="815">
        <v>41347000</v>
      </c>
    </row>
    <row r="55" spans="1:3" ht="15">
      <c r="A55" s="206">
        <v>3.5</v>
      </c>
      <c r="B55" s="207" t="s">
        <v>513</v>
      </c>
      <c r="C55" s="820">
        <v>9769000</v>
      </c>
    </row>
    <row r="56" spans="1:3" ht="13.5">
      <c r="A56" s="206">
        <v>3.6</v>
      </c>
      <c r="B56" s="207" t="s">
        <v>514</v>
      </c>
      <c r="C56" s="817">
        <v>158206000</v>
      </c>
    </row>
    <row r="57" spans="1:3" ht="15">
      <c r="A57" s="200" t="s">
        <v>515</v>
      </c>
      <c r="B57" s="201" t="s">
        <v>516</v>
      </c>
      <c r="C57" s="817">
        <v>158206000</v>
      </c>
    </row>
    <row r="58" spans="1:3" ht="13.5">
      <c r="A58" s="198" t="s">
        <v>517</v>
      </c>
      <c r="B58" s="199" t="s">
        <v>168</v>
      </c>
      <c r="C58" s="815">
        <v>158206000</v>
      </c>
    </row>
    <row r="59" spans="1:3" ht="13.5">
      <c r="A59" s="198" t="s">
        <v>518</v>
      </c>
      <c r="B59" s="199" t="s">
        <v>182</v>
      </c>
      <c r="C59" s="815">
        <v>0</v>
      </c>
    </row>
    <row r="60" spans="1:3" ht="13.5">
      <c r="A60" s="198" t="s">
        <v>519</v>
      </c>
      <c r="B60" s="199" t="s">
        <v>170</v>
      </c>
      <c r="C60" s="815">
        <v>0</v>
      </c>
    </row>
    <row r="61" spans="1:3" ht="13.5">
      <c r="A61" s="198" t="s">
        <v>520</v>
      </c>
      <c r="B61" s="199" t="s">
        <v>178</v>
      </c>
      <c r="C61" s="815">
        <v>0</v>
      </c>
    </row>
    <row r="62" spans="1:3" ht="13.5">
      <c r="A62" s="206">
        <v>3.7</v>
      </c>
      <c r="B62" s="207" t="s">
        <v>521</v>
      </c>
      <c r="C62" s="817">
        <v>0</v>
      </c>
    </row>
    <row r="63" spans="1:3" ht="13.5">
      <c r="A63" s="206" t="s">
        <v>18</v>
      </c>
      <c r="B63" s="207" t="s">
        <v>522</v>
      </c>
      <c r="C63" s="817">
        <v>29213000</v>
      </c>
    </row>
    <row r="64" spans="1:3" ht="13.5">
      <c r="A64" s="198" t="s">
        <v>523</v>
      </c>
      <c r="B64" s="199" t="s">
        <v>524</v>
      </c>
      <c r="C64" s="815">
        <v>25532000</v>
      </c>
    </row>
    <row r="65" spans="1:3" ht="13.5">
      <c r="A65" s="198" t="s">
        <v>525</v>
      </c>
      <c r="B65" s="199" t="s">
        <v>526</v>
      </c>
      <c r="C65" s="815">
        <v>3681000</v>
      </c>
    </row>
    <row r="66" spans="1:3" ht="13.5">
      <c r="A66" s="198" t="s">
        <v>527</v>
      </c>
      <c r="B66" s="199"/>
      <c r="C66" s="815">
        <v>0</v>
      </c>
    </row>
    <row r="67" spans="1:3" ht="14.25" thickBot="1">
      <c r="A67" s="198" t="s">
        <v>528</v>
      </c>
      <c r="B67" s="199"/>
      <c r="C67" s="815">
        <v>0</v>
      </c>
    </row>
    <row r="68" spans="1:3" ht="15.75" thickBot="1">
      <c r="A68" s="196">
        <v>4</v>
      </c>
      <c r="B68" s="197" t="s">
        <v>529</v>
      </c>
      <c r="C68" s="819">
        <v>0</v>
      </c>
    </row>
    <row r="69" spans="1:3" ht="12.75">
      <c r="A69" s="210">
        <v>4.1</v>
      </c>
      <c r="B69" s="211"/>
      <c r="C69" s="822">
        <v>0</v>
      </c>
    </row>
    <row r="70" spans="1:3" ht="12.75">
      <c r="A70" s="210">
        <v>4.2</v>
      </c>
      <c r="B70" s="211"/>
      <c r="C70" s="822">
        <v>0</v>
      </c>
    </row>
    <row r="71" spans="1:3" ht="12.75">
      <c r="A71" s="210">
        <v>4.3</v>
      </c>
      <c r="B71" s="211"/>
      <c r="C71" s="822">
        <v>0</v>
      </c>
    </row>
    <row r="72" spans="1:3" ht="13.5" thickBot="1">
      <c r="A72" s="212">
        <v>4.4</v>
      </c>
      <c r="B72" s="213"/>
      <c r="C72" s="823">
        <v>0</v>
      </c>
    </row>
    <row r="74" ht="18">
      <c r="B74" s="186" t="s">
        <v>645</v>
      </c>
    </row>
    <row r="75" ht="15.75" customHeight="1"/>
  </sheetData>
  <printOptions horizontalCentered="1" verticalCentered="1"/>
  <pageMargins left="0.3937007874015748" right="0.3937007874015748" top="0.3937007874015748" bottom="0.3937007874015748" header="0.31496062992125984" footer="0.5905511811023623"/>
  <pageSetup horizontalDpi="600" verticalDpi="600" orientation="portrait" scale="65" r:id="rId1"/>
  <headerFooter alignWithMargins="0">
    <oddFooter>&amp;R&amp;9Página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workbookViewId="0" topLeftCell="C1">
      <selection activeCell="C10" sqref="C10"/>
    </sheetView>
  </sheetViews>
  <sheetFormatPr defaultColWidth="11.5546875" defaultRowHeight="15"/>
  <cols>
    <col min="1" max="1" width="8.88671875" style="19" customWidth="1"/>
    <col min="2" max="2" width="48.88671875" style="20" customWidth="1"/>
    <col min="3" max="3" width="13.3359375" style="21" customWidth="1"/>
    <col min="4" max="4" width="12.4453125" style="21" customWidth="1"/>
    <col min="5" max="5" width="12.6640625" style="21" customWidth="1"/>
    <col min="6" max="6" width="13.99609375" style="21" customWidth="1"/>
    <col min="7" max="7" width="11.6640625" style="7" customWidth="1"/>
    <col min="8" max="8" width="11.6640625" style="21" customWidth="1"/>
    <col min="9" max="9" width="12.6640625" style="21" customWidth="1"/>
    <col min="10" max="10" width="11.5546875" style="21" customWidth="1"/>
    <col min="11" max="11" width="11.77734375" style="21" customWidth="1"/>
    <col min="12" max="16384" width="11.5546875" style="36" customWidth="1"/>
  </cols>
  <sheetData>
    <row r="1" spans="1:11" ht="16.5" thickBot="1">
      <c r="A1" s="376" t="s">
        <v>530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5.75" thickBot="1">
      <c r="A2" s="378"/>
      <c r="B2" s="378" t="s">
        <v>1</v>
      </c>
      <c r="C2" s="379" t="str">
        <f>+'INGR. Y EGRE SEC CENT'!C2</f>
        <v>ARIGUANI</v>
      </c>
      <c r="D2" s="377"/>
      <c r="E2" s="378" t="s">
        <v>2</v>
      </c>
      <c r="F2" s="380" t="str">
        <f>+'PROYECCIONES SIN PLAN DESEMPE.'!C2</f>
        <v>ARIGUANI</v>
      </c>
      <c r="G2" s="377"/>
      <c r="H2" s="377"/>
      <c r="I2" s="377"/>
      <c r="J2" s="377"/>
      <c r="K2" s="377"/>
    </row>
    <row r="3" spans="1:11" ht="15.75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.75" thickBot="1">
      <c r="A4" s="382" t="s">
        <v>4</v>
      </c>
      <c r="B4" s="383"/>
      <c r="C4" s="384" t="s">
        <v>24</v>
      </c>
      <c r="D4" s="385"/>
      <c r="E4" s="386"/>
      <c r="F4" s="384" t="s">
        <v>531</v>
      </c>
      <c r="G4" s="385"/>
      <c r="H4" s="385"/>
      <c r="I4" s="385"/>
      <c r="J4" s="385"/>
      <c r="K4" s="386"/>
    </row>
    <row r="5" spans="1:11" ht="29.25" customHeight="1" thickBot="1">
      <c r="A5" s="387"/>
      <c r="B5" s="388"/>
      <c r="C5" s="389">
        <f>+'INGR. Y EGRE SEC CENT'!C5</f>
        <v>1996</v>
      </c>
      <c r="D5" s="391">
        <f>+'INGR. Y EGRE SEC CENT'!D5</f>
        <v>1997</v>
      </c>
      <c r="E5" s="390">
        <f>+'INGR. Y EGRE SEC CENT'!E5</f>
        <v>1998</v>
      </c>
      <c r="F5" s="391">
        <f>+'PROYECCIONES SIN PLAN DESEMPE.'!C5</f>
        <v>1998</v>
      </c>
      <c r="G5" s="392">
        <f>+'PROYECCIONES SIN PLAN DESEMPE.'!D5</f>
        <v>1999</v>
      </c>
      <c r="H5" s="391">
        <f>+'PROYECCIONES SIN PLAN DESEMPE.'!E5</f>
        <v>2000</v>
      </c>
      <c r="I5" s="391">
        <f>+'PROYECCIONES SIN PLAN DESEMPE.'!F5</f>
        <v>2001</v>
      </c>
      <c r="J5" s="391">
        <f>+'PROYECCIONES SIN PLAN DESEMPE.'!G5</f>
        <v>2002</v>
      </c>
      <c r="K5" s="391">
        <f>+'PROYECCIONES SIN PLAN DESEMPE.'!H5</f>
        <v>2003</v>
      </c>
    </row>
    <row r="6" spans="1:11" s="148" customFormat="1" ht="15.75">
      <c r="A6" s="393">
        <f>+'INGR. Y EGRE SEC CENT'!A7</f>
        <v>1.1</v>
      </c>
      <c r="B6" s="394" t="str">
        <f>+'INGR. Y EGRE SEC CENT'!B7</f>
        <v>INGRESOS CORRIENTES</v>
      </c>
      <c r="C6" s="783">
        <f>+C7+C14+C19</f>
        <v>0</v>
      </c>
      <c r="D6" s="784">
        <f aca="true" t="shared" si="0" ref="D6:K6">+D7+D14+D19</f>
        <v>0</v>
      </c>
      <c r="E6" s="785">
        <f t="shared" si="0"/>
        <v>3998707387</v>
      </c>
      <c r="F6" s="784">
        <f t="shared" si="0"/>
        <v>1975820340</v>
      </c>
      <c r="G6" s="784">
        <f t="shared" si="0"/>
        <v>2073687000</v>
      </c>
      <c r="H6" s="784">
        <f t="shared" si="0"/>
        <v>2280905432</v>
      </c>
      <c r="I6" s="784">
        <f t="shared" si="0"/>
        <v>2525441157</v>
      </c>
      <c r="J6" s="784">
        <f t="shared" si="0"/>
        <v>2825925059</v>
      </c>
      <c r="K6" s="784">
        <f t="shared" si="0"/>
        <v>3192247440</v>
      </c>
    </row>
    <row r="7" spans="1:11" s="149" customFormat="1" ht="15" customHeight="1">
      <c r="A7" s="393" t="str">
        <f>+'INGR. Y EGRE SEC CENT'!A8</f>
        <v>1.1.1</v>
      </c>
      <c r="B7" s="395" t="str">
        <f>+'INGR. Y EGRE SEC CENT'!B8</f>
        <v>INGRESOS TRIBUTARIOS</v>
      </c>
      <c r="C7" s="786">
        <f aca="true" t="shared" si="1" ref="C7:K7">SUM(C8:C13)</f>
        <v>0</v>
      </c>
      <c r="D7" s="787">
        <f t="shared" si="1"/>
        <v>0</v>
      </c>
      <c r="E7" s="788">
        <f t="shared" si="1"/>
        <v>126111050</v>
      </c>
      <c r="F7" s="787">
        <f t="shared" si="1"/>
        <v>42044923</v>
      </c>
      <c r="G7" s="787">
        <f t="shared" si="1"/>
        <v>109500000</v>
      </c>
      <c r="H7" s="787">
        <f t="shared" si="1"/>
        <v>126125000</v>
      </c>
      <c r="I7" s="787">
        <f t="shared" si="1"/>
        <v>145438250</v>
      </c>
      <c r="J7" s="787">
        <f t="shared" si="1"/>
        <v>171617725</v>
      </c>
      <c r="K7" s="787">
        <f t="shared" si="1"/>
        <v>202508916</v>
      </c>
    </row>
    <row r="8" spans="1:11" ht="15">
      <c r="A8" s="8" t="str">
        <f>+'INGR. Y EGRE SEC CENT'!A9</f>
        <v>1.1.1.1</v>
      </c>
      <c r="B8" s="34" t="str">
        <f>+'INGR. Y EGRE SEC CENT'!B9</f>
        <v>Predial Unificado</v>
      </c>
      <c r="C8" s="734">
        <f>+'INGR. Y EGRE SEC CENT'!C9</f>
        <v>0</v>
      </c>
      <c r="D8" s="748">
        <f>+'INGR. Y EGRE SEC CENT'!D9</f>
        <v>0</v>
      </c>
      <c r="E8" s="654">
        <f>+'INGR. Y EGRE SEC CENT'!E9</f>
        <v>78164873</v>
      </c>
      <c r="F8" s="748">
        <f>+'PROYECCIONES SIN PLAN DESEMPE.'!C9</f>
        <v>37969823</v>
      </c>
      <c r="G8" s="654">
        <f>+'PROYECCIONES SIN PLAN DESEMPE.'!D9</f>
        <v>50000000</v>
      </c>
      <c r="H8" s="748">
        <f>+'PROYECCIONES SIN PLAN DESEMPE.'!E9</f>
        <v>57500000</v>
      </c>
      <c r="I8" s="748">
        <f>+'PROYECCIONES SIN PLAN DESEMPE.'!F9</f>
        <v>66125000</v>
      </c>
      <c r="J8" s="748">
        <f>+'PROYECCIONES SIN PLAN DESEMPE.'!G9</f>
        <v>78027500</v>
      </c>
      <c r="K8" s="748">
        <f>+'PROYECCIONES SIN PLAN DESEMPE.'!H9</f>
        <v>92072450</v>
      </c>
    </row>
    <row r="9" spans="1:11" ht="15">
      <c r="A9" s="8" t="str">
        <f>+'INGR. Y EGRE SEC CENT'!A10</f>
        <v>1.1.1.2</v>
      </c>
      <c r="B9" s="34" t="str">
        <f>+'INGR. Y EGRE SEC CENT'!B10</f>
        <v>Industria y comercio</v>
      </c>
      <c r="C9" s="734">
        <f>+'INGR. Y EGRE SEC CENT'!C10</f>
        <v>0</v>
      </c>
      <c r="D9" s="748">
        <f>+'INGR. Y EGRE SEC CENT'!D10</f>
        <v>0</v>
      </c>
      <c r="E9" s="654">
        <f>+'INGR. Y EGRE SEC CENT'!E10</f>
        <v>33399052</v>
      </c>
      <c r="F9" s="748">
        <f>+'PROYECCIONES SIN PLAN DESEMPE.'!C10</f>
        <v>1812900</v>
      </c>
      <c r="G9" s="654">
        <f>+'PROYECCIONES SIN PLAN DESEMPE.'!D10</f>
        <v>35000000</v>
      </c>
      <c r="H9" s="748">
        <f>+'PROYECCIONES SIN PLAN DESEMPE.'!E10</f>
        <v>40250000</v>
      </c>
      <c r="I9" s="748">
        <f>+'PROYECCIONES SIN PLAN DESEMPE.'!F10</f>
        <v>46287500</v>
      </c>
      <c r="J9" s="748">
        <f>+'PROYECCIONES SIN PLAN DESEMPE.'!G10</f>
        <v>54619250</v>
      </c>
      <c r="K9" s="748">
        <f>+'PROYECCIONES SIN PLAN DESEMPE.'!H10</f>
        <v>64450715</v>
      </c>
    </row>
    <row r="10" spans="1:11" ht="15">
      <c r="A10" s="8" t="str">
        <f>+'INGR. Y EGRE SEC CENT'!A11</f>
        <v>1.1.1.3</v>
      </c>
      <c r="B10" s="34" t="str">
        <f>+'INGR. Y EGRE SEC CENT'!B11</f>
        <v>Circulación y Transito</v>
      </c>
      <c r="C10" s="734">
        <f>+'INGR. Y EGRE SEC CENT'!C11</f>
        <v>0</v>
      </c>
      <c r="D10" s="748">
        <f>+'INGR. Y EGRE SEC CENT'!D11</f>
        <v>0</v>
      </c>
      <c r="E10" s="654">
        <f>+'INGR. Y EGRE SEC CENT'!E11</f>
        <v>80000</v>
      </c>
      <c r="F10" s="748">
        <f>+'PROYECCIONES SIN PLAN DESEMPE.'!C11</f>
        <v>209000</v>
      </c>
      <c r="G10" s="654">
        <f>+'PROYECCIONES SIN PLAN DESEMPE.'!D11</f>
        <v>500000</v>
      </c>
      <c r="H10" s="748">
        <f>+'PROYECCIONES SIN PLAN DESEMPE.'!E11</f>
        <v>575000</v>
      </c>
      <c r="I10" s="748">
        <f>+'PROYECCIONES SIN PLAN DESEMPE.'!F11</f>
        <v>661250</v>
      </c>
      <c r="J10" s="748">
        <f>+'PROYECCIONES SIN PLAN DESEMPE.'!G11</f>
        <v>780275</v>
      </c>
      <c r="K10" s="748">
        <f>+'PROYECCIONES SIN PLAN DESEMPE.'!H11</f>
        <v>920725</v>
      </c>
    </row>
    <row r="11" spans="1:11" ht="15">
      <c r="A11" s="8" t="str">
        <f>+'INGR. Y EGRE SEC CENT'!A12</f>
        <v>1.1.1.4</v>
      </c>
      <c r="B11" s="34" t="str">
        <f>+'INGR. Y EGRE SEC CENT'!B12</f>
        <v>Avisos y Tableros </v>
      </c>
      <c r="C11" s="734">
        <f>+'INGR. Y EGRE SEC CENT'!C12</f>
        <v>0</v>
      </c>
      <c r="D11" s="748">
        <f>+'INGR. Y EGRE SEC CENT'!D12</f>
        <v>0</v>
      </c>
      <c r="E11" s="654">
        <f>+'INGR. Y EGRE SEC CENT'!E12</f>
        <v>0</v>
      </c>
      <c r="F11" s="748">
        <f>+'PROYECCIONES SIN PLAN DESEMPE.'!C12</f>
        <v>0</v>
      </c>
      <c r="G11" s="654">
        <f>+'PROYECCIONES SIN PLAN DESEMPE.'!D12</f>
        <v>2000000</v>
      </c>
      <c r="H11" s="748">
        <f>+'PROYECCIONES SIN PLAN DESEMPE.'!E12</f>
        <v>2300000</v>
      </c>
      <c r="I11" s="748">
        <f>+'PROYECCIONES SIN PLAN DESEMPE.'!F12</f>
        <v>2645000</v>
      </c>
      <c r="J11" s="748">
        <f>+'PROYECCIONES SIN PLAN DESEMPE.'!G12</f>
        <v>3121100</v>
      </c>
      <c r="K11" s="748">
        <f>+'PROYECCIONES SIN PLAN DESEMPE.'!H12</f>
        <v>3682898</v>
      </c>
    </row>
    <row r="12" spans="1:11" ht="15">
      <c r="A12" s="8" t="str">
        <f>+'INGR. Y EGRE SEC CENT'!A18</f>
        <v>1.1.1.10</v>
      </c>
      <c r="B12" s="34" t="str">
        <f>+'INGR. Y EGRE SEC CENT'!B18</f>
        <v>Sobretasa a la Gasolina</v>
      </c>
      <c r="C12" s="734">
        <f>+'INGR. Y EGRE SEC CENT'!C18</f>
        <v>0</v>
      </c>
      <c r="D12" s="748">
        <f>+'INGR. Y EGRE SEC CENT'!D18</f>
        <v>0</v>
      </c>
      <c r="E12" s="654">
        <f>+'INGR. Y EGRE SEC CENT'!E18</f>
        <v>0</v>
      </c>
      <c r="F12" s="748">
        <f>+'PROYECCIONES SIN PLAN DESEMPE.'!C18</f>
        <v>0</v>
      </c>
      <c r="G12" s="654">
        <f>+'PROYECCIONES SIN PLAN DESEMPE.'!D18</f>
        <v>0</v>
      </c>
      <c r="H12" s="748">
        <f>+'PROYECCIONES SIN PLAN DESEMPE.'!E18</f>
        <v>0</v>
      </c>
      <c r="I12" s="748">
        <f>+'PROYECCIONES SIN PLAN DESEMPE.'!F18</f>
        <v>0</v>
      </c>
      <c r="J12" s="748">
        <f>+'PROYECCIONES SIN PLAN DESEMPE.'!G18</f>
        <v>0</v>
      </c>
      <c r="K12" s="748">
        <f>+'PROYECCIONES SIN PLAN DESEMPE.'!H18</f>
        <v>0</v>
      </c>
    </row>
    <row r="13" spans="1:11" s="149" customFormat="1" ht="15" customHeight="1">
      <c r="A13" s="338"/>
      <c r="B13" s="12" t="s">
        <v>532</v>
      </c>
      <c r="C13" s="734">
        <f>SUM('INGR. Y EGRE SEC CENT'!C13:C24)-'INGR. Y EGRE SEC CENT'!C18</f>
        <v>0</v>
      </c>
      <c r="D13" s="748">
        <f>SUM('INGR. Y EGRE SEC CENT'!D13:D24)-'INGR. Y EGRE SEC CENT'!D18</f>
        <v>0</v>
      </c>
      <c r="E13" s="654">
        <f>SUM('INGR. Y EGRE SEC CENT'!E13:E24)-'INGR. Y EGRE SEC CENT'!E18</f>
        <v>14467125</v>
      </c>
      <c r="F13" s="748">
        <f>SUM('PROYECCIONES SIN PLAN DESEMPE.'!C13:C24)-'PROYECCIONES SIN PLAN DESEMPE.'!C18</f>
        <v>2053200</v>
      </c>
      <c r="G13" s="654">
        <f>SUM('PROYECCIONES SIN PLAN DESEMPE.'!D13:D24)-'PROYECCIONES SIN PLAN DESEMPE.'!D18</f>
        <v>22000000</v>
      </c>
      <c r="H13" s="748">
        <f>SUM('PROYECCIONES SIN PLAN DESEMPE.'!E13:E24)-'PROYECCIONES SIN PLAN DESEMPE.'!E18</f>
        <v>25500000</v>
      </c>
      <c r="I13" s="748">
        <f>SUM('PROYECCIONES SIN PLAN DESEMPE.'!F13:F24)-'PROYECCIONES SIN PLAN DESEMPE.'!F18</f>
        <v>29719500</v>
      </c>
      <c r="J13" s="748">
        <f>SUM('PROYECCIONES SIN PLAN DESEMPE.'!G13:G24)-'PROYECCIONES SIN PLAN DESEMPE.'!G18</f>
        <v>35069600</v>
      </c>
      <c r="K13" s="748">
        <f>SUM('PROYECCIONES SIN PLAN DESEMPE.'!H13:H24)-'PROYECCIONES SIN PLAN DESEMPE.'!H18</f>
        <v>41382128</v>
      </c>
    </row>
    <row r="14" spans="1:11" s="149" customFormat="1" ht="15" customHeight="1">
      <c r="A14" s="396" t="str">
        <f>+'INGR. Y EGRE SEC CENT'!A28</f>
        <v>1.1.2</v>
      </c>
      <c r="B14" s="395" t="str">
        <f>+'INGR. Y EGRE SEC CENT'!B28</f>
        <v>INGRESOS NO TRIBUTARIOS</v>
      </c>
      <c r="C14" s="786">
        <f aca="true" t="shared" si="2" ref="C14:K14">SUM(C15:C18)</f>
        <v>0</v>
      </c>
      <c r="D14" s="787">
        <f t="shared" si="2"/>
        <v>0</v>
      </c>
      <c r="E14" s="788">
        <f t="shared" si="2"/>
        <v>119703045</v>
      </c>
      <c r="F14" s="787">
        <f t="shared" si="2"/>
        <v>47989840</v>
      </c>
      <c r="G14" s="788">
        <f t="shared" si="2"/>
        <v>16700000</v>
      </c>
      <c r="H14" s="787">
        <f t="shared" si="2"/>
        <v>19205000</v>
      </c>
      <c r="I14" s="787">
        <f t="shared" si="2"/>
        <v>22085750</v>
      </c>
      <c r="J14" s="787">
        <f t="shared" si="2"/>
        <v>25942160</v>
      </c>
      <c r="K14" s="787">
        <f t="shared" si="2"/>
        <v>30611748</v>
      </c>
    </row>
    <row r="15" spans="1:11" ht="15">
      <c r="A15" s="8" t="str">
        <f>+'INGR. Y EGRE SEC CENT'!A29</f>
        <v>1.1.2.1</v>
      </c>
      <c r="B15" s="14" t="str">
        <f>+'INGR. Y EGRE SEC CENT'!B29</f>
        <v>Aseo</v>
      </c>
      <c r="C15" s="734">
        <f>+'INGR. Y EGRE SEC CENT'!C29</f>
        <v>0</v>
      </c>
      <c r="D15" s="748">
        <f>+'INGR. Y EGRE SEC CENT'!D29</f>
        <v>0</v>
      </c>
      <c r="E15" s="654">
        <f>+'INGR. Y EGRE SEC CENT'!E29</f>
        <v>0</v>
      </c>
      <c r="F15" s="748">
        <f>+'PROYECCIONES SIN PLAN DESEMPE.'!C29</f>
        <v>0</v>
      </c>
      <c r="G15" s="654">
        <f>+'PROYECCIONES SIN PLAN DESEMPE.'!D29</f>
        <v>0</v>
      </c>
      <c r="H15" s="748">
        <f>+'PROYECCIONES SIN PLAN DESEMPE.'!E29</f>
        <v>0</v>
      </c>
      <c r="I15" s="748">
        <f>+'PROYECCIONES SIN PLAN DESEMPE.'!F29</f>
        <v>0</v>
      </c>
      <c r="J15" s="748">
        <f>+'PROYECCIONES SIN PLAN DESEMPE.'!G29</f>
        <v>0</v>
      </c>
      <c r="K15" s="748">
        <f>+'PROYECCIONES SIN PLAN DESEMPE.'!H29</f>
        <v>0</v>
      </c>
    </row>
    <row r="16" spans="1:11" ht="15">
      <c r="A16" s="8" t="str">
        <f>+'INGR. Y EGRE SEC CENT'!A30</f>
        <v>1.1.2.2</v>
      </c>
      <c r="B16" s="34" t="str">
        <f>+'INGR. Y EGRE SEC CENT'!B30</f>
        <v>Pliego de Licitaciones</v>
      </c>
      <c r="C16" s="734">
        <f>+'INGR. Y EGRE SEC CENT'!C30</f>
        <v>0</v>
      </c>
      <c r="D16" s="748">
        <f>+'INGR. Y EGRE SEC CENT'!D30</f>
        <v>0</v>
      </c>
      <c r="E16" s="654">
        <f>+'INGR. Y EGRE SEC CENT'!E30</f>
        <v>0</v>
      </c>
      <c r="F16" s="748">
        <f>+'PROYECCIONES SIN PLAN DESEMPE.'!C30</f>
        <v>0</v>
      </c>
      <c r="G16" s="654">
        <f>+'PROYECCIONES SIN PLAN DESEMPE.'!D30</f>
        <v>7000000</v>
      </c>
      <c r="H16" s="748">
        <f>+'PROYECCIONES SIN PLAN DESEMPE.'!E30</f>
        <v>8050000</v>
      </c>
      <c r="I16" s="748">
        <f>+'PROYECCIONES SIN PLAN DESEMPE.'!F30</f>
        <v>9257500</v>
      </c>
      <c r="J16" s="748">
        <f>+'PROYECCIONES SIN PLAN DESEMPE.'!G30</f>
        <v>10923850</v>
      </c>
      <c r="K16" s="748">
        <f>+'PROYECCIONES SIN PLAN DESEMPE.'!H30</f>
        <v>12890143</v>
      </c>
    </row>
    <row r="17" spans="1:11" ht="15">
      <c r="A17" s="8" t="str">
        <f>+'INGR. Y EGRE SEC CENT'!A31</f>
        <v>1.1.2.3</v>
      </c>
      <c r="B17" s="34" t="str">
        <f>+'INGR. Y EGRE SEC CENT'!B31</f>
        <v>Gaceta Municipal</v>
      </c>
      <c r="C17" s="734">
        <f>+'INGR. Y EGRE SEC CENT'!C31</f>
        <v>0</v>
      </c>
      <c r="D17" s="748">
        <f>+'INGR. Y EGRE SEC CENT'!D31</f>
        <v>0</v>
      </c>
      <c r="E17" s="654">
        <f>+'INGR. Y EGRE SEC CENT'!E31</f>
        <v>6131889</v>
      </c>
      <c r="F17" s="748">
        <f>+'PROYECCIONES SIN PLAN DESEMPE.'!C31</f>
        <v>2192516</v>
      </c>
      <c r="G17" s="654">
        <f>+'PROYECCIONES SIN PLAN DESEMPE.'!D31</f>
        <v>0</v>
      </c>
      <c r="H17" s="748">
        <f>+'PROYECCIONES SIN PLAN DESEMPE.'!E31</f>
        <v>0</v>
      </c>
      <c r="I17" s="748">
        <f>+'PROYECCIONES SIN PLAN DESEMPE.'!F31</f>
        <v>0</v>
      </c>
      <c r="J17" s="748">
        <f>+'PROYECCIONES SIN PLAN DESEMPE.'!G31</f>
        <v>0</v>
      </c>
      <c r="K17" s="748">
        <f>+'PROYECCIONES SIN PLAN DESEMPE.'!H31</f>
        <v>0</v>
      </c>
    </row>
    <row r="18" spans="1:11" ht="15">
      <c r="A18" s="8"/>
      <c r="B18" s="12" t="s">
        <v>533</v>
      </c>
      <c r="C18" s="734">
        <f>SUM('INGR. Y EGRE SEC CENT'!C32:C37)</f>
        <v>0</v>
      </c>
      <c r="D18" s="748">
        <f>SUM('INGR. Y EGRE SEC CENT'!D32:D37)</f>
        <v>0</v>
      </c>
      <c r="E18" s="654">
        <f>SUM('INGR. Y EGRE SEC CENT'!E32:E37)</f>
        <v>113571156</v>
      </c>
      <c r="F18" s="748">
        <f>SUM('PROYECCIONES SIN PLAN DESEMPE.'!C32:C37)</f>
        <v>45797324</v>
      </c>
      <c r="G18" s="654">
        <f>SUM('PROYECCIONES SIN PLAN DESEMPE.'!D32:D37)</f>
        <v>9700000</v>
      </c>
      <c r="H18" s="748">
        <f>SUM('PROYECCIONES SIN PLAN DESEMPE.'!E32:E37)</f>
        <v>11155000</v>
      </c>
      <c r="I18" s="748">
        <f>SUM('PROYECCIONES SIN PLAN DESEMPE.'!F32:F37)</f>
        <v>12828250</v>
      </c>
      <c r="J18" s="748">
        <f>SUM('PROYECCIONES SIN PLAN DESEMPE.'!G32:G37)</f>
        <v>15018310</v>
      </c>
      <c r="K18" s="748">
        <f>SUM('PROYECCIONES SIN PLAN DESEMPE.'!H32:H37)</f>
        <v>17721605</v>
      </c>
    </row>
    <row r="19" spans="1:11" s="149" customFormat="1" ht="15" customHeight="1">
      <c r="A19" s="396" t="str">
        <f>+'INGR. Y EGRE SEC CENT'!A41</f>
        <v>1.1.3</v>
      </c>
      <c r="B19" s="395" t="str">
        <f>+'INGR. Y EGRE SEC CENT'!B41</f>
        <v>TRANSFERENCIAS</v>
      </c>
      <c r="C19" s="786">
        <f>SUM(C20:C24)</f>
        <v>0</v>
      </c>
      <c r="D19" s="787">
        <f aca="true" t="shared" si="3" ref="D19:K19">SUM(D20:D24)</f>
        <v>0</v>
      </c>
      <c r="E19" s="788">
        <f t="shared" si="3"/>
        <v>3752893292</v>
      </c>
      <c r="F19" s="787">
        <f t="shared" si="3"/>
        <v>1885785577</v>
      </c>
      <c r="G19" s="788">
        <f t="shared" si="3"/>
        <v>1947487000</v>
      </c>
      <c r="H19" s="787">
        <f t="shared" si="3"/>
        <v>2135575432</v>
      </c>
      <c r="I19" s="787">
        <f t="shared" si="3"/>
        <v>2357917157</v>
      </c>
      <c r="J19" s="787">
        <f t="shared" si="3"/>
        <v>2628365174</v>
      </c>
      <c r="K19" s="787">
        <f t="shared" si="3"/>
        <v>2959126776</v>
      </c>
    </row>
    <row r="20" spans="1:11" s="148" customFormat="1" ht="15">
      <c r="A20" s="375" t="str">
        <f>+'INGR. Y EGRE SEC CENT'!A43</f>
        <v>1.1.3.1.1</v>
      </c>
      <c r="B20" s="339" t="str">
        <f>+'INGR. Y EGRE SEC CENT'!B43</f>
        <v>Situado Fiscal Educación</v>
      </c>
      <c r="C20" s="789">
        <f>+'INGR. Y EGRE SEC CENT'!C43</f>
        <v>0</v>
      </c>
      <c r="D20" s="790">
        <f>+'INGR. Y EGRE SEC CENT'!D43</f>
        <v>0</v>
      </c>
      <c r="E20" s="791">
        <f>+'INGR. Y EGRE SEC CENT'!E43</f>
        <v>0</v>
      </c>
      <c r="F20" s="790">
        <f>+'PROYECCIONES SIN PLAN DESEMPE.'!C43</f>
        <v>0</v>
      </c>
      <c r="G20" s="791">
        <f>+'PROYECCIONES SIN PLAN DESEMPE.'!D43</f>
        <v>0</v>
      </c>
      <c r="H20" s="790">
        <f>+'PROYECCIONES SIN PLAN DESEMPE.'!E43</f>
        <v>0</v>
      </c>
      <c r="I20" s="790">
        <f>+'PROYECCIONES SIN PLAN DESEMPE.'!F43</f>
        <v>0</v>
      </c>
      <c r="J20" s="790">
        <f>+'PROYECCIONES SIN PLAN DESEMPE.'!G43</f>
        <v>0</v>
      </c>
      <c r="K20" s="790">
        <f>+'PROYECCIONES SIN PLAN DESEMPE.'!H43</f>
        <v>0</v>
      </c>
    </row>
    <row r="21" spans="1:11" s="148" customFormat="1" ht="15">
      <c r="A21" s="375" t="str">
        <f>+'INGR. Y EGRE SEC CENT'!A44</f>
        <v>1.1.3.1.2</v>
      </c>
      <c r="B21" s="339" t="str">
        <f>+'INGR. Y EGRE SEC CENT'!B44</f>
        <v>Situado Fiscal Salud</v>
      </c>
      <c r="C21" s="789">
        <f>+'INGR. Y EGRE SEC CENT'!C44</f>
        <v>0</v>
      </c>
      <c r="D21" s="790">
        <f>+'INGR. Y EGRE SEC CENT'!D44</f>
        <v>0</v>
      </c>
      <c r="E21" s="791">
        <f>+'INGR. Y EGRE SEC CENT'!E44</f>
        <v>0</v>
      </c>
      <c r="F21" s="790">
        <f>+'PROYECCIONES SIN PLAN DESEMPE.'!C44</f>
        <v>0</v>
      </c>
      <c r="G21" s="791">
        <f>+'PROYECCIONES SIN PLAN DESEMPE.'!D44</f>
        <v>0</v>
      </c>
      <c r="H21" s="790">
        <f>+'PROYECCIONES SIN PLAN DESEMPE.'!E44</f>
        <v>0</v>
      </c>
      <c r="I21" s="790">
        <f>+'PROYECCIONES SIN PLAN DESEMPE.'!F44</f>
        <v>0</v>
      </c>
      <c r="J21" s="790">
        <f>+'PROYECCIONES SIN PLAN DESEMPE.'!G44</f>
        <v>0</v>
      </c>
      <c r="K21" s="790">
        <f>+'PROYECCIONES SIN PLAN DESEMPE.'!H44</f>
        <v>0</v>
      </c>
    </row>
    <row r="22" spans="1:11" s="148" customFormat="1" ht="15">
      <c r="A22" s="375" t="str">
        <f>+'INGR. Y EGRE SEC CENT'!A46</f>
        <v>1.1.3.2.1</v>
      </c>
      <c r="B22" s="339" t="str">
        <f>+'INGR. Y EGRE SEC CENT'!B46</f>
        <v>ICN. de Inversión Forzosa</v>
      </c>
      <c r="C22" s="789">
        <f>+'INGR. Y EGRE SEC CENT'!C46</f>
        <v>0</v>
      </c>
      <c r="D22" s="790">
        <f>+'INGR. Y EGRE SEC CENT'!D46</f>
        <v>0</v>
      </c>
      <c r="E22" s="791">
        <f>+'INGR. Y EGRE SEC CENT'!E46</f>
        <v>2603864699</v>
      </c>
      <c r="F22" s="790">
        <f>+'PROYECCIONES SIN PLAN DESEMPE.'!C46</f>
        <v>1381135295</v>
      </c>
      <c r="G22" s="791">
        <f>+'PROYECCIONES SIN PLAN DESEMPE.'!D46</f>
        <v>1600704940</v>
      </c>
      <c r="H22" s="790">
        <f>+'PROYECCIONES SIN PLAN DESEMPE.'!E46</f>
        <v>1840810681</v>
      </c>
      <c r="I22" s="790">
        <f>+'PROYECCIONES SIN PLAN DESEMPE.'!F46</f>
        <v>2098524176</v>
      </c>
      <c r="J22" s="790">
        <f>+'PROYECCIONES SIN PLAN DESEMPE.'!G46</f>
        <v>2392317561</v>
      </c>
      <c r="K22" s="790">
        <f>+'PROYECCIONES SIN PLAN DESEMPE.'!H46</f>
        <v>2737242020</v>
      </c>
    </row>
    <row r="23" spans="1:11" ht="15">
      <c r="A23" s="8" t="str">
        <f>+'INGR. Y EGRE SEC CENT'!A47</f>
        <v>1.1.3.2.2</v>
      </c>
      <c r="B23" s="339" t="str">
        <f>+'INGR. Y EGRE SEC CENT'!B47</f>
        <v>ICN. de Libre Destinación</v>
      </c>
      <c r="C23" s="789">
        <f>+'INGR. Y EGRE SEC CENT'!C47</f>
        <v>0</v>
      </c>
      <c r="D23" s="790">
        <f>+'INGR. Y EGRE SEC CENT'!D47</f>
        <v>0</v>
      </c>
      <c r="E23" s="791">
        <f>+'INGR. Y EGRE SEC CENT'!E47</f>
        <v>784941804</v>
      </c>
      <c r="F23" s="790">
        <f>+'PROYECCIONES SIN PLAN DESEMPE.'!C47</f>
        <v>335583815</v>
      </c>
      <c r="G23" s="791">
        <f>+'PROYECCIONES SIN PLAN DESEMPE.'!D47</f>
        <v>346782060</v>
      </c>
      <c r="H23" s="790">
        <f>+'PROYECCIONES SIN PLAN DESEMPE.'!E47</f>
        <v>294764751</v>
      </c>
      <c r="I23" s="790">
        <f>+'PROYECCIONES SIN PLAN DESEMPE.'!F47</f>
        <v>259392981</v>
      </c>
      <c r="J23" s="790">
        <f>+'PROYECCIONES SIN PLAN DESEMPE.'!G47</f>
        <v>236047613</v>
      </c>
      <c r="K23" s="790">
        <f>+'PROYECCIONES SIN PLAN DESEMPE.'!H47</f>
        <v>221884756</v>
      </c>
    </row>
    <row r="24" spans="1:11" ht="15">
      <c r="A24" s="8" t="str">
        <f>+'INGR. Y EGRE SEC CENT'!A48</f>
        <v>1.1.3.3.3</v>
      </c>
      <c r="B24" s="11" t="str">
        <f>+'INGR. Y EGRE SEC CENT'!B48</f>
        <v>Otras Transferencias :</v>
      </c>
      <c r="C24" s="734">
        <f>+'INGR. Y EGRE SEC CENT'!C48</f>
        <v>0</v>
      </c>
      <c r="D24" s="748">
        <f>+'INGR. Y EGRE SEC CENT'!D48</f>
        <v>0</v>
      </c>
      <c r="E24" s="654">
        <f>+'INGR. Y EGRE SEC CENT'!E48</f>
        <v>364086789</v>
      </c>
      <c r="F24" s="748">
        <f>+'PROYECCIONES SIN PLAN DESEMPE.'!C48</f>
        <v>169066467</v>
      </c>
      <c r="G24" s="654">
        <f>+'PROYECCIONES SIN PLAN DESEMPE.'!D48</f>
        <v>0</v>
      </c>
      <c r="H24" s="748">
        <f>+'PROYECCIONES SIN PLAN DESEMPE.'!E48</f>
        <v>0</v>
      </c>
      <c r="I24" s="748">
        <f>+'PROYECCIONES SIN PLAN DESEMPE.'!F48</f>
        <v>0</v>
      </c>
      <c r="J24" s="748">
        <f>+'PROYECCIONES SIN PLAN DESEMPE.'!G48</f>
        <v>0</v>
      </c>
      <c r="K24" s="748">
        <f>+'PROYECCIONES SIN PLAN DESEMPE.'!H48</f>
        <v>0</v>
      </c>
    </row>
    <row r="25" spans="1:11" s="148" customFormat="1" ht="15">
      <c r="A25" s="399">
        <f>+'INGR. Y EGRE SEC CENT'!A89</f>
        <v>2</v>
      </c>
      <c r="B25" s="400" t="s">
        <v>534</v>
      </c>
      <c r="C25" s="792">
        <f>+C26+C51+C52</f>
        <v>0</v>
      </c>
      <c r="D25" s="793">
        <f aca="true" t="shared" si="4" ref="D25:K25">+D26+D51+D52</f>
        <v>0</v>
      </c>
      <c r="E25" s="794">
        <f t="shared" si="4"/>
        <v>2022555413</v>
      </c>
      <c r="F25" s="793">
        <f t="shared" si="4"/>
        <v>1095619723</v>
      </c>
      <c r="G25" s="794">
        <f t="shared" si="4"/>
        <v>1285677433</v>
      </c>
      <c r="H25" s="793">
        <f t="shared" si="4"/>
        <v>1536629044</v>
      </c>
      <c r="I25" s="793">
        <f t="shared" si="4"/>
        <v>1766879820</v>
      </c>
      <c r="J25" s="793">
        <f t="shared" si="4"/>
        <v>1984701404</v>
      </c>
      <c r="K25" s="793">
        <f t="shared" si="4"/>
        <v>2341112208</v>
      </c>
    </row>
    <row r="26" spans="1:11" ht="15">
      <c r="A26" s="396">
        <f>+'INGR. Y EGRE SEC CENT'!A90</f>
        <v>2.1</v>
      </c>
      <c r="B26" s="395" t="str">
        <f>+'INGR. Y EGRE SEC CENT'!B90</f>
        <v>GASTOS DE FUNCIONAMIENTO</v>
      </c>
      <c r="C26" s="786">
        <f>+C27+C40+C41</f>
        <v>0</v>
      </c>
      <c r="D26" s="787">
        <f aca="true" t="shared" si="5" ref="D26:K26">+D27+D40+D41</f>
        <v>0</v>
      </c>
      <c r="E26" s="788">
        <f t="shared" si="5"/>
        <v>1490079320</v>
      </c>
      <c r="F26" s="787">
        <f t="shared" si="5"/>
        <v>914672608</v>
      </c>
      <c r="G26" s="788">
        <f t="shared" si="5"/>
        <v>970677433</v>
      </c>
      <c r="H26" s="787">
        <f t="shared" si="5"/>
        <v>1173779044</v>
      </c>
      <c r="I26" s="787">
        <f t="shared" si="5"/>
        <v>1350292320</v>
      </c>
      <c r="J26" s="787">
        <f t="shared" si="5"/>
        <v>1505030804</v>
      </c>
      <c r="K26" s="787">
        <f t="shared" si="5"/>
        <v>1775100723</v>
      </c>
    </row>
    <row r="27" spans="1:11" ht="15">
      <c r="A27" s="396" t="str">
        <f>+'INGR. Y EGRE SEC CENT'!A91</f>
        <v>2.1.1</v>
      </c>
      <c r="B27" s="395" t="str">
        <f>+'INGR. Y EGRE SEC CENT'!B91</f>
        <v>GASTOS DE PERSONAL</v>
      </c>
      <c r="C27" s="786">
        <f>+C28+C37+C38+C39</f>
        <v>0</v>
      </c>
      <c r="D27" s="787">
        <f aca="true" t="shared" si="6" ref="D27:K27">+D28+D37+D38+D39</f>
        <v>0</v>
      </c>
      <c r="E27" s="788">
        <f t="shared" si="6"/>
        <v>1234539877</v>
      </c>
      <c r="F27" s="787">
        <f t="shared" si="6"/>
        <v>506112343</v>
      </c>
      <c r="G27" s="788">
        <f t="shared" si="6"/>
        <v>659789023</v>
      </c>
      <c r="H27" s="787">
        <f t="shared" si="6"/>
        <v>758757374</v>
      </c>
      <c r="I27" s="787">
        <f t="shared" si="6"/>
        <v>872570979</v>
      </c>
      <c r="J27" s="787">
        <f t="shared" si="6"/>
        <v>1029633758</v>
      </c>
      <c r="K27" s="787">
        <f t="shared" si="6"/>
        <v>1214967828</v>
      </c>
    </row>
    <row r="28" spans="1:11" ht="15">
      <c r="A28" s="401" t="str">
        <f>+'INGR. Y EGRE SEC CENT'!A92</f>
        <v>2.1.1.1</v>
      </c>
      <c r="B28" s="395" t="str">
        <f>+'INGR. Y EGRE SEC CENT'!B92</f>
        <v>Servicios Personales Asociados a la Nomina</v>
      </c>
      <c r="C28" s="786">
        <f>SUM(C29:C36)</f>
        <v>0</v>
      </c>
      <c r="D28" s="787">
        <f aca="true" t="shared" si="7" ref="D28:K28">SUM(D29:D36)</f>
        <v>0</v>
      </c>
      <c r="E28" s="788">
        <f t="shared" si="7"/>
        <v>1223413464</v>
      </c>
      <c r="F28" s="787">
        <f t="shared" si="7"/>
        <v>489946736</v>
      </c>
      <c r="G28" s="788">
        <f t="shared" si="7"/>
        <v>615647049</v>
      </c>
      <c r="H28" s="787">
        <f t="shared" si="7"/>
        <v>707994105</v>
      </c>
      <c r="I28" s="787">
        <f t="shared" si="7"/>
        <v>814193220</v>
      </c>
      <c r="J28" s="787">
        <f t="shared" si="7"/>
        <v>960748001</v>
      </c>
      <c r="K28" s="787">
        <f t="shared" si="7"/>
        <v>1133682635</v>
      </c>
    </row>
    <row r="29" spans="1:11" ht="15">
      <c r="A29" s="8" t="str">
        <f>+'INGR. Y EGRE SEC CENT'!A95</f>
        <v>2.1.1.1.1.1.1</v>
      </c>
      <c r="B29" s="14" t="str">
        <f>+'INGR. Y EGRE SEC CENT'!B95</f>
        <v>Educadores Financiados con Ingresos Corrientes de la Nación</v>
      </c>
      <c r="C29" s="734">
        <f>+'INGR. Y EGRE SEC CENT'!C95</f>
        <v>0</v>
      </c>
      <c r="D29" s="748">
        <f>+'INGR. Y EGRE SEC CENT'!D95</f>
        <v>0</v>
      </c>
      <c r="E29" s="654">
        <f>+'INGR. Y EGRE SEC CENT'!E95</f>
        <v>619660412</v>
      </c>
      <c r="F29" s="748">
        <f>+'PROYECCIONES SIN PLAN DESEMPE.'!C95</f>
        <v>147896924</v>
      </c>
      <c r="G29" s="654">
        <f>+'PROYECCIONES SIN PLAN DESEMPE.'!D95</f>
        <v>203747451</v>
      </c>
      <c r="H29" s="748">
        <f>+'PROYECCIONES SIN PLAN DESEMPE.'!E95</f>
        <v>234309568</v>
      </c>
      <c r="I29" s="748">
        <f>+'PROYECCIONES SIN PLAN DESEMPE.'!F95</f>
        <v>269456003</v>
      </c>
      <c r="J29" s="748">
        <f>+'PROYECCIONES SIN PLAN DESEMPE.'!G95</f>
        <v>317958084</v>
      </c>
      <c r="K29" s="748">
        <f>+'PROYECCIONES SIN PLAN DESEMPE.'!H95</f>
        <v>375190533</v>
      </c>
    </row>
    <row r="30" spans="1:11" ht="15">
      <c r="A30" s="8" t="str">
        <f>+'INGR. Y EGRE SEC CENT'!A96</f>
        <v>2.1.1.1.1.1.2</v>
      </c>
      <c r="B30" s="14" t="str">
        <f>+'INGR. Y EGRE SEC CENT'!B96</f>
        <v>Educadores Financiados con Situado Fiscal</v>
      </c>
      <c r="C30" s="734">
        <f>+'INGR. Y EGRE SEC CENT'!C96</f>
        <v>0</v>
      </c>
      <c r="D30" s="748">
        <f>+'INGR. Y EGRE SEC CENT'!D96</f>
        <v>0</v>
      </c>
      <c r="E30" s="654">
        <f>+'INGR. Y EGRE SEC CENT'!E96</f>
        <v>0</v>
      </c>
      <c r="F30" s="748">
        <f>+'PROYECCIONES SIN PLAN DESEMPE.'!C96</f>
        <v>0</v>
      </c>
      <c r="G30" s="654">
        <f>+'PROYECCIONES SIN PLAN DESEMPE.'!D96</f>
        <v>0</v>
      </c>
      <c r="H30" s="748">
        <f>+'PROYECCIONES SIN PLAN DESEMPE.'!E96</f>
        <v>0</v>
      </c>
      <c r="I30" s="748">
        <f>+'PROYECCIONES SIN PLAN DESEMPE.'!F96</f>
        <v>0</v>
      </c>
      <c r="J30" s="748">
        <f>+'PROYECCIONES SIN PLAN DESEMPE.'!G96</f>
        <v>0</v>
      </c>
      <c r="K30" s="748">
        <f>+'PROYECCIONES SIN PLAN DESEMPE.'!H96</f>
        <v>0</v>
      </c>
    </row>
    <row r="31" spans="1:11" ht="15">
      <c r="A31" s="8" t="str">
        <f>+'INGR. Y EGRE SEC CENT'!A97</f>
        <v>2.1.1.1.1.1.3</v>
      </c>
      <c r="B31" s="14" t="str">
        <f>+'INGR. Y EGRE SEC CENT'!B97</f>
        <v>Educadores Financiados con Otros Recursos</v>
      </c>
      <c r="C31" s="734">
        <f>+'INGR. Y EGRE SEC CENT'!C97</f>
        <v>0</v>
      </c>
      <c r="D31" s="748">
        <f>+'INGR. Y EGRE SEC CENT'!D97</f>
        <v>0</v>
      </c>
      <c r="E31" s="654">
        <f>+'INGR. Y EGRE SEC CENT'!E97</f>
        <v>0</v>
      </c>
      <c r="F31" s="748">
        <f>+'PROYECCIONES SIN PLAN DESEMPE.'!C97</f>
        <v>0</v>
      </c>
      <c r="G31" s="654">
        <f>+'PROYECCIONES SIN PLAN DESEMPE.'!D97</f>
        <v>0</v>
      </c>
      <c r="H31" s="748">
        <f>+'PROYECCIONES SIN PLAN DESEMPE.'!E97</f>
        <v>0</v>
      </c>
      <c r="I31" s="748">
        <f>+'PROYECCIONES SIN PLAN DESEMPE.'!F97</f>
        <v>0</v>
      </c>
      <c r="J31" s="748">
        <f>+'PROYECCIONES SIN PLAN DESEMPE.'!G97</f>
        <v>0</v>
      </c>
      <c r="K31" s="748">
        <f>+'PROYECCIONES SIN PLAN DESEMPE.'!H97</f>
        <v>0</v>
      </c>
    </row>
    <row r="32" spans="1:11" ht="15">
      <c r="A32" s="8" t="str">
        <f>+'INGR. Y EGRE SEC CENT'!A98</f>
        <v>2.1.1.1.1.2</v>
      </c>
      <c r="B32" s="14" t="str">
        <f>+'INGR. Y EGRE SEC CENT'!B98</f>
        <v>Médicos, Enfermeros(as) y Promotores de la Salud</v>
      </c>
      <c r="C32" s="734">
        <f>+'INGR. Y EGRE SEC CENT'!C98</f>
        <v>0</v>
      </c>
      <c r="D32" s="748">
        <f>+'INGR. Y EGRE SEC CENT'!D98</f>
        <v>0</v>
      </c>
      <c r="E32" s="654">
        <f>+'INGR. Y EGRE SEC CENT'!E98</f>
        <v>66121443</v>
      </c>
      <c r="F32" s="748">
        <f>+'PROYECCIONES SIN PLAN DESEMPE.'!C98</f>
        <v>99541411</v>
      </c>
      <c r="G32" s="654">
        <f>+'PROYECCIONES SIN PLAN DESEMPE.'!D98</f>
        <v>137848437</v>
      </c>
      <c r="H32" s="748">
        <f>+'PROYECCIONES SIN PLAN DESEMPE.'!E98</f>
        <v>158525702</v>
      </c>
      <c r="I32" s="748">
        <f>+'PROYECCIONES SIN PLAN DESEMPE.'!F98</f>
        <v>182304557</v>
      </c>
      <c r="J32" s="748">
        <f>+'PROYECCIONES SIN PLAN DESEMPE.'!G98</f>
        <v>215119378</v>
      </c>
      <c r="K32" s="748">
        <f>+'PROYECCIONES SIN PLAN DESEMPE.'!H98</f>
        <v>253840866</v>
      </c>
    </row>
    <row r="33" spans="1:11" ht="15">
      <c r="A33" s="8" t="str">
        <f>+'INGR. Y EGRE SEC CENT'!A99</f>
        <v>2.1.1.1.1.3</v>
      </c>
      <c r="B33" s="14" t="str">
        <f>+'INGR. Y EGRE SEC CENT'!B99</f>
        <v>Resto de Empleados Públicos</v>
      </c>
      <c r="C33" s="734">
        <f>+'INGR. Y EGRE SEC CENT'!C99</f>
        <v>0</v>
      </c>
      <c r="D33" s="748">
        <f>+'INGR. Y EGRE SEC CENT'!D99</f>
        <v>0</v>
      </c>
      <c r="E33" s="654">
        <f>+'INGR. Y EGRE SEC CENT'!E99</f>
        <v>250916691</v>
      </c>
      <c r="F33" s="748">
        <f>+'PROYECCIONES SIN PLAN DESEMPE.'!C99</f>
        <v>218146656</v>
      </c>
      <c r="G33" s="654">
        <f>+'PROYECCIONES SIN PLAN DESEMPE.'!D99</f>
        <v>265051161</v>
      </c>
      <c r="H33" s="748">
        <f>+'PROYECCIONES SIN PLAN DESEMPE.'!E99</f>
        <v>304808835</v>
      </c>
      <c r="I33" s="748">
        <f>+'PROYECCIONES SIN PLAN DESEMPE.'!F99</f>
        <v>350530160</v>
      </c>
      <c r="J33" s="748">
        <f>+'PROYECCIONES SIN PLAN DESEMPE.'!G99</f>
        <v>413625589</v>
      </c>
      <c r="K33" s="748">
        <f>+'PROYECCIONES SIN PLAN DESEMPE.'!H99</f>
        <v>488078195</v>
      </c>
    </row>
    <row r="34" spans="1:11" ht="15">
      <c r="A34" s="8" t="str">
        <f>+'INGR. Y EGRE SEC CENT'!A100</f>
        <v>2.1.1.1.2</v>
      </c>
      <c r="B34" s="14" t="str">
        <f>+'INGR. Y EGRE SEC CENT'!B100</f>
        <v>Trabajadores Oficiales</v>
      </c>
      <c r="C34" s="734">
        <f>+'INGR. Y EGRE SEC CENT'!C100</f>
        <v>0</v>
      </c>
      <c r="D34" s="748">
        <f>+'INGR. Y EGRE SEC CENT'!D100</f>
        <v>0</v>
      </c>
      <c r="E34" s="654">
        <f>+'INGR. Y EGRE SEC CENT'!E100</f>
        <v>0</v>
      </c>
      <c r="F34" s="748">
        <f>+'PROYECCIONES SIN PLAN DESEMPE.'!C100</f>
        <v>0</v>
      </c>
      <c r="G34" s="654">
        <f>+'PROYECCIONES SIN PLAN DESEMPE.'!D100</f>
        <v>0</v>
      </c>
      <c r="H34" s="748">
        <f>+'PROYECCIONES SIN PLAN DESEMPE.'!E100</f>
        <v>0</v>
      </c>
      <c r="I34" s="748">
        <f>+'PROYECCIONES SIN PLAN DESEMPE.'!F100</f>
        <v>0</v>
      </c>
      <c r="J34" s="748">
        <f>+'PROYECCIONES SIN PLAN DESEMPE.'!G100</f>
        <v>0</v>
      </c>
      <c r="K34" s="748">
        <f>+'PROYECCIONES SIN PLAN DESEMPE.'!H100</f>
        <v>0</v>
      </c>
    </row>
    <row r="35" spans="1:11" ht="15">
      <c r="A35" s="8" t="str">
        <f>+'INGR. Y EGRE SEC CENT'!A102</f>
        <v>2.1.1.2.1</v>
      </c>
      <c r="B35" s="14" t="str">
        <f>+'INGR. Y EGRE SEC CENT'!B102</f>
        <v>Supernumerarios</v>
      </c>
      <c r="C35" s="734">
        <f>+'INGR. Y EGRE SEC CENT'!C102</f>
        <v>0</v>
      </c>
      <c r="D35" s="748">
        <f>+'INGR. Y EGRE SEC CENT'!D102</f>
        <v>0</v>
      </c>
      <c r="E35" s="654">
        <f>+'INGR. Y EGRE SEC CENT'!E102</f>
        <v>112693160</v>
      </c>
      <c r="F35" s="748">
        <f>+'PROYECCIONES SIN PLAN DESEMPE.'!C102</f>
        <v>4859594</v>
      </c>
      <c r="G35" s="654">
        <f>+'PROYECCIONES SIN PLAN DESEMPE.'!D102</f>
        <v>3000000</v>
      </c>
      <c r="H35" s="748">
        <f>+'PROYECCIONES SIN PLAN DESEMPE.'!E102</f>
        <v>3450000</v>
      </c>
      <c r="I35" s="748">
        <f>+'PROYECCIONES SIN PLAN DESEMPE.'!F102</f>
        <v>3967500</v>
      </c>
      <c r="J35" s="748">
        <f>+'PROYECCIONES SIN PLAN DESEMPE.'!G102</f>
        <v>4681650</v>
      </c>
      <c r="K35" s="748">
        <f>+'PROYECCIONES SIN PLAN DESEMPE.'!H102</f>
        <v>5524347</v>
      </c>
    </row>
    <row r="36" spans="1:11" ht="15">
      <c r="A36" s="8" t="str">
        <f>+'INGR. Y EGRE SEC CENT'!A103</f>
        <v>2.1.1.2.2</v>
      </c>
      <c r="B36" s="14" t="str">
        <f>+'INGR. Y EGRE SEC CENT'!B103</f>
        <v>Contratos de Prestación de Servicios</v>
      </c>
      <c r="C36" s="734">
        <f>+'INGR. Y EGRE SEC CENT'!C103</f>
        <v>0</v>
      </c>
      <c r="D36" s="748">
        <f>+'INGR. Y EGRE SEC CENT'!D103</f>
        <v>0</v>
      </c>
      <c r="E36" s="654">
        <f>+'INGR. Y EGRE SEC CENT'!E103</f>
        <v>174021758</v>
      </c>
      <c r="F36" s="748">
        <f>+'PROYECCIONES SIN PLAN DESEMPE.'!C103</f>
        <v>19502151</v>
      </c>
      <c r="G36" s="654">
        <f>+'PROYECCIONES SIN PLAN DESEMPE.'!D103</f>
        <v>6000000</v>
      </c>
      <c r="H36" s="748">
        <f>+'PROYECCIONES SIN PLAN DESEMPE.'!E103</f>
        <v>6900000</v>
      </c>
      <c r="I36" s="748">
        <f>+'PROYECCIONES SIN PLAN DESEMPE.'!F103</f>
        <v>7935000</v>
      </c>
      <c r="J36" s="748">
        <f>+'PROYECCIONES SIN PLAN DESEMPE.'!G103</f>
        <v>9363300</v>
      </c>
      <c r="K36" s="748">
        <f>+'PROYECCIONES SIN PLAN DESEMPE.'!H103</f>
        <v>11048694</v>
      </c>
    </row>
    <row r="37" spans="1:11" ht="15">
      <c r="A37" s="8" t="str">
        <f>+'INGR. Y EGRE SEC CENT'!A104</f>
        <v>2.1.1.3</v>
      </c>
      <c r="B37" s="12" t="str">
        <f>+'INGR. Y EGRE SEC CENT'!B104</f>
        <v>Contribuciones inherentes a la nomina :</v>
      </c>
      <c r="C37" s="734">
        <f>+'INGR. Y EGRE SEC CENT'!C104-'INGR. Y EGRE SEC CENT'!C112</f>
        <v>0</v>
      </c>
      <c r="D37" s="748">
        <f>+'INGR. Y EGRE SEC CENT'!D104-'INGR. Y EGRE SEC CENT'!D112</f>
        <v>0</v>
      </c>
      <c r="E37" s="654">
        <f>+'INGR. Y EGRE SEC CENT'!E104-'INGR. Y EGRE SEC CENT'!E112</f>
        <v>10582176</v>
      </c>
      <c r="F37" s="748">
        <f>+'PROYECCIONES SIN PLAN DESEMPE.'!C104-'PROYECCIONES SIN PLAN DESEMPE.'!C112</f>
        <v>9999851</v>
      </c>
      <c r="G37" s="654">
        <f>+'PROYECCIONES SIN PLAN DESEMPE.'!D104-'PROYECCIONES SIN PLAN DESEMPE.'!D112</f>
        <v>20200564</v>
      </c>
      <c r="H37" s="748">
        <f>+'PROYECCIONES SIN PLAN DESEMPE.'!E104-'PROYECCIONES SIN PLAN DESEMPE.'!E112</f>
        <v>23230648</v>
      </c>
      <c r="I37" s="748">
        <f>+'PROYECCIONES SIN PLAN DESEMPE.'!F104-'PROYECCIONES SIN PLAN DESEMPE.'!F112</f>
        <v>26715245</v>
      </c>
      <c r="J37" s="748">
        <f>+'PROYECCIONES SIN PLAN DESEMPE.'!G104-'PROYECCIONES SIN PLAN DESEMPE.'!G112</f>
        <v>31523990</v>
      </c>
      <c r="K37" s="748">
        <f>+'PROYECCIONES SIN PLAN DESEMPE.'!H104-'PROYECCIONES SIN PLAN DESEMPE.'!H112</f>
        <v>37198308</v>
      </c>
    </row>
    <row r="38" spans="1:11" ht="15">
      <c r="A38" s="8" t="str">
        <f>+'INGR. Y EGRE SEC CENT'!A112</f>
        <v>2.1.1.3.2</v>
      </c>
      <c r="B38" s="12" t="str">
        <f>+'INGR. Y EGRE SEC CENT'!B112</f>
        <v>Aportes Legales (Sena, ICBF, Cajas Compensación, etc)</v>
      </c>
      <c r="C38" s="734">
        <f>+'INGR. Y EGRE SEC CENT'!C112</f>
        <v>0</v>
      </c>
      <c r="D38" s="748">
        <f>+'INGR. Y EGRE SEC CENT'!D112</f>
        <v>0</v>
      </c>
      <c r="E38" s="654">
        <f>+'INGR. Y EGRE SEC CENT'!E112</f>
        <v>544237</v>
      </c>
      <c r="F38" s="748">
        <f>+'PROYECCIONES SIN PLAN DESEMPE.'!C112</f>
        <v>6165756</v>
      </c>
      <c r="G38" s="654">
        <f>+'PROYECCIONES SIN PLAN DESEMPE.'!D112</f>
        <v>23941410</v>
      </c>
      <c r="H38" s="748">
        <f>+'PROYECCIONES SIN PLAN DESEMPE.'!E112</f>
        <v>27532621</v>
      </c>
      <c r="I38" s="748">
        <f>+'PROYECCIONES SIN PLAN DESEMPE.'!F112</f>
        <v>31662514</v>
      </c>
      <c r="J38" s="748">
        <f>+'PROYECCIONES SIN PLAN DESEMPE.'!G112</f>
        <v>37361767</v>
      </c>
      <c r="K38" s="748">
        <f>+'PROYECCIONES SIN PLAN DESEMPE.'!H112</f>
        <v>44086885</v>
      </c>
    </row>
    <row r="39" spans="1:11" ht="15">
      <c r="A39" s="8" t="str">
        <f>+'INGR. Y EGRE SEC CENT'!A113</f>
        <v>2.1.1.4</v>
      </c>
      <c r="B39" s="12" t="str">
        <f>+'INGR. Y EGRE SEC CENT'!B113</f>
        <v>Planes de Retiro</v>
      </c>
      <c r="C39" s="734">
        <f>+'INGR. Y EGRE SEC CENT'!C113</f>
        <v>0</v>
      </c>
      <c r="D39" s="748">
        <f>+'INGR. Y EGRE SEC CENT'!D113</f>
        <v>0</v>
      </c>
      <c r="E39" s="654">
        <f>+'INGR. Y EGRE SEC CENT'!E113</f>
        <v>0</v>
      </c>
      <c r="F39" s="748">
        <f>+'PROYECCIONES SIN PLAN DESEMPE.'!C113</f>
        <v>0</v>
      </c>
      <c r="G39" s="654">
        <f>+'PROYECCIONES SIN PLAN DESEMPE.'!D113</f>
        <v>0</v>
      </c>
      <c r="H39" s="748">
        <f>+'PROYECCIONES SIN PLAN DESEMPE.'!E113</f>
        <v>0</v>
      </c>
      <c r="I39" s="795">
        <f>+'PROYECCIONES SIN PLAN DESEMPE.'!F113</f>
        <v>0</v>
      </c>
      <c r="J39" s="795">
        <f>+'PROYECCIONES SIN PLAN DESEMPE.'!G113</f>
        <v>0</v>
      </c>
      <c r="K39" s="748">
        <f>+'PROYECCIONES SIN PLAN DESEMPE.'!H113</f>
        <v>0</v>
      </c>
    </row>
    <row r="40" spans="1:11" ht="15">
      <c r="A40" s="9" t="str">
        <f>+'INGR. Y EGRE SEC CENT'!A114</f>
        <v>2.1.2</v>
      </c>
      <c r="B40" s="12" t="str">
        <f>+'INGR. Y EGRE SEC CENT'!B114</f>
        <v>GASTOS GENERALES</v>
      </c>
      <c r="C40" s="734">
        <f>+'INGR. Y EGRE SEC CENT'!C114</f>
        <v>0</v>
      </c>
      <c r="D40" s="748">
        <f>+'INGR. Y EGRE SEC CENT'!D114</f>
        <v>0</v>
      </c>
      <c r="E40" s="654">
        <f>+'INGR. Y EGRE SEC CENT'!E114</f>
        <v>251325822</v>
      </c>
      <c r="F40" s="748">
        <f>+'PROYECCIONES SIN PLAN DESEMPE.'!C114</f>
        <v>133719616</v>
      </c>
      <c r="G40" s="654">
        <f>+'PROYECCIONES SIN PLAN DESEMPE.'!D114</f>
        <v>93500000</v>
      </c>
      <c r="H40" s="748">
        <f>+'PROYECCIONES SIN PLAN DESEMPE.'!E114</f>
        <v>107525000</v>
      </c>
      <c r="I40" s="748">
        <f>+'PROYECCIONES SIN PLAN DESEMPE.'!F114</f>
        <v>123653750</v>
      </c>
      <c r="J40" s="748">
        <f>+'PROYECCIONES SIN PLAN DESEMPE.'!G114</f>
        <v>145911425</v>
      </c>
      <c r="K40" s="748">
        <f>+'PROYECCIONES SIN PLAN DESEMPE.'!H114</f>
        <v>172175481</v>
      </c>
    </row>
    <row r="41" spans="1:11" ht="15">
      <c r="A41" s="396" t="str">
        <f>+'INGR. Y EGRE SEC CENT'!A118</f>
        <v>2.1.3</v>
      </c>
      <c r="B41" s="395" t="str">
        <f>+'INGR. Y EGRE SEC CENT'!B118</f>
        <v>TRANSFERENCIAS DEL MUNICIPIO</v>
      </c>
      <c r="C41" s="786">
        <f>+C42+C48+C49+C50</f>
        <v>0</v>
      </c>
      <c r="D41" s="787">
        <f aca="true" t="shared" si="8" ref="D41:K41">+D42+D48+D49+D50</f>
        <v>0</v>
      </c>
      <c r="E41" s="788">
        <f t="shared" si="8"/>
        <v>4213621</v>
      </c>
      <c r="F41" s="787">
        <f t="shared" si="8"/>
        <v>274840649</v>
      </c>
      <c r="G41" s="788">
        <f t="shared" si="8"/>
        <v>217388410</v>
      </c>
      <c r="H41" s="787">
        <f t="shared" si="8"/>
        <v>307496670</v>
      </c>
      <c r="I41" s="787">
        <f t="shared" si="8"/>
        <v>354067591</v>
      </c>
      <c r="J41" s="787">
        <f t="shared" si="8"/>
        <v>329485621</v>
      </c>
      <c r="K41" s="787">
        <f t="shared" si="8"/>
        <v>387957414</v>
      </c>
    </row>
    <row r="42" spans="1:11" ht="15">
      <c r="A42" s="396" t="str">
        <f>+'INGR. Y EGRE SEC CENT'!A119</f>
        <v>2.1.3.1</v>
      </c>
      <c r="B42" s="395" t="str">
        <f>+'INGR. Y EGRE SEC CENT'!B119</f>
        <v>Transferencias al Sector Público</v>
      </c>
      <c r="C42" s="786">
        <f aca="true" t="shared" si="9" ref="C42:K42">SUM(C43:C47)</f>
        <v>0</v>
      </c>
      <c r="D42" s="787">
        <f t="shared" si="9"/>
        <v>0</v>
      </c>
      <c r="E42" s="788">
        <f t="shared" si="9"/>
        <v>4213621</v>
      </c>
      <c r="F42" s="787">
        <f t="shared" si="9"/>
        <v>214912607</v>
      </c>
      <c r="G42" s="788">
        <f t="shared" si="9"/>
        <v>134510910</v>
      </c>
      <c r="H42" s="787">
        <f t="shared" si="9"/>
        <v>212187545</v>
      </c>
      <c r="I42" s="787">
        <f t="shared" si="9"/>
        <v>244462098</v>
      </c>
      <c r="J42" s="787">
        <f t="shared" si="9"/>
        <v>200151140</v>
      </c>
      <c r="K42" s="787">
        <f t="shared" si="9"/>
        <v>235342726</v>
      </c>
    </row>
    <row r="43" spans="1:11" ht="15">
      <c r="A43" s="9" t="str">
        <f>+'INGR. Y EGRE SEC CENT'!A120</f>
        <v>2.1.3.1.1</v>
      </c>
      <c r="B43" s="14" t="str">
        <f>+'INGR. Y EGRE SEC CENT'!B120</f>
        <v>Concejo</v>
      </c>
      <c r="C43" s="734">
        <f>+'INGR. Y EGRE SEC CENT'!C120</f>
        <v>0</v>
      </c>
      <c r="D43" s="748">
        <f>+'INGR. Y EGRE SEC CENT'!D120</f>
        <v>0</v>
      </c>
      <c r="E43" s="654">
        <f>+'INGR. Y EGRE SEC CENT'!E120</f>
        <v>0</v>
      </c>
      <c r="F43" s="748">
        <f>+'PROYECCIONES SIN PLAN DESEMPE.'!C120</f>
        <v>73319003</v>
      </c>
      <c r="G43" s="654">
        <f>+'PROYECCIONES SIN PLAN DESEMPE.'!D120</f>
        <v>39811249</v>
      </c>
      <c r="H43" s="748">
        <f>+'PROYECCIONES SIN PLAN DESEMPE.'!E120</f>
        <v>103282936</v>
      </c>
      <c r="I43" s="748">
        <f>+'PROYECCIONES SIN PLAN DESEMPE.'!F120</f>
        <v>118775376</v>
      </c>
      <c r="J43" s="748">
        <f>+'PROYECCIONES SIN PLAN DESEMPE.'!G120</f>
        <v>140154944</v>
      </c>
      <c r="K43" s="748">
        <f>+'PROYECCIONES SIN PLAN DESEMPE.'!H120</f>
        <v>165382834</v>
      </c>
    </row>
    <row r="44" spans="1:11" ht="15">
      <c r="A44" s="9" t="str">
        <f>+'INGR. Y EGRE SEC CENT'!A121</f>
        <v>2.1.3.1.2</v>
      </c>
      <c r="B44" s="14" t="str">
        <f>+'INGR. Y EGRE SEC CENT'!B121</f>
        <v>Personería</v>
      </c>
      <c r="C44" s="734">
        <f>+'INGR. Y EGRE SEC CENT'!C121</f>
        <v>0</v>
      </c>
      <c r="D44" s="748">
        <f>+'INGR. Y EGRE SEC CENT'!D121</f>
        <v>0</v>
      </c>
      <c r="E44" s="654">
        <f>+'INGR. Y EGRE SEC CENT'!E121</f>
        <v>0</v>
      </c>
      <c r="F44" s="748">
        <f>+'PROYECCIONES SIN PLAN DESEMPE.'!C121</f>
        <v>42837693</v>
      </c>
      <c r="G44" s="654">
        <f>+'PROYECCIONES SIN PLAN DESEMPE.'!D121</f>
        <v>37991762</v>
      </c>
      <c r="H44" s="748">
        <f>+'PROYECCIONES SIN PLAN DESEMPE.'!E121</f>
        <v>43690526</v>
      </c>
      <c r="I44" s="748">
        <f>+'PROYECCIONES SIN PLAN DESEMPE.'!F121</f>
        <v>50690526</v>
      </c>
      <c r="J44" s="748">
        <f>+'PROYECCIONES SIN PLAN DESEMPE.'!G121</f>
        <v>59996196</v>
      </c>
      <c r="K44" s="748">
        <f>+'PROYECCIONES SIN PLAN DESEMPE.'!H121</f>
        <v>69959892</v>
      </c>
    </row>
    <row r="45" spans="1:11" ht="15">
      <c r="A45" s="9" t="str">
        <f>+'INGR. Y EGRE SEC CENT'!A122</f>
        <v>2.1.3.1.3</v>
      </c>
      <c r="B45" s="14" t="str">
        <f>+'INGR. Y EGRE SEC CENT'!B122</f>
        <v>Contraloría</v>
      </c>
      <c r="C45" s="734">
        <f>+'INGR. Y EGRE SEC CENT'!C122</f>
        <v>0</v>
      </c>
      <c r="D45" s="748">
        <f>+'INGR. Y EGRE SEC CENT'!D122</f>
        <v>0</v>
      </c>
      <c r="E45" s="654">
        <f>+'INGR. Y EGRE SEC CENT'!E122</f>
        <v>4213621</v>
      </c>
      <c r="F45" s="748">
        <f>+'PROYECCIONES SIN PLAN DESEMPE.'!C122</f>
        <v>61239323</v>
      </c>
      <c r="G45" s="654">
        <f>+'PROYECCIONES SIN PLAN DESEMPE.'!D122</f>
        <v>56707899</v>
      </c>
      <c r="H45" s="748">
        <f>+'PROYECCIONES SIN PLAN DESEMPE.'!E122</f>
        <v>65214083</v>
      </c>
      <c r="I45" s="748">
        <f>+'PROYECCIONES SIN PLAN DESEMPE.'!F122</f>
        <v>74996196</v>
      </c>
      <c r="J45" s="748">
        <f>+'PROYECCIONES SIN PLAN DESEMPE.'!G122</f>
        <v>0</v>
      </c>
      <c r="K45" s="748">
        <f>+'PROYECCIONES SIN PLAN DESEMPE.'!H122</f>
        <v>0</v>
      </c>
    </row>
    <row r="46" spans="1:11" ht="15">
      <c r="A46" s="9" t="str">
        <f>+'INGR. Y EGRE SEC CENT'!A123</f>
        <v>2.1.3.1.4</v>
      </c>
      <c r="B46" s="14" t="str">
        <f>+'INGR. Y EGRE SEC CENT'!B123</f>
        <v>Entidades Descentralizadas (Especificar en Anexo)</v>
      </c>
      <c r="C46" s="734">
        <f>+'INGR. Y EGRE SEC CENT'!C123</f>
        <v>0</v>
      </c>
      <c r="D46" s="748">
        <f>+'INGR. Y EGRE SEC CENT'!D123</f>
        <v>0</v>
      </c>
      <c r="E46" s="654">
        <f>+'INGR. Y EGRE SEC CENT'!E123</f>
        <v>0</v>
      </c>
      <c r="F46" s="748">
        <f>+'PROYECCIONES SIN PLAN DESEMPE.'!C123</f>
        <v>0</v>
      </c>
      <c r="G46" s="654">
        <f>+'PROYECCIONES SIN PLAN DESEMPE.'!D123</f>
        <v>0</v>
      </c>
      <c r="H46" s="748">
        <f>+'PROYECCIONES SIN PLAN DESEMPE.'!E123</f>
        <v>0</v>
      </c>
      <c r="I46" s="748">
        <f>+'PROYECCIONES SIN PLAN DESEMPE.'!F123</f>
        <v>0</v>
      </c>
      <c r="J46" s="748">
        <f>+'PROYECCIONES SIN PLAN DESEMPE.'!G123</f>
        <v>0</v>
      </c>
      <c r="K46" s="748">
        <f>+'PROYECCIONES SIN PLAN DESEMPE.'!H123</f>
        <v>0</v>
      </c>
    </row>
    <row r="47" spans="1:11" ht="15">
      <c r="A47" s="9" t="str">
        <f>+'INGR. Y EGRE SEC CENT'!A124</f>
        <v>2.1.3.1.5</v>
      </c>
      <c r="B47" s="14" t="str">
        <f>+'INGR. Y EGRE SEC CENT'!B124</f>
        <v>Otras Entidades (Especificar en Anexo)</v>
      </c>
      <c r="C47" s="734">
        <f>+'INGR. Y EGRE SEC CENT'!C124</f>
        <v>0</v>
      </c>
      <c r="D47" s="748">
        <f>+'INGR. Y EGRE SEC CENT'!D124</f>
        <v>0</v>
      </c>
      <c r="E47" s="654">
        <f>+'INGR. Y EGRE SEC CENT'!E124</f>
        <v>0</v>
      </c>
      <c r="F47" s="748">
        <f>+'PROYECCIONES SIN PLAN DESEMPE.'!C124</f>
        <v>37516588</v>
      </c>
      <c r="G47" s="654">
        <f>+'PROYECCIONES SIN PLAN DESEMPE.'!D124</f>
        <v>0</v>
      </c>
      <c r="H47" s="748">
        <f>+'PROYECCIONES SIN PLAN DESEMPE.'!E124</f>
        <v>0</v>
      </c>
      <c r="I47" s="748">
        <f>+'PROYECCIONES SIN PLAN DESEMPE.'!F124</f>
        <v>0</v>
      </c>
      <c r="J47" s="748">
        <f>+'PROYECCIONES SIN PLAN DESEMPE.'!G124</f>
        <v>0</v>
      </c>
      <c r="K47" s="748">
        <f>+'PROYECCIONES SIN PLAN DESEMPE.'!H124</f>
        <v>0</v>
      </c>
    </row>
    <row r="48" spans="1:11" s="150" customFormat="1" ht="15.75">
      <c r="A48" s="396" t="str">
        <f>+'INGR. Y EGRE SEC CENT'!A125</f>
        <v>2.1.3.2</v>
      </c>
      <c r="B48" s="395" t="str">
        <f>+'INGR. Y EGRE SEC CENT'!B125</f>
        <v>Transferencias al Fondo Territorial de Pensiones</v>
      </c>
      <c r="C48" s="786">
        <f>+'INGR. Y EGRE SEC CENT'!C125</f>
        <v>0</v>
      </c>
      <c r="D48" s="787">
        <f>+'INGR. Y EGRE SEC CENT'!D125</f>
        <v>0</v>
      </c>
      <c r="E48" s="788">
        <f>+'INGR. Y EGRE SEC CENT'!E125</f>
        <v>0</v>
      </c>
      <c r="F48" s="787">
        <f>+'PROYECCIONES SIN PLAN DESEMPE.'!C125</f>
        <v>37368968</v>
      </c>
      <c r="G48" s="788">
        <f>+'PROYECCIONES SIN PLAN DESEMPE.'!D125</f>
        <v>53877500</v>
      </c>
      <c r="H48" s="787">
        <f>+'PROYECCIONES SIN PLAN DESEMPE.'!E125</f>
        <v>61959125</v>
      </c>
      <c r="I48" s="787">
        <f>+'PROYECCIONES SIN PLAN DESEMPE.'!F125</f>
        <v>71252993</v>
      </c>
      <c r="J48" s="787">
        <f>+'PROYECCIONES SIN PLAN DESEMPE.'!G125</f>
        <v>84078531</v>
      </c>
      <c r="K48" s="787">
        <f>+'PROYECCIONES SIN PLAN DESEMPE.'!H125</f>
        <v>99212667</v>
      </c>
    </row>
    <row r="49" spans="1:11" s="150" customFormat="1" ht="15.75">
      <c r="A49" s="396" t="str">
        <f>+'INGR. Y EGRE SEC CENT'!A131</f>
        <v>2.1.3.1.3</v>
      </c>
      <c r="B49" s="395" t="str">
        <f>+'INGR. Y EGRE SEC CENT'!B131</f>
        <v>Transferencias al Fondo Territorial de Cesantías (Provisiones)</v>
      </c>
      <c r="C49" s="786">
        <f>+'INGR. Y EGRE SEC CENT'!C131</f>
        <v>0</v>
      </c>
      <c r="D49" s="787">
        <f>+'INGR. Y EGRE SEC CENT'!D131</f>
        <v>0</v>
      </c>
      <c r="E49" s="788">
        <f>+'INGR. Y EGRE SEC CENT'!E131</f>
        <v>0</v>
      </c>
      <c r="F49" s="787">
        <f>+'PROYECCIONES SIN PLAN DESEMPE.'!C131</f>
        <v>21559074</v>
      </c>
      <c r="G49" s="788">
        <f>+'PROYECCIONES SIN PLAN DESEMPE.'!D131</f>
        <v>22000000</v>
      </c>
      <c r="H49" s="787">
        <f>+'PROYECCIONES SIN PLAN DESEMPE.'!E131</f>
        <v>25300000</v>
      </c>
      <c r="I49" s="787">
        <f>+'PROYECCIONES SIN PLAN DESEMPE.'!F131</f>
        <v>29095000</v>
      </c>
      <c r="J49" s="787">
        <f>+'PROYECCIONES SIN PLAN DESEMPE.'!G131</f>
        <v>34332100</v>
      </c>
      <c r="K49" s="787">
        <f>+'PROYECCIONES SIN PLAN DESEMPE.'!H131</f>
        <v>40511878</v>
      </c>
    </row>
    <row r="50" spans="1:11" ht="15">
      <c r="A50" s="9" t="str">
        <f>+'INGR. Y EGRE SEC CENT'!A137</f>
        <v>2.1.3.1.2</v>
      </c>
      <c r="B50" s="12" t="str">
        <f>+'INGR. Y EGRE SEC CENT'!B137</f>
        <v>Otras Transferencias</v>
      </c>
      <c r="C50" s="734">
        <f>+'INGR. Y EGRE SEC CENT'!C137</f>
        <v>0</v>
      </c>
      <c r="D50" s="748">
        <f>+'INGR. Y EGRE SEC CENT'!D137</f>
        <v>0</v>
      </c>
      <c r="E50" s="654">
        <f>+'INGR. Y EGRE SEC CENT'!E137</f>
        <v>0</v>
      </c>
      <c r="F50" s="748">
        <f>+'PROYECCIONES SIN PLAN DESEMPE.'!C137</f>
        <v>1000000</v>
      </c>
      <c r="G50" s="654">
        <f>+'PROYECCIONES SIN PLAN DESEMPE.'!D137</f>
        <v>7000000</v>
      </c>
      <c r="H50" s="748">
        <f>+'PROYECCIONES SIN PLAN DESEMPE.'!E137</f>
        <v>8050000</v>
      </c>
      <c r="I50" s="748">
        <f>+'PROYECCIONES SIN PLAN DESEMPE.'!F137</f>
        <v>9257500</v>
      </c>
      <c r="J50" s="748">
        <f>+'PROYECCIONES SIN PLAN DESEMPE.'!G137</f>
        <v>10923850</v>
      </c>
      <c r="K50" s="748">
        <f>+'PROYECCIONES SIN PLAN DESEMPE.'!H137</f>
        <v>12890143</v>
      </c>
    </row>
    <row r="51" spans="1:11" ht="15">
      <c r="A51" s="9" t="str">
        <f>+'INGR. Y EGRE SEC CENT'!A155</f>
        <v>2.4.1</v>
      </c>
      <c r="B51" s="340" t="s">
        <v>535</v>
      </c>
      <c r="C51" s="734">
        <f>+'INGR. Y EGRE SEC CENT'!C155</f>
        <v>0</v>
      </c>
      <c r="D51" s="748">
        <f>+'INGR. Y EGRE SEC CENT'!D155</f>
        <v>0</v>
      </c>
      <c r="E51" s="654">
        <f>+'INGR. Y EGRE SEC CENT'!E155</f>
        <v>93648713</v>
      </c>
      <c r="F51" s="748">
        <f>+'PROYECCIONES SIN PLAN DESEMPE.'!C155</f>
        <v>13400425</v>
      </c>
      <c r="G51" s="654">
        <f>+'PROYECCIONES SIN PLAN DESEMPE.'!D155</f>
        <v>15000000</v>
      </c>
      <c r="H51" s="748">
        <f>+'PROYECCIONES SIN PLAN DESEMPE.'!E155</f>
        <v>17850000</v>
      </c>
      <c r="I51" s="748">
        <f>+'PROYECCIONES SIN PLAN DESEMPE.'!F155</f>
        <v>19837500</v>
      </c>
      <c r="J51" s="748">
        <f>+'PROYECCIONES SIN PLAN DESEMPE.'!G155</f>
        <v>23408250</v>
      </c>
      <c r="K51" s="748">
        <f>+'PROYECCIONES SIN PLAN DESEMPE.'!H155</f>
        <v>27621735</v>
      </c>
    </row>
    <row r="52" spans="1:11" ht="14.25" customHeight="1">
      <c r="A52" s="401" t="str">
        <f>+'INGR. Y EGRE SEC CENT'!A146</f>
        <v>2.2.2 </v>
      </c>
      <c r="B52" s="395" t="str">
        <f>+'INGR. Y EGRE SEC CENT'!B146</f>
        <v>INTERESES  DE LA DEUDA</v>
      </c>
      <c r="C52" s="786">
        <f>SUM(C53:C55)</f>
        <v>0</v>
      </c>
      <c r="D52" s="787">
        <f>SUM(D53:D55)</f>
        <v>0</v>
      </c>
      <c r="E52" s="788">
        <f>SUM(E53:E55)</f>
        <v>438827380</v>
      </c>
      <c r="F52" s="787">
        <f aca="true" t="shared" si="10" ref="F52:K52">SUM(F53:F56)</f>
        <v>167546690</v>
      </c>
      <c r="G52" s="788">
        <f t="shared" si="10"/>
        <v>300000000</v>
      </c>
      <c r="H52" s="787">
        <f t="shared" si="10"/>
        <v>345000000</v>
      </c>
      <c r="I52" s="787">
        <f t="shared" si="10"/>
        <v>396750000</v>
      </c>
      <c r="J52" s="787">
        <f t="shared" si="10"/>
        <v>456262350</v>
      </c>
      <c r="K52" s="787">
        <f t="shared" si="10"/>
        <v>538389750</v>
      </c>
    </row>
    <row r="53" spans="1:11" ht="15">
      <c r="A53" s="8" t="str">
        <f>+'INGR. Y EGRE SEC CENT'!A147</f>
        <v>2.2.2.1</v>
      </c>
      <c r="B53" s="14" t="str">
        <f>+'INGR. Y EGRE SEC CENT'!B147</f>
        <v>Intereses  Deuda Interna Vigente</v>
      </c>
      <c r="C53" s="734">
        <f>+'INGR. Y EGRE SEC CENT'!C147</f>
        <v>0</v>
      </c>
      <c r="D53" s="748">
        <f>+'INGR. Y EGRE SEC CENT'!D147</f>
        <v>0</v>
      </c>
      <c r="E53" s="654">
        <f>+'INGR. Y EGRE SEC CENT'!E147</f>
        <v>438827380</v>
      </c>
      <c r="F53" s="748">
        <f>+'PROYECCIONES SIN PLAN DESEMPE.'!C147</f>
        <v>167546690</v>
      </c>
      <c r="G53" s="654">
        <f>+'PROYECCIONES SIN PLAN DESEMPE.'!D147</f>
        <v>300000000</v>
      </c>
      <c r="H53" s="748">
        <f>+'PROYECCIONES SIN PLAN DESEMPE.'!E147</f>
        <v>345000000</v>
      </c>
      <c r="I53" s="748">
        <f>+'PROYECCIONES SIN PLAN DESEMPE.'!F147</f>
        <v>396750000</v>
      </c>
      <c r="J53" s="748">
        <f>+'PROYECCIONES SIN PLAN DESEMPE.'!G147</f>
        <v>456262350</v>
      </c>
      <c r="K53" s="748">
        <f>+'PROYECCIONES SIN PLAN DESEMPE.'!H147</f>
        <v>538389750</v>
      </c>
    </row>
    <row r="54" spans="1:11" ht="15">
      <c r="A54" s="8" t="str">
        <f>+'INGR. Y EGRE SEC CENT'!A148</f>
        <v>2.2.2.2</v>
      </c>
      <c r="B54" s="14" t="str">
        <f>+'INGR. Y EGRE SEC CENT'!B148</f>
        <v>Intereses  Deuda Externa</v>
      </c>
      <c r="C54" s="734">
        <f>+'INGR. Y EGRE SEC CENT'!C148</f>
        <v>0</v>
      </c>
      <c r="D54" s="748">
        <f>+'INGR. Y EGRE SEC CENT'!D148</f>
        <v>0</v>
      </c>
      <c r="E54" s="654">
        <f>+'INGR. Y EGRE SEC CENT'!E148</f>
        <v>0</v>
      </c>
      <c r="F54" s="748">
        <f>+'PROYECCIONES SIN PLAN DESEMPE.'!C148</f>
        <v>0</v>
      </c>
      <c r="G54" s="654">
        <f>+'PROYECCIONES SIN PLAN DESEMPE.'!D148</f>
        <v>0</v>
      </c>
      <c r="H54" s="748">
        <f>+'PROYECCIONES SIN PLAN DESEMPE.'!E148</f>
        <v>0</v>
      </c>
      <c r="I54" s="748">
        <f>+'PROYECCIONES SIN PLAN DESEMPE.'!F148</f>
        <v>0</v>
      </c>
      <c r="J54" s="748">
        <f>+'PROYECCIONES SIN PLAN DESEMPE.'!G148</f>
        <v>0</v>
      </c>
      <c r="K54" s="748">
        <f>+'PROYECCIONES SIN PLAN DESEMPE.'!H148</f>
        <v>0</v>
      </c>
    </row>
    <row r="55" spans="1:11" ht="15">
      <c r="A55" s="8" t="str">
        <f>+'INGR. Y EGRE SEC CENT'!A149</f>
        <v>2.2.2.3</v>
      </c>
      <c r="B55" s="14" t="str">
        <f>+'INGR. Y EGRE SEC CENT'!B149</f>
        <v>Intereses  Deuda Corto Plazo, Sobregiros, Tesorería y otros</v>
      </c>
      <c r="C55" s="734">
        <f>+'INGR. Y EGRE SEC CENT'!C149</f>
        <v>0</v>
      </c>
      <c r="D55" s="748">
        <f>+'INGR. Y EGRE SEC CENT'!D149</f>
        <v>0</v>
      </c>
      <c r="E55" s="654">
        <f>+'INGR. Y EGRE SEC CENT'!E149</f>
        <v>0</v>
      </c>
      <c r="F55" s="748">
        <f>+'PROYECCIONES SIN PLAN DESEMPE.'!C149</f>
        <v>0</v>
      </c>
      <c r="G55" s="654">
        <f>+'PROYECCIONES SIN PLAN DESEMPE.'!D149</f>
        <v>0</v>
      </c>
      <c r="H55" s="748">
        <f>+'PROYECCIONES SIN PLAN DESEMPE.'!E149</f>
        <v>0</v>
      </c>
      <c r="I55" s="748">
        <f>+'PROYECCIONES SIN PLAN DESEMPE.'!F149</f>
        <v>0</v>
      </c>
      <c r="J55" s="748">
        <f>+'PROYECCIONES SIN PLAN DESEMPE.'!G149</f>
        <v>0</v>
      </c>
      <c r="K55" s="748">
        <f>+'PROYECCIONES SIN PLAN DESEMPE.'!H149</f>
        <v>0</v>
      </c>
    </row>
    <row r="56" spans="1:11" ht="15.75" thickBot="1">
      <c r="A56" s="8" t="str">
        <f>+'INGR. Y EGRE SEC CENT'!A150</f>
        <v>2.2.2.4</v>
      </c>
      <c r="B56" s="14" t="str">
        <f>+'INGR. Y EGRE SEC CENT'!B150</f>
        <v>Intereses del nuevo crédito (Diligenciar sólo en el formato de proyecciones)</v>
      </c>
      <c r="C56" s="796"/>
      <c r="D56" s="797"/>
      <c r="E56" s="798"/>
      <c r="F56" s="748">
        <f>+'PROYECCIONES SIN PLAN DESEMPE.'!C150</f>
        <v>0</v>
      </c>
      <c r="G56" s="654">
        <f>+'PROYECCIONES SIN PLAN DESEMPE.'!D150</f>
        <v>0</v>
      </c>
      <c r="H56" s="748">
        <f>+'PROYECCIONES SIN PLAN DESEMPE.'!E150</f>
        <v>0</v>
      </c>
      <c r="I56" s="748">
        <f>+'PROYECCIONES SIN PLAN DESEMPE.'!F150</f>
        <v>0</v>
      </c>
      <c r="J56" s="748">
        <f>+'PROYECCIONES SIN PLAN DESEMPE.'!G150</f>
        <v>0</v>
      </c>
      <c r="K56" s="748">
        <f>+'PROYECCIONES SIN PLAN DESEMPE.'!H150</f>
        <v>0</v>
      </c>
    </row>
    <row r="57" spans="1:19" s="576" customFormat="1" ht="23.25" customHeight="1" thickBot="1">
      <c r="A57" s="397"/>
      <c r="B57" s="811" t="s">
        <v>536</v>
      </c>
      <c r="C57" s="803">
        <f aca="true" t="shared" si="11" ref="C57:K57">+C6-C25</f>
        <v>0</v>
      </c>
      <c r="D57" s="804">
        <f t="shared" si="11"/>
        <v>0</v>
      </c>
      <c r="E57" s="805">
        <f t="shared" si="11"/>
        <v>1976151974</v>
      </c>
      <c r="F57" s="804">
        <f t="shared" si="11"/>
        <v>880200617</v>
      </c>
      <c r="G57" s="805">
        <f t="shared" si="11"/>
        <v>788009567</v>
      </c>
      <c r="H57" s="804">
        <f t="shared" si="11"/>
        <v>744276388</v>
      </c>
      <c r="I57" s="804">
        <f t="shared" si="11"/>
        <v>758561337</v>
      </c>
      <c r="J57" s="804">
        <f t="shared" si="11"/>
        <v>841223655</v>
      </c>
      <c r="K57" s="804">
        <f t="shared" si="11"/>
        <v>851135232</v>
      </c>
      <c r="L57" s="574"/>
      <c r="M57" s="575"/>
      <c r="N57" s="575"/>
      <c r="O57" s="575"/>
      <c r="P57" s="575"/>
      <c r="Q57" s="575"/>
      <c r="R57" s="575"/>
      <c r="S57" s="574"/>
    </row>
    <row r="58" spans="1:11" ht="15">
      <c r="A58" s="402">
        <f>+'INGR. Y EGRE SEC CENT'!A53</f>
        <v>1.2</v>
      </c>
      <c r="B58" s="403" t="str">
        <f>+'INGR. Y EGRE SEC CENT'!B53</f>
        <v>RECURSOS  DE CAPITAL</v>
      </c>
      <c r="C58" s="799">
        <f>SUM(C59:C67)</f>
        <v>0</v>
      </c>
      <c r="D58" s="800">
        <f aca="true" t="shared" si="12" ref="D58:K58">SUM(D59:D67)</f>
        <v>0</v>
      </c>
      <c r="E58" s="801">
        <f t="shared" si="12"/>
        <v>0</v>
      </c>
      <c r="F58" s="800">
        <f t="shared" si="12"/>
        <v>47153108</v>
      </c>
      <c r="G58" s="801">
        <f t="shared" si="12"/>
        <v>208098485</v>
      </c>
      <c r="H58" s="800">
        <f t="shared" si="12"/>
        <v>239313257</v>
      </c>
      <c r="I58" s="800">
        <f t="shared" si="12"/>
        <v>275210245</v>
      </c>
      <c r="J58" s="800">
        <f t="shared" si="12"/>
        <v>324748089</v>
      </c>
      <c r="K58" s="800">
        <f t="shared" si="12"/>
        <v>383202746</v>
      </c>
    </row>
    <row r="59" spans="1:11" ht="15">
      <c r="A59" s="342" t="str">
        <f>+'INGR. Y EGRE SEC CENT'!A54</f>
        <v>1.2.1</v>
      </c>
      <c r="B59" s="14" t="str">
        <f>+'INGR. Y EGRE SEC CENT'!B54</f>
        <v>Recursos del Balance</v>
      </c>
      <c r="C59" s="734">
        <f>+'INGR. Y EGRE SEC CENT'!C54-'INGR. Y EGRE SEC CENT'!C57</f>
        <v>0</v>
      </c>
      <c r="D59" s="748">
        <f>+'INGR. Y EGRE SEC CENT'!D54-'INGR. Y EGRE SEC CENT'!D57</f>
        <v>0</v>
      </c>
      <c r="E59" s="654">
        <f>+'INGR. Y EGRE SEC CENT'!E54-'INGR. Y EGRE SEC CENT'!E57</f>
        <v>0</v>
      </c>
      <c r="F59" s="748">
        <f>+'PROYECCIONES SIN PLAN DESEMPE.'!C54-'PROYECCIONES SIN PLAN DESEMPE.'!C57</f>
        <v>47153108</v>
      </c>
      <c r="G59" s="654">
        <f>+'PROYECCIONES SIN PLAN DESEMPE.'!D54-'PROYECCIONES SIN PLAN DESEMPE.'!D57</f>
        <v>0</v>
      </c>
      <c r="H59" s="748">
        <f>+'PROYECCIONES SIN PLAN DESEMPE.'!E54-'PROYECCIONES SIN PLAN DESEMPE.'!E57</f>
        <v>0</v>
      </c>
      <c r="I59" s="748">
        <f>+'PROYECCIONES SIN PLAN DESEMPE.'!F54-'PROYECCIONES SIN PLAN DESEMPE.'!F57</f>
        <v>0</v>
      </c>
      <c r="J59" s="748">
        <f>+'PROYECCIONES SIN PLAN DESEMPE.'!G54-'PROYECCIONES SIN PLAN DESEMPE.'!G57</f>
        <v>0</v>
      </c>
      <c r="K59" s="748">
        <f>+'PROYECCIONES SIN PLAN DESEMPE.'!H54-'PROYECCIONES SIN PLAN DESEMPE.'!H57</f>
        <v>0</v>
      </c>
    </row>
    <row r="60" spans="1:11" ht="15">
      <c r="A60" s="342" t="str">
        <f>+'INGR. Y EGRE SEC CENT'!A57</f>
        <v>1.2.1.3</v>
      </c>
      <c r="B60" s="14" t="str">
        <f>+'INGR. Y EGRE SEC CENT'!B57</f>
        <v>Venta de Activos</v>
      </c>
      <c r="C60" s="734">
        <f>+'INGR. Y EGRE SEC CENT'!C57</f>
        <v>0</v>
      </c>
      <c r="D60" s="748">
        <f>+'INGR. Y EGRE SEC CENT'!D57</f>
        <v>0</v>
      </c>
      <c r="E60" s="654">
        <f>+'INGR. Y EGRE SEC CENT'!E57</f>
        <v>0</v>
      </c>
      <c r="F60" s="748">
        <f>+'PROYECCIONES SIN PLAN DESEMPE.'!C57</f>
        <v>0</v>
      </c>
      <c r="G60" s="654">
        <f>+'PROYECCIONES SIN PLAN DESEMPE.'!D57</f>
        <v>0</v>
      </c>
      <c r="H60" s="748">
        <f>+'PROYECCIONES SIN PLAN DESEMPE.'!E57</f>
        <v>0</v>
      </c>
      <c r="I60" s="748">
        <f>+'PROYECCIONES SIN PLAN DESEMPE.'!F57</f>
        <v>0</v>
      </c>
      <c r="J60" s="748">
        <f>+'PROYECCIONES SIN PLAN DESEMPE.'!G57</f>
        <v>0</v>
      </c>
      <c r="K60" s="748">
        <f>+'PROYECCIONES SIN PLAN DESEMPE.'!H57</f>
        <v>0</v>
      </c>
    </row>
    <row r="61" spans="1:11" ht="15">
      <c r="A61" s="342" t="str">
        <f>+'INGR. Y EGRE SEC CENT'!A58</f>
        <v>1.2.2</v>
      </c>
      <c r="B61" s="14" t="str">
        <f>+'INGR. Y EGRE SEC CENT'!B58</f>
        <v>Recursos de Cofinanciación</v>
      </c>
      <c r="C61" s="734">
        <f>+'INGR. Y EGRE SEC CENT'!C58</f>
        <v>0</v>
      </c>
      <c r="D61" s="748">
        <f>+'INGR. Y EGRE SEC CENT'!D58</f>
        <v>0</v>
      </c>
      <c r="E61" s="654">
        <f>+'INGR. Y EGRE SEC CENT'!E58</f>
        <v>0</v>
      </c>
      <c r="F61" s="748">
        <f>+'PROYECCIONES SIN PLAN DESEMPE.'!C58</f>
        <v>0</v>
      </c>
      <c r="G61" s="654">
        <f>+'PROYECCIONES SIN PLAN DESEMPE.'!D58</f>
        <v>208096485</v>
      </c>
      <c r="H61" s="748">
        <f>+'PROYECCIONES SIN PLAN DESEMPE.'!E58</f>
        <v>239310957</v>
      </c>
      <c r="I61" s="748">
        <f>+'PROYECCIONES SIN PLAN DESEMPE.'!F58</f>
        <v>275207601</v>
      </c>
      <c r="J61" s="748">
        <f>+'PROYECCIONES SIN PLAN DESEMPE.'!G58</f>
        <v>324744969</v>
      </c>
      <c r="K61" s="748">
        <f>+'PROYECCIONES SIN PLAN DESEMPE.'!H58</f>
        <v>383199064</v>
      </c>
    </row>
    <row r="62" spans="1:11" ht="15">
      <c r="A62" s="8" t="str">
        <f>+'INGR. Y EGRE SEC CENT'!A62</f>
        <v>1.2.3</v>
      </c>
      <c r="B62" s="14" t="str">
        <f>+'INGR. Y EGRE SEC CENT'!B62</f>
        <v>Donaciones</v>
      </c>
      <c r="C62" s="734">
        <f>+'INGR. Y EGRE SEC CENT'!C62</f>
        <v>0</v>
      </c>
      <c r="D62" s="748">
        <f>+'INGR. Y EGRE SEC CENT'!D62</f>
        <v>0</v>
      </c>
      <c r="E62" s="654">
        <f>+'INGR. Y EGRE SEC CENT'!E62</f>
        <v>0</v>
      </c>
      <c r="F62" s="748">
        <f>+'PROYECCIONES SIN PLAN DESEMPE.'!C62</f>
        <v>0</v>
      </c>
      <c r="G62" s="654">
        <f>+'PROYECCIONES SIN PLAN DESEMPE.'!D62</f>
        <v>1000</v>
      </c>
      <c r="H62" s="748">
        <f>+'PROYECCIONES SIN PLAN DESEMPE.'!E62</f>
        <v>1150</v>
      </c>
      <c r="I62" s="748">
        <f>+'PROYECCIONES SIN PLAN DESEMPE.'!F62</f>
        <v>1322</v>
      </c>
      <c r="J62" s="748">
        <f>+'PROYECCIONES SIN PLAN DESEMPE.'!G62</f>
        <v>1560</v>
      </c>
      <c r="K62" s="748">
        <f>+'PROYECCIONES SIN PLAN DESEMPE.'!H62</f>
        <v>1841</v>
      </c>
    </row>
    <row r="63" spans="1:11" ht="15">
      <c r="A63" s="342" t="str">
        <f>+'INGR. Y EGRE SEC CENT'!A63</f>
        <v>1.2.4</v>
      </c>
      <c r="B63" s="14" t="str">
        <f>+'INGR. Y EGRE SEC CENT'!B63</f>
        <v>Regalías</v>
      </c>
      <c r="C63" s="734">
        <f>+'INGR. Y EGRE SEC CENT'!C63</f>
        <v>0</v>
      </c>
      <c r="D63" s="748">
        <f>+'INGR. Y EGRE SEC CENT'!D63</f>
        <v>0</v>
      </c>
      <c r="E63" s="654">
        <f>+'INGR. Y EGRE SEC CENT'!E63</f>
        <v>0</v>
      </c>
      <c r="F63" s="748">
        <f>+'PROYECCIONES SIN PLAN DESEMPE.'!C63</f>
        <v>0</v>
      </c>
      <c r="G63" s="654">
        <f>+'PROYECCIONES SIN PLAN DESEMPE.'!D63</f>
        <v>0</v>
      </c>
      <c r="H63" s="748">
        <f>+'PROYECCIONES SIN PLAN DESEMPE.'!E63</f>
        <v>0</v>
      </c>
      <c r="I63" s="748">
        <f>+'PROYECCIONES SIN PLAN DESEMPE.'!F63</f>
        <v>0</v>
      </c>
      <c r="J63" s="748">
        <f>+'PROYECCIONES SIN PLAN DESEMPE.'!G63</f>
        <v>0</v>
      </c>
      <c r="K63" s="748">
        <f>+'PROYECCIONES SIN PLAN DESEMPE.'!H63</f>
        <v>0</v>
      </c>
    </row>
    <row r="64" spans="1:11" ht="15">
      <c r="A64" s="342" t="str">
        <f>+'INGR. Y EGRE SEC CENT'!A72</f>
        <v>1.2.6</v>
      </c>
      <c r="B64" s="14" t="str">
        <f>+'INGR. Y EGRE SEC CENT'!B72</f>
        <v>Rendimientos Financieros</v>
      </c>
      <c r="C64" s="734">
        <f>+'INGR. Y EGRE SEC CENT'!C72</f>
        <v>0</v>
      </c>
      <c r="D64" s="748">
        <f>+'INGR. Y EGRE SEC CENT'!D72</f>
        <v>0</v>
      </c>
      <c r="E64" s="654">
        <f>+'INGR. Y EGRE SEC CENT'!E72</f>
        <v>0</v>
      </c>
      <c r="F64" s="748">
        <f>+'PROYECCIONES SIN PLAN DESEMPE.'!C72</f>
        <v>0</v>
      </c>
      <c r="G64" s="654">
        <f>+'PROYECCIONES SIN PLAN DESEMPE.'!D72</f>
        <v>0</v>
      </c>
      <c r="H64" s="748">
        <f>+'PROYECCIONES SIN PLAN DESEMPE.'!E72</f>
        <v>0</v>
      </c>
      <c r="I64" s="748">
        <f>+'PROYECCIONES SIN PLAN DESEMPE.'!F72</f>
        <v>0</v>
      </c>
      <c r="J64" s="748">
        <f>+'PROYECCIONES SIN PLAN DESEMPE.'!G72</f>
        <v>0</v>
      </c>
      <c r="K64" s="748">
        <f>+'PROYECCIONES SIN PLAN DESEMPE.'!H72</f>
        <v>0</v>
      </c>
    </row>
    <row r="65" spans="1:11" ht="15">
      <c r="A65" s="8" t="str">
        <f>+'INGR. Y EGRE SEC CENT'!A73</f>
        <v>1.2.7</v>
      </c>
      <c r="B65" s="14" t="str">
        <f>+'INGR. Y EGRE SEC CENT'!B73</f>
        <v>Excedentes Financieros Ent. Descentralizadas</v>
      </c>
      <c r="C65" s="734">
        <f>+'INGR. Y EGRE SEC CENT'!C73</f>
        <v>0</v>
      </c>
      <c r="D65" s="748">
        <f>+'INGR. Y EGRE SEC CENT'!D73</f>
        <v>0</v>
      </c>
      <c r="E65" s="654">
        <f>+'INGR. Y EGRE SEC CENT'!E73</f>
        <v>0</v>
      </c>
      <c r="F65" s="748">
        <f>+'PROYECCIONES SIN PLAN DESEMPE.'!C73</f>
        <v>0</v>
      </c>
      <c r="G65" s="654">
        <f>+'PROYECCIONES SIN PLAN DESEMPE.'!D73</f>
        <v>0</v>
      </c>
      <c r="H65" s="748">
        <f>+'PROYECCIONES SIN PLAN DESEMPE.'!E73</f>
        <v>0</v>
      </c>
      <c r="I65" s="748">
        <f>+'PROYECCIONES SIN PLAN DESEMPE.'!F73</f>
        <v>0</v>
      </c>
      <c r="J65" s="748">
        <f>+'PROYECCIONES SIN PLAN DESEMPE.'!G73</f>
        <v>0</v>
      </c>
      <c r="K65" s="748">
        <f>+'PROYECCIONES SIN PLAN DESEMPE.'!H73</f>
        <v>0</v>
      </c>
    </row>
    <row r="66" spans="1:11" ht="15">
      <c r="A66" s="8" t="str">
        <f>+'INGR. Y EGRE SEC CENT'!A74</f>
        <v>1.2.8</v>
      </c>
      <c r="B66" s="14" t="str">
        <f>+'INGR. Y EGRE SEC CENT'!B74</f>
        <v>Venta de Activos</v>
      </c>
      <c r="C66" s="734">
        <f>+'INGR. Y EGRE SEC CENT'!C74</f>
        <v>0</v>
      </c>
      <c r="D66" s="748">
        <f>+'INGR. Y EGRE SEC CENT'!D74</f>
        <v>0</v>
      </c>
      <c r="E66" s="654">
        <f>+'INGR. Y EGRE SEC CENT'!E74</f>
        <v>0</v>
      </c>
      <c r="F66" s="748">
        <f>+'PROYECCIONES SIN PLAN DESEMPE.'!C74</f>
        <v>0</v>
      </c>
      <c r="G66" s="654">
        <f>+'PROYECCIONES SIN PLAN DESEMPE.'!D74</f>
        <v>0</v>
      </c>
      <c r="H66" s="748">
        <f>+'PROYECCIONES SIN PLAN DESEMPE.'!E74</f>
        <v>0</v>
      </c>
      <c r="I66" s="748">
        <f>+'PROYECCIONES SIN PLAN DESEMPE.'!F74</f>
        <v>0</v>
      </c>
      <c r="J66" s="748">
        <f>+'PROYECCIONES SIN PLAN DESEMPE.'!G74</f>
        <v>0</v>
      </c>
      <c r="K66" s="748">
        <f>+'PROYECCIONES SIN PLAN DESEMPE.'!H74</f>
        <v>0</v>
      </c>
    </row>
    <row r="67" spans="1:11" ht="15">
      <c r="A67" s="342" t="str">
        <f>+'INGR. Y EGRE SEC CENT'!A75</f>
        <v>1.2.9</v>
      </c>
      <c r="B67" s="14" t="str">
        <f>+'INGR. Y EGRE SEC CENT'!B75</f>
        <v>Otros Recursos de Capital</v>
      </c>
      <c r="C67" s="802">
        <f>+'INGR. Y EGRE SEC CENT'!C75</f>
        <v>0</v>
      </c>
      <c r="D67" s="748">
        <f>+'INGR. Y EGRE SEC CENT'!D75</f>
        <v>0</v>
      </c>
      <c r="E67" s="654">
        <f>+'INGR. Y EGRE SEC CENT'!E75</f>
        <v>0</v>
      </c>
      <c r="F67" s="748">
        <f>+'PROYECCIONES SIN PLAN DESEMPE.'!C75</f>
        <v>0</v>
      </c>
      <c r="G67" s="654">
        <f>+'PROYECCIONES SIN PLAN DESEMPE.'!D75</f>
        <v>1000</v>
      </c>
      <c r="H67" s="748">
        <f>+'PROYECCIONES SIN PLAN DESEMPE.'!E75</f>
        <v>1150</v>
      </c>
      <c r="I67" s="748">
        <f>+'PROYECCIONES SIN PLAN DESEMPE.'!F75</f>
        <v>1322</v>
      </c>
      <c r="J67" s="748">
        <f>+'PROYECCIONES SIN PLAN DESEMPE.'!G75</f>
        <v>1560</v>
      </c>
      <c r="K67" s="748">
        <f>+'PROYECCIONES SIN PLAN DESEMPE.'!H75</f>
        <v>1841</v>
      </c>
    </row>
    <row r="68" spans="1:11" ht="15">
      <c r="A68" s="404"/>
      <c r="B68" s="395" t="s">
        <v>537</v>
      </c>
      <c r="C68" s="786">
        <f aca="true" t="shared" si="13" ref="C68:K68">SUM(C69:C71)</f>
        <v>0</v>
      </c>
      <c r="D68" s="787">
        <f t="shared" si="13"/>
        <v>0</v>
      </c>
      <c r="E68" s="788">
        <f t="shared" si="13"/>
        <v>719429871</v>
      </c>
      <c r="F68" s="787">
        <f t="shared" si="13"/>
        <v>335822249</v>
      </c>
      <c r="G68" s="788">
        <f t="shared" si="13"/>
        <v>341595880</v>
      </c>
      <c r="H68" s="787">
        <f t="shared" si="13"/>
        <v>392835262</v>
      </c>
      <c r="I68" s="787">
        <f t="shared" si="13"/>
        <v>451760551</v>
      </c>
      <c r="J68" s="787">
        <f t="shared" si="13"/>
        <v>533077450</v>
      </c>
      <c r="K68" s="787">
        <f t="shared" si="13"/>
        <v>629031391</v>
      </c>
    </row>
    <row r="69" spans="1:11" ht="15">
      <c r="A69" s="8" t="str">
        <f>+'INGR. Y EGRE SEC CENT'!A152</f>
        <v>2.3.1</v>
      </c>
      <c r="B69" s="12" t="str">
        <f>+'INGR. Y EGRE SEC CENT'!B152</f>
        <v>Formación Bruta de Capital</v>
      </c>
      <c r="C69" s="734">
        <f>+'INGR. Y EGRE SEC CENT'!C152</f>
        <v>0</v>
      </c>
      <c r="D69" s="748">
        <f>+'INGR. Y EGRE SEC CENT'!D152</f>
        <v>0</v>
      </c>
      <c r="E69" s="654">
        <f>+'INGR. Y EGRE SEC CENT'!E152</f>
        <v>619253164</v>
      </c>
      <c r="F69" s="748">
        <f>+'PROYECCIONES SIN PLAN DESEMPE.'!C152</f>
        <v>0</v>
      </c>
      <c r="G69" s="654">
        <f>+'PROYECCIONES SIN PLAN DESEMPE.'!D152</f>
        <v>0</v>
      </c>
      <c r="H69" s="748">
        <f>+'PROYECCIONES SIN PLAN DESEMPE.'!E152</f>
        <v>0</v>
      </c>
      <c r="I69" s="748">
        <f>+'PROYECCIONES SIN PLAN DESEMPE.'!F152</f>
        <v>0</v>
      </c>
      <c r="J69" s="748">
        <f>+'PROYECCIONES SIN PLAN DESEMPE.'!G152</f>
        <v>0</v>
      </c>
      <c r="K69" s="748">
        <f>+'PROYECCIONES SIN PLAN DESEMPE.'!H152</f>
        <v>0</v>
      </c>
    </row>
    <row r="70" spans="1:11" ht="15">
      <c r="A70" s="8" t="str">
        <f>+'INGR. Y EGRE SEC CENT'!A153</f>
        <v>2.3.2</v>
      </c>
      <c r="B70" s="12" t="str">
        <f>+'INGR. Y EGRE SEC CENT'!B153</f>
        <v>Gastos Operativos de Inversión</v>
      </c>
      <c r="C70" s="734">
        <f>+'INGR. Y EGRE SEC CENT'!C153</f>
        <v>0</v>
      </c>
      <c r="D70" s="748">
        <f>+'INGR. Y EGRE SEC CENT'!D153</f>
        <v>0</v>
      </c>
      <c r="E70" s="654">
        <f>+'INGR. Y EGRE SEC CENT'!E153</f>
        <v>0</v>
      </c>
      <c r="F70" s="748">
        <f>+'PROYECCIONES SIN PLAN DESEMPE.'!C153</f>
        <v>335822249</v>
      </c>
      <c r="G70" s="654">
        <f>+'PROYECCIONES SIN PLAN DESEMPE.'!D153</f>
        <v>341595880</v>
      </c>
      <c r="H70" s="748">
        <f>+'PROYECCIONES SIN PLAN DESEMPE.'!E153</f>
        <v>392835262</v>
      </c>
      <c r="I70" s="748">
        <f>+'PROYECCIONES SIN PLAN DESEMPE.'!F153</f>
        <v>451760551</v>
      </c>
      <c r="J70" s="748">
        <f>+'PROYECCIONES SIN PLAN DESEMPE.'!G153</f>
        <v>533077450</v>
      </c>
      <c r="K70" s="748">
        <f>+'PROYECCIONES SIN PLAN DESEMPE.'!H153</f>
        <v>629031391</v>
      </c>
    </row>
    <row r="71" spans="1:11" ht="15.75" thickBot="1">
      <c r="A71" s="8" t="str">
        <f>+'INGR. Y EGRE SEC CENT'!A156</f>
        <v>2.4.2</v>
      </c>
      <c r="B71" s="340" t="s">
        <v>538</v>
      </c>
      <c r="C71" s="734">
        <f>+'INGR. Y EGRE SEC CENT'!C156</f>
        <v>0</v>
      </c>
      <c r="D71" s="748">
        <f>+'INGR. Y EGRE SEC CENT'!D156</f>
        <v>0</v>
      </c>
      <c r="E71" s="654">
        <f>+'INGR. Y EGRE SEC CENT'!E156</f>
        <v>100176707</v>
      </c>
      <c r="F71" s="748">
        <f>+'PROYECCIONES SIN PLAN DESEMPE.'!C156</f>
        <v>0</v>
      </c>
      <c r="G71" s="654">
        <f>+'PROYECCIONES SIN PLAN DESEMPE.'!D156</f>
        <v>0</v>
      </c>
      <c r="H71" s="748">
        <f>+'PROYECCIONES SIN PLAN DESEMPE.'!E156</f>
        <v>0</v>
      </c>
      <c r="I71" s="748">
        <f>+'PROYECCIONES SIN PLAN DESEMPE.'!F156</f>
        <v>0</v>
      </c>
      <c r="J71" s="748">
        <f>+'PROYECCIONES SIN PLAN DESEMPE.'!G156</f>
        <v>0</v>
      </c>
      <c r="K71" s="748">
        <f>+'PROYECCIONES SIN PLAN DESEMPE.'!H156</f>
        <v>0</v>
      </c>
    </row>
    <row r="72" spans="1:19" s="576" customFormat="1" ht="23.25" customHeight="1" thickBot="1">
      <c r="A72" s="397"/>
      <c r="B72" s="811" t="s">
        <v>539</v>
      </c>
      <c r="C72" s="803">
        <f>+C58-C68</f>
        <v>0</v>
      </c>
      <c r="D72" s="804">
        <f aca="true" t="shared" si="14" ref="D72:K72">+D58-D68</f>
        <v>0</v>
      </c>
      <c r="E72" s="805">
        <f t="shared" si="14"/>
        <v>-719429871</v>
      </c>
      <c r="F72" s="804">
        <f t="shared" si="14"/>
        <v>-288669141</v>
      </c>
      <c r="G72" s="805">
        <f t="shared" si="14"/>
        <v>-133497395</v>
      </c>
      <c r="H72" s="804">
        <f t="shared" si="14"/>
        <v>-153522005</v>
      </c>
      <c r="I72" s="804">
        <f t="shared" si="14"/>
        <v>-176550306</v>
      </c>
      <c r="J72" s="804">
        <f t="shared" si="14"/>
        <v>-208329361</v>
      </c>
      <c r="K72" s="804">
        <f t="shared" si="14"/>
        <v>-245828645</v>
      </c>
      <c r="L72" s="574"/>
      <c r="M72" s="575"/>
      <c r="N72" s="575"/>
      <c r="O72" s="575"/>
      <c r="P72" s="575"/>
      <c r="Q72" s="575"/>
      <c r="R72" s="575"/>
      <c r="S72" s="574"/>
    </row>
    <row r="73" spans="1:19" s="576" customFormat="1" ht="23.25" customHeight="1" thickBot="1">
      <c r="A73" s="397"/>
      <c r="B73" s="811" t="s">
        <v>540</v>
      </c>
      <c r="C73" s="803">
        <f>+C57+C72</f>
        <v>0</v>
      </c>
      <c r="D73" s="804">
        <f aca="true" t="shared" si="15" ref="D73:K73">+D57+D72</f>
        <v>0</v>
      </c>
      <c r="E73" s="805">
        <f t="shared" si="15"/>
        <v>1256722103</v>
      </c>
      <c r="F73" s="804">
        <f t="shared" si="15"/>
        <v>591531476</v>
      </c>
      <c r="G73" s="805">
        <f t="shared" si="15"/>
        <v>654512172</v>
      </c>
      <c r="H73" s="804">
        <f t="shared" si="15"/>
        <v>590754383</v>
      </c>
      <c r="I73" s="804">
        <f t="shared" si="15"/>
        <v>582011031</v>
      </c>
      <c r="J73" s="804">
        <f t="shared" si="15"/>
        <v>632894294</v>
      </c>
      <c r="K73" s="804">
        <f t="shared" si="15"/>
        <v>605306587</v>
      </c>
      <c r="L73" s="574"/>
      <c r="M73" s="575"/>
      <c r="N73" s="575"/>
      <c r="O73" s="575"/>
      <c r="P73" s="575"/>
      <c r="Q73" s="575"/>
      <c r="R73" s="575"/>
      <c r="S73" s="574"/>
    </row>
    <row r="74" spans="1:11" ht="15">
      <c r="A74" s="343"/>
      <c r="B74" s="344" t="s">
        <v>541</v>
      </c>
      <c r="C74" s="806">
        <f aca="true" t="shared" si="16" ref="C74:K74">+C75+C80+C81</f>
        <v>0</v>
      </c>
      <c r="D74" s="807">
        <f t="shared" si="16"/>
        <v>0</v>
      </c>
      <c r="E74" s="808">
        <f t="shared" si="16"/>
        <v>-1256722103</v>
      </c>
      <c r="F74" s="807">
        <f t="shared" si="16"/>
        <v>-591531476</v>
      </c>
      <c r="G74" s="808">
        <f t="shared" si="16"/>
        <v>-654512172</v>
      </c>
      <c r="H74" s="807">
        <f t="shared" si="16"/>
        <v>-590754383</v>
      </c>
      <c r="I74" s="807">
        <f t="shared" si="16"/>
        <v>-582011031</v>
      </c>
      <c r="J74" s="807">
        <f t="shared" si="16"/>
        <v>-632894294</v>
      </c>
      <c r="K74" s="807">
        <f t="shared" si="16"/>
        <v>-605306587</v>
      </c>
    </row>
    <row r="75" spans="1:11" ht="15">
      <c r="A75" s="404"/>
      <c r="B75" s="395" t="s">
        <v>542</v>
      </c>
      <c r="C75" s="786">
        <f aca="true" t="shared" si="17" ref="C75:K75">+C76-C77+C78-C79</f>
        <v>0</v>
      </c>
      <c r="D75" s="787">
        <f t="shared" si="17"/>
        <v>0</v>
      </c>
      <c r="E75" s="788">
        <f t="shared" si="17"/>
        <v>-292551586</v>
      </c>
      <c r="F75" s="787">
        <f t="shared" si="17"/>
        <v>-50799065</v>
      </c>
      <c r="G75" s="788">
        <f t="shared" si="17"/>
        <v>-37000000</v>
      </c>
      <c r="H75" s="787">
        <f t="shared" si="17"/>
        <v>-42550000</v>
      </c>
      <c r="I75" s="787">
        <f t="shared" si="17"/>
        <v>-48932500</v>
      </c>
      <c r="J75" s="787">
        <f t="shared" si="17"/>
        <v>-57740350</v>
      </c>
      <c r="K75" s="787">
        <f t="shared" si="17"/>
        <v>-68133613</v>
      </c>
    </row>
    <row r="76" spans="1:11" ht="15">
      <c r="A76" s="342" t="str">
        <f>+'INGR. Y EGRE SEC CENT'!A70</f>
        <v>1.2.5.1</v>
      </c>
      <c r="B76" s="12" t="str">
        <f>+'INGR. Y EGRE SEC CENT'!B70</f>
        <v>Desembolsos Crédito Interno</v>
      </c>
      <c r="C76" s="809">
        <f>+'INGR. Y EGRE SEC CENT'!C70</f>
        <v>0</v>
      </c>
      <c r="D76" s="810">
        <f>+'INGR. Y EGRE SEC CENT'!D70</f>
        <v>0</v>
      </c>
      <c r="E76" s="660">
        <f>+'INGR. Y EGRE SEC CENT'!E70</f>
        <v>0</v>
      </c>
      <c r="F76" s="810">
        <f>+'PROYECCIONES SIN PLAN DESEMPE.'!C70</f>
        <v>0</v>
      </c>
      <c r="G76" s="660">
        <f>+'PROYECCIONES SIN PLAN DESEMPE.'!D70</f>
        <v>0</v>
      </c>
      <c r="H76" s="810">
        <f>+'PROYECCIONES SIN PLAN DESEMPE.'!E70</f>
        <v>0</v>
      </c>
      <c r="I76" s="810">
        <f>+'PROYECCIONES SIN PLAN DESEMPE.'!F70</f>
        <v>0</v>
      </c>
      <c r="J76" s="810">
        <f>+'PROYECCIONES SIN PLAN DESEMPE.'!G70</f>
        <v>0</v>
      </c>
      <c r="K76" s="810">
        <f>+'PROYECCIONES SIN PLAN DESEMPE.'!H70</f>
        <v>0</v>
      </c>
    </row>
    <row r="77" spans="1:11" ht="15">
      <c r="A77" s="8" t="str">
        <f>+'INGR. Y EGRE SEC CENT'!A144</f>
        <v>2.2.1.1 </v>
      </c>
      <c r="B77" s="12" t="str">
        <f>+'INGR. Y EGRE SEC CENT'!B144</f>
        <v>Amortización Deuda Interna</v>
      </c>
      <c r="C77" s="809">
        <f>+'INGR. Y EGRE SEC CENT'!C144</f>
        <v>0</v>
      </c>
      <c r="D77" s="810">
        <f>+'INGR. Y EGRE SEC CENT'!D144</f>
        <v>0</v>
      </c>
      <c r="E77" s="660">
        <f>+'INGR. Y EGRE SEC CENT'!E144</f>
        <v>292551586</v>
      </c>
      <c r="F77" s="810">
        <f>+'PROYECCIONES SIN PLAN DESEMPE.'!C144</f>
        <v>50799065</v>
      </c>
      <c r="G77" s="660">
        <f>+'PROYECCIONES SIN PLAN DESEMPE.'!D144</f>
        <v>37000000</v>
      </c>
      <c r="H77" s="810">
        <f>+'PROYECCIONES SIN PLAN DESEMPE.'!E144</f>
        <v>42550000</v>
      </c>
      <c r="I77" s="810">
        <f>+'PROYECCIONES SIN PLAN DESEMPE.'!F144</f>
        <v>48932500</v>
      </c>
      <c r="J77" s="810">
        <f>+'PROYECCIONES SIN PLAN DESEMPE.'!G144</f>
        <v>57740350</v>
      </c>
      <c r="K77" s="810">
        <f>+'PROYECCIONES SIN PLAN DESEMPE.'!H144</f>
        <v>68133613</v>
      </c>
    </row>
    <row r="78" spans="1:11" ht="15">
      <c r="A78" s="342" t="str">
        <f>+'INGR. Y EGRE SEC CENT'!A71</f>
        <v>1.2.5.2</v>
      </c>
      <c r="B78" s="12" t="str">
        <f>+'INGR. Y EGRE SEC CENT'!B71</f>
        <v>Desembolsos Crédito Externo</v>
      </c>
      <c r="C78" s="809">
        <f>+'INGR. Y EGRE SEC CENT'!C71</f>
        <v>0</v>
      </c>
      <c r="D78" s="810">
        <f>+'INGR. Y EGRE SEC CENT'!D71</f>
        <v>0</v>
      </c>
      <c r="E78" s="660">
        <f>+'INGR. Y EGRE SEC CENT'!E71</f>
        <v>0</v>
      </c>
      <c r="F78" s="810">
        <f>+'PROYECCIONES SIN PLAN DESEMPE.'!C71</f>
        <v>0</v>
      </c>
      <c r="G78" s="660">
        <f>+'PROYECCIONES SIN PLAN DESEMPE.'!D71</f>
        <v>0</v>
      </c>
      <c r="H78" s="810">
        <f>+'PROYECCIONES SIN PLAN DESEMPE.'!E71</f>
        <v>0</v>
      </c>
      <c r="I78" s="810">
        <f>+'PROYECCIONES SIN PLAN DESEMPE.'!F71</f>
        <v>0</v>
      </c>
      <c r="J78" s="810">
        <f>+'PROYECCIONES SIN PLAN DESEMPE.'!G71</f>
        <v>0</v>
      </c>
      <c r="K78" s="810">
        <f>+'PROYECCIONES SIN PLAN DESEMPE.'!H71</f>
        <v>0</v>
      </c>
    </row>
    <row r="79" spans="1:11" ht="15">
      <c r="A79" s="8" t="str">
        <f>+'INGR. Y EGRE SEC CENT'!A145</f>
        <v>2.2.1.2</v>
      </c>
      <c r="B79" s="12" t="str">
        <f>+'INGR. Y EGRE SEC CENT'!B145</f>
        <v>Amortización Deuda Externa</v>
      </c>
      <c r="C79" s="809">
        <f>+'INGR. Y EGRE SEC CENT'!C145</f>
        <v>0</v>
      </c>
      <c r="D79" s="810">
        <f>+'INGR. Y EGRE SEC CENT'!D145</f>
        <v>0</v>
      </c>
      <c r="E79" s="660">
        <f>+'INGR. Y EGRE SEC CENT'!E145</f>
        <v>0</v>
      </c>
      <c r="F79" s="810">
        <f>+'PROYECCIONES SIN PLAN DESEMPE.'!C145</f>
        <v>0</v>
      </c>
      <c r="G79" s="660">
        <f>+'PROYECCIONES SIN PLAN DESEMPE.'!D145</f>
        <v>0</v>
      </c>
      <c r="H79" s="810">
        <f>+'PROYECCIONES SIN PLAN DESEMPE.'!E145</f>
        <v>0</v>
      </c>
      <c r="I79" s="810">
        <f>+'PROYECCIONES SIN PLAN DESEMPE.'!F145</f>
        <v>0</v>
      </c>
      <c r="J79" s="810">
        <f>+'PROYECCIONES SIN PLAN DESEMPE.'!G145</f>
        <v>0</v>
      </c>
      <c r="K79" s="810">
        <f>+'PROYECCIONES SIN PLAN DESEMPE.'!H145</f>
        <v>0</v>
      </c>
    </row>
    <row r="80" spans="1:11" ht="15">
      <c r="A80" s="8"/>
      <c r="B80" s="12" t="s">
        <v>543</v>
      </c>
      <c r="C80" s="627"/>
      <c r="D80" s="628"/>
      <c r="E80" s="655"/>
      <c r="F80" s="628"/>
      <c r="G80" s="655"/>
      <c r="H80" s="628"/>
      <c r="I80" s="628"/>
      <c r="J80" s="628"/>
      <c r="K80" s="628"/>
    </row>
    <row r="81" spans="1:11" ht="15.75" thickBot="1">
      <c r="A81" s="345"/>
      <c r="B81" s="299" t="s">
        <v>544</v>
      </c>
      <c r="C81" s="741">
        <f aca="true" t="shared" si="18" ref="C81:K81">IF(C83=0,0,IF(C83&lt;0,(C83*(-1)),IF(C83&gt;0,(C83*(-1)))))</f>
        <v>0</v>
      </c>
      <c r="D81" s="755">
        <f t="shared" si="18"/>
        <v>0</v>
      </c>
      <c r="E81" s="663">
        <f t="shared" si="18"/>
        <v>-964170517</v>
      </c>
      <c r="F81" s="755">
        <f t="shared" si="18"/>
        <v>-540732411</v>
      </c>
      <c r="G81" s="755">
        <f t="shared" si="18"/>
        <v>-617512172</v>
      </c>
      <c r="H81" s="755">
        <f t="shared" si="18"/>
        <v>-548204383</v>
      </c>
      <c r="I81" s="755">
        <f t="shared" si="18"/>
        <v>-533078531</v>
      </c>
      <c r="J81" s="755">
        <f t="shared" si="18"/>
        <v>-575153944</v>
      </c>
      <c r="K81" s="755">
        <f t="shared" si="18"/>
        <v>-537172974</v>
      </c>
    </row>
    <row r="82" spans="1:11" s="154" customFormat="1" ht="15.75">
      <c r="A82" s="178"/>
      <c r="B82" s="179"/>
      <c r="C82" s="231"/>
      <c r="D82" s="231"/>
      <c r="E82" s="231"/>
      <c r="F82" s="231"/>
      <c r="G82" s="231"/>
      <c r="H82" s="231"/>
      <c r="I82" s="231"/>
      <c r="J82" s="231"/>
      <c r="K82" s="231"/>
    </row>
    <row r="83" spans="1:11" s="341" customFormat="1" ht="15" hidden="1">
      <c r="A83" s="346"/>
      <c r="B83" s="347" t="s">
        <v>544</v>
      </c>
      <c r="C83" s="348">
        <f aca="true" t="shared" si="19" ref="C83:K83">+C75+C80+C73</f>
        <v>0</v>
      </c>
      <c r="D83" s="349">
        <f t="shared" si="19"/>
        <v>0</v>
      </c>
      <c r="E83" s="349">
        <f t="shared" si="19"/>
        <v>964170517</v>
      </c>
      <c r="F83" s="349">
        <f t="shared" si="19"/>
        <v>540732411</v>
      </c>
      <c r="G83" s="349">
        <f t="shared" si="19"/>
        <v>617512172</v>
      </c>
      <c r="H83" s="348">
        <f t="shared" si="19"/>
        <v>548204383</v>
      </c>
      <c r="I83" s="349">
        <f t="shared" si="19"/>
        <v>533078531</v>
      </c>
      <c r="J83" s="348">
        <f t="shared" si="19"/>
        <v>575153944</v>
      </c>
      <c r="K83" s="349">
        <f t="shared" si="19"/>
        <v>537172974</v>
      </c>
    </row>
  </sheetData>
  <sheetProtection password="C92D" sheet="1" objects="1" scenarios="1"/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scale="49" r:id="rId1"/>
  <headerFooter alignWithMargins="0">
    <oddFooter>&amp;R&amp;9Página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C1">
      <selection activeCell="D7" sqref="D7"/>
    </sheetView>
  </sheetViews>
  <sheetFormatPr defaultColWidth="11.5546875" defaultRowHeight="15"/>
  <cols>
    <col min="1" max="1" width="8.88671875" style="19" customWidth="1"/>
    <col min="2" max="2" width="46.10546875" style="20" customWidth="1"/>
    <col min="3" max="3" width="12.77734375" style="21" customWidth="1"/>
    <col min="4" max="4" width="11.5546875" style="21" customWidth="1"/>
    <col min="5" max="5" width="11.99609375" style="21" customWidth="1"/>
    <col min="6" max="6" width="11.6640625" style="21" customWidth="1"/>
    <col min="7" max="7" width="12.6640625" style="7" customWidth="1"/>
    <col min="8" max="8" width="11.88671875" style="21" customWidth="1"/>
    <col min="9" max="9" width="11.21484375" style="21" customWidth="1"/>
    <col min="10" max="10" width="11.5546875" style="21" customWidth="1"/>
    <col min="11" max="11" width="11.3359375" style="21" customWidth="1"/>
    <col min="12" max="16384" width="11.5546875" style="36" customWidth="1"/>
  </cols>
  <sheetData>
    <row r="1" spans="1:11" ht="16.5" thickBot="1">
      <c r="A1" s="376" t="s">
        <v>545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5.75" thickBot="1">
      <c r="A2" s="378"/>
      <c r="B2" s="378" t="s">
        <v>1</v>
      </c>
      <c r="C2" s="379" t="str">
        <f>+'INGR. Y EGRE SEC CENT'!C2</f>
        <v>ARIGUANI</v>
      </c>
      <c r="D2" s="377"/>
      <c r="E2" s="378" t="s">
        <v>2</v>
      </c>
      <c r="F2" s="380" t="str">
        <f>+'PROYECCIONES CON PLAN DESEMPE.'!C2</f>
        <v>ARIGUANI</v>
      </c>
      <c r="G2" s="377"/>
      <c r="H2" s="377"/>
      <c r="I2" s="377"/>
      <c r="J2" s="377"/>
      <c r="K2" s="377"/>
    </row>
    <row r="3" spans="1:11" ht="15.75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5.75" thickBot="1">
      <c r="A4" s="382" t="s">
        <v>4</v>
      </c>
      <c r="B4" s="383"/>
      <c r="C4" s="384" t="s">
        <v>24</v>
      </c>
      <c r="D4" s="385"/>
      <c r="E4" s="386"/>
      <c r="F4" s="384" t="s">
        <v>546</v>
      </c>
      <c r="G4" s="385"/>
      <c r="H4" s="385"/>
      <c r="I4" s="385"/>
      <c r="J4" s="385"/>
      <c r="K4" s="386"/>
    </row>
    <row r="5" spans="1:11" ht="29.25" customHeight="1" thickBot="1">
      <c r="A5" s="387"/>
      <c r="B5" s="388"/>
      <c r="C5" s="389">
        <f>+'INGR. Y EGRE SEC CENT'!C5</f>
        <v>1996</v>
      </c>
      <c r="D5" s="391">
        <f>+'INGR. Y EGRE SEC CENT'!D5</f>
        <v>1997</v>
      </c>
      <c r="E5" s="390">
        <f>+'INGR. Y EGRE SEC CENT'!E5</f>
        <v>1998</v>
      </c>
      <c r="F5" s="391">
        <f>+'PROYECCIONES CON PLAN DESEMPE.'!C5</f>
        <v>1998</v>
      </c>
      <c r="G5" s="392">
        <f>+'PROYECCIONES CON PLAN DESEMPE.'!D5</f>
        <v>1999</v>
      </c>
      <c r="H5" s="391">
        <f>+'PROYECCIONES CON PLAN DESEMPE.'!E5</f>
        <v>2000</v>
      </c>
      <c r="I5" s="391">
        <f>+'PROYECCIONES CON PLAN DESEMPE.'!F5</f>
        <v>2001</v>
      </c>
      <c r="J5" s="391">
        <f>+'PROYECCIONES CON PLAN DESEMPE.'!G5</f>
        <v>2002</v>
      </c>
      <c r="K5" s="391">
        <f>+'PROYECCIONES CON PLAN DESEMPE.'!H5</f>
        <v>2003</v>
      </c>
    </row>
    <row r="6" spans="1:11" s="148" customFormat="1" ht="15.75">
      <c r="A6" s="393">
        <f>+'INGR. Y EGRE SEC CENT'!A7</f>
        <v>1.1</v>
      </c>
      <c r="B6" s="394" t="str">
        <f>+'INGR. Y EGRE SEC CENT'!B7</f>
        <v>INGRESOS CORRIENTES</v>
      </c>
      <c r="C6" s="783">
        <f aca="true" t="shared" si="0" ref="C6:K6">+C7+C14+C19</f>
        <v>0</v>
      </c>
      <c r="D6" s="784">
        <f t="shared" si="0"/>
        <v>0</v>
      </c>
      <c r="E6" s="785">
        <f t="shared" si="0"/>
        <v>3998707387</v>
      </c>
      <c r="F6" s="784">
        <f t="shared" si="0"/>
        <v>1975820340</v>
      </c>
      <c r="G6" s="784">
        <f t="shared" si="0"/>
        <v>2074696000</v>
      </c>
      <c r="H6" s="784">
        <f t="shared" si="0"/>
        <v>2275176432</v>
      </c>
      <c r="I6" s="784">
        <f t="shared" si="0"/>
        <v>2515963413</v>
      </c>
      <c r="J6" s="784">
        <f t="shared" si="0"/>
        <v>2809061241</v>
      </c>
      <c r="K6" s="784">
        <f t="shared" si="0"/>
        <v>3167799856</v>
      </c>
    </row>
    <row r="7" spans="1:11" s="149" customFormat="1" ht="15" customHeight="1">
      <c r="A7" s="393" t="str">
        <f>+'INGR. Y EGRE SEC CENT'!A8</f>
        <v>1.1.1</v>
      </c>
      <c r="B7" s="395" t="str">
        <f>+'INGR. Y EGRE SEC CENT'!B8</f>
        <v>INGRESOS TRIBUTARIOS</v>
      </c>
      <c r="C7" s="786">
        <f aca="true" t="shared" si="1" ref="C7:K7">SUM(C8:C13)</f>
        <v>0</v>
      </c>
      <c r="D7" s="787">
        <f t="shared" si="1"/>
        <v>0</v>
      </c>
      <c r="E7" s="788">
        <f t="shared" si="1"/>
        <v>126111050</v>
      </c>
      <c r="F7" s="787">
        <f t="shared" si="1"/>
        <v>42044923</v>
      </c>
      <c r="G7" s="787">
        <f t="shared" si="1"/>
        <v>108501000</v>
      </c>
      <c r="H7" s="787">
        <f t="shared" si="1"/>
        <v>119031000</v>
      </c>
      <c r="I7" s="787">
        <f t="shared" si="1"/>
        <v>135908756</v>
      </c>
      <c r="J7" s="787">
        <f t="shared" si="1"/>
        <v>155117767</v>
      </c>
      <c r="K7" s="787">
        <f t="shared" si="1"/>
        <v>187979120</v>
      </c>
    </row>
    <row r="8" spans="1:11" ht="15">
      <c r="A8" s="8" t="str">
        <f>+'INGR. Y EGRE SEC CENT'!A9</f>
        <v>1.1.1.1</v>
      </c>
      <c r="B8" s="34" t="str">
        <f>+'INGR. Y EGRE SEC CENT'!B9</f>
        <v>Predial Unificado</v>
      </c>
      <c r="C8" s="734">
        <f>+'INGR. Y EGRE SEC CENT'!C9</f>
        <v>0</v>
      </c>
      <c r="D8" s="748">
        <f>+'INGR. Y EGRE SEC CENT'!D9</f>
        <v>0</v>
      </c>
      <c r="E8" s="654">
        <f>+'INGR. Y EGRE SEC CENT'!E9</f>
        <v>78164873</v>
      </c>
      <c r="F8" s="748">
        <f>+'PROYECCIONES CON PLAN DESEMPE.'!C9</f>
        <v>37969823</v>
      </c>
      <c r="G8" s="654">
        <f>+'PROYECCIONES CON PLAN DESEMPE.'!D9</f>
        <v>50000000</v>
      </c>
      <c r="H8" s="748">
        <f>+'PROYECCIONES CON PLAN DESEMPE.'!E9</f>
        <v>55000000</v>
      </c>
      <c r="I8" s="748">
        <f>+'PROYECCIONES CON PLAN DESEMPE.'!F9</f>
        <v>63250000</v>
      </c>
      <c r="J8" s="748">
        <f>+'PROYECCIONES CON PLAN DESEMPE.'!G9</f>
        <v>73370000</v>
      </c>
      <c r="K8" s="748">
        <f>+'PROYECCIONES CON PLAN DESEMPE.'!H9</f>
        <v>88044000</v>
      </c>
    </row>
    <row r="9" spans="1:11" ht="15">
      <c r="A9" s="8" t="str">
        <f>+'INGR. Y EGRE SEC CENT'!A10</f>
        <v>1.1.1.2</v>
      </c>
      <c r="B9" s="34" t="str">
        <f>+'INGR. Y EGRE SEC CENT'!B10</f>
        <v>Industria y comercio</v>
      </c>
      <c r="C9" s="734">
        <f>+'INGR. Y EGRE SEC CENT'!C10</f>
        <v>0</v>
      </c>
      <c r="D9" s="748">
        <f>+'INGR. Y EGRE SEC CENT'!D10</f>
        <v>0</v>
      </c>
      <c r="E9" s="654">
        <f>+'INGR. Y EGRE SEC CENT'!E10</f>
        <v>33399052</v>
      </c>
      <c r="F9" s="748">
        <f>+'PROYECCIONES CON PLAN DESEMPE.'!C10</f>
        <v>1812900</v>
      </c>
      <c r="G9" s="654">
        <f>+'PROYECCIONES CON PLAN DESEMPE.'!D10</f>
        <v>35000000</v>
      </c>
      <c r="H9" s="748">
        <f>+'PROYECCIONES CON PLAN DESEMPE.'!E10</f>
        <v>38500000</v>
      </c>
      <c r="I9" s="748">
        <f>+'PROYECCIONES CON PLAN DESEMPE.'!F10</f>
        <v>44275000</v>
      </c>
      <c r="J9" s="748">
        <f>+'PROYECCIONES CON PLAN DESEMPE.'!G10</f>
        <v>51359000</v>
      </c>
      <c r="K9" s="748">
        <f>+'PROYECCIONES CON PLAN DESEMPE.'!H10</f>
        <v>61630800</v>
      </c>
    </row>
    <row r="10" spans="1:11" ht="15">
      <c r="A10" s="8" t="str">
        <f>+'INGR. Y EGRE SEC CENT'!A11</f>
        <v>1.1.1.3</v>
      </c>
      <c r="B10" s="34" t="str">
        <f>+'INGR. Y EGRE SEC CENT'!B11</f>
        <v>Circulación y Transito</v>
      </c>
      <c r="C10" s="734">
        <f>+'INGR. Y EGRE SEC CENT'!C11</f>
        <v>0</v>
      </c>
      <c r="D10" s="748">
        <f>+'INGR. Y EGRE SEC CENT'!D11</f>
        <v>0</v>
      </c>
      <c r="E10" s="654">
        <f>+'INGR. Y EGRE SEC CENT'!E11</f>
        <v>80000</v>
      </c>
      <c r="F10" s="748">
        <f>+'PROYECCIONES CON PLAN DESEMPE.'!C11</f>
        <v>209000</v>
      </c>
      <c r="G10" s="654">
        <f>+'PROYECCIONES CON PLAN DESEMPE.'!D11</f>
        <v>500000</v>
      </c>
      <c r="H10" s="748">
        <f>+'PROYECCIONES CON PLAN DESEMPE.'!E11</f>
        <v>500000</v>
      </c>
      <c r="I10" s="748">
        <f>+'PROYECCIONES CON PLAN DESEMPE.'!F11</f>
        <v>575000</v>
      </c>
      <c r="J10" s="748">
        <f>+'PROYECCIONES CON PLAN DESEMPE.'!G11</f>
        <v>667000</v>
      </c>
      <c r="K10" s="748">
        <f>+'PROYECCIONES CON PLAN DESEMPE.'!H11</f>
        <v>800400</v>
      </c>
    </row>
    <row r="11" spans="1:11" ht="15">
      <c r="A11" s="8" t="str">
        <f>+'INGR. Y EGRE SEC CENT'!A12</f>
        <v>1.1.1.4</v>
      </c>
      <c r="B11" s="34" t="str">
        <f>+'INGR. Y EGRE SEC CENT'!B12</f>
        <v>Avisos y Tableros </v>
      </c>
      <c r="C11" s="734">
        <f>+'INGR. Y EGRE SEC CENT'!C12</f>
        <v>0</v>
      </c>
      <c r="D11" s="748">
        <f>+'INGR. Y EGRE SEC CENT'!D12</f>
        <v>0</v>
      </c>
      <c r="E11" s="654">
        <f>+'INGR. Y EGRE SEC CENT'!E12</f>
        <v>0</v>
      </c>
      <c r="F11" s="748">
        <f>+'PROYECCIONES CON PLAN DESEMPE.'!C12</f>
        <v>0</v>
      </c>
      <c r="G11" s="654">
        <f>+'PROYECCIONES CON PLAN DESEMPE.'!D12</f>
        <v>2000000</v>
      </c>
      <c r="H11" s="748">
        <f>+'PROYECCIONES CON PLAN DESEMPE.'!E12</f>
        <v>2200000</v>
      </c>
      <c r="I11" s="748">
        <f>+'PROYECCIONES CON PLAN DESEMPE.'!F12</f>
        <v>2530000</v>
      </c>
      <c r="J11" s="748">
        <f>+'PROYECCIONES CON PLAN DESEMPE.'!G12</f>
        <v>2934800</v>
      </c>
      <c r="K11" s="748">
        <f>+'PROYECCIONES CON PLAN DESEMPE.'!H12</f>
        <v>3521760</v>
      </c>
    </row>
    <row r="12" spans="1:11" ht="15">
      <c r="A12" s="8" t="str">
        <f>+'INGR. Y EGRE SEC CENT'!A18</f>
        <v>1.1.1.10</v>
      </c>
      <c r="B12" s="34" t="str">
        <f>+'INGR. Y EGRE SEC CENT'!B18</f>
        <v>Sobretasa a la Gasolina</v>
      </c>
      <c r="C12" s="734">
        <f>+'INGR. Y EGRE SEC CENT'!C18</f>
        <v>0</v>
      </c>
      <c r="D12" s="748">
        <f>+'INGR. Y EGRE SEC CENT'!D18</f>
        <v>0</v>
      </c>
      <c r="E12" s="654">
        <f>+'INGR. Y EGRE SEC CENT'!E18</f>
        <v>0</v>
      </c>
      <c r="F12" s="748">
        <f>+'PROYECCIONES CON PLAN DESEMPE.'!C18</f>
        <v>0</v>
      </c>
      <c r="G12" s="654">
        <f>+'PROYECCIONES CON PLAN DESEMPE.'!D18</f>
        <v>0</v>
      </c>
      <c r="H12" s="748">
        <f>+'PROYECCIONES CON PLAN DESEMPE.'!E18</f>
        <v>500000</v>
      </c>
      <c r="I12" s="748">
        <f>+'PROYECCIONES CON PLAN DESEMPE.'!F18</f>
        <v>575000</v>
      </c>
      <c r="J12" s="748">
        <f>+'PROYECCIONES CON PLAN DESEMPE.'!G18</f>
        <v>667000</v>
      </c>
      <c r="K12" s="748">
        <f>+'PROYECCIONES CON PLAN DESEMPE.'!H18</f>
        <v>800400</v>
      </c>
    </row>
    <row r="13" spans="1:11" s="149" customFormat="1" ht="15" customHeight="1">
      <c r="A13" s="338"/>
      <c r="B13" s="12" t="s">
        <v>532</v>
      </c>
      <c r="C13" s="734">
        <f>SUM('INGR. Y EGRE SEC CENT'!C13:C24)-'INGR. Y EGRE SEC CENT'!C18</f>
        <v>0</v>
      </c>
      <c r="D13" s="748">
        <f>SUM('INGR. Y EGRE SEC CENT'!D13:D24)-'INGR. Y EGRE SEC CENT'!D18</f>
        <v>0</v>
      </c>
      <c r="E13" s="654">
        <f>SUM('INGR. Y EGRE SEC CENT'!E13:E24)-'INGR. Y EGRE SEC CENT'!E18</f>
        <v>14467125</v>
      </c>
      <c r="F13" s="748">
        <f>SUM('PROYECCIONES CON PLAN DESEMPE.'!C13:C24)-'PROYECCIONES CON PLAN DESEMPE.'!C18</f>
        <v>2053200</v>
      </c>
      <c r="G13" s="654">
        <f>SUM('PROYECCIONES CON PLAN DESEMPE.'!D13:D24)-'PROYECCIONES CON PLAN DESEMPE.'!D18</f>
        <v>21001000</v>
      </c>
      <c r="H13" s="748">
        <f>SUM('PROYECCIONES CON PLAN DESEMPE.'!E13:E24)-'PROYECCIONES CON PLAN DESEMPE.'!E18</f>
        <v>22331000</v>
      </c>
      <c r="I13" s="748">
        <f>SUM('PROYECCIONES CON PLAN DESEMPE.'!F13:F24)-'PROYECCIONES CON PLAN DESEMPE.'!F18</f>
        <v>24703756</v>
      </c>
      <c r="J13" s="748">
        <f>SUM('PROYECCIONES CON PLAN DESEMPE.'!G13:G24)-'PROYECCIONES CON PLAN DESEMPE.'!G18</f>
        <v>26119967</v>
      </c>
      <c r="K13" s="748">
        <f>SUM('PROYECCIONES CON PLAN DESEMPE.'!H13:H24)-'PROYECCIONES CON PLAN DESEMPE.'!H18</f>
        <v>33181760</v>
      </c>
    </row>
    <row r="14" spans="1:11" s="149" customFormat="1" ht="15" customHeight="1">
      <c r="A14" s="396" t="str">
        <f>+'INGR. Y EGRE SEC CENT'!A28</f>
        <v>1.1.2</v>
      </c>
      <c r="B14" s="395" t="str">
        <f>+'INGR. Y EGRE SEC CENT'!B28</f>
        <v>INGRESOS NO TRIBUTARIOS</v>
      </c>
      <c r="C14" s="786">
        <f aca="true" t="shared" si="2" ref="C14:K14">SUM(C15:C18)</f>
        <v>0</v>
      </c>
      <c r="D14" s="787">
        <f t="shared" si="2"/>
        <v>0</v>
      </c>
      <c r="E14" s="788">
        <f t="shared" si="2"/>
        <v>119703045</v>
      </c>
      <c r="F14" s="787">
        <f t="shared" si="2"/>
        <v>47989840</v>
      </c>
      <c r="G14" s="788">
        <f t="shared" si="2"/>
        <v>18708000</v>
      </c>
      <c r="H14" s="787">
        <f t="shared" si="2"/>
        <v>20570000</v>
      </c>
      <c r="I14" s="787">
        <f t="shared" si="2"/>
        <v>22137500</v>
      </c>
      <c r="J14" s="787">
        <f t="shared" si="2"/>
        <v>25578300</v>
      </c>
      <c r="K14" s="787">
        <f t="shared" si="2"/>
        <v>30693960</v>
      </c>
    </row>
    <row r="15" spans="1:11" ht="15">
      <c r="A15" s="8" t="str">
        <f>+'INGR. Y EGRE SEC CENT'!A29</f>
        <v>1.1.2.1</v>
      </c>
      <c r="B15" s="14" t="str">
        <f>+'INGR. Y EGRE SEC CENT'!B29</f>
        <v>Aseo</v>
      </c>
      <c r="C15" s="734">
        <f>+'INGR. Y EGRE SEC CENT'!C29</f>
        <v>0</v>
      </c>
      <c r="D15" s="748">
        <f>+'INGR. Y EGRE SEC CENT'!D29</f>
        <v>0</v>
      </c>
      <c r="E15" s="654">
        <f>+'INGR. Y EGRE SEC CENT'!E29</f>
        <v>0</v>
      </c>
      <c r="F15" s="748">
        <f>+'PROYECCIONES CON PLAN DESEMPE.'!C29</f>
        <v>0</v>
      </c>
      <c r="G15" s="654">
        <f>+'PROYECCIONES CON PLAN DESEMPE.'!D29</f>
        <v>0</v>
      </c>
      <c r="H15" s="748">
        <f>+'PROYECCIONES CON PLAN DESEMPE.'!E29</f>
        <v>0</v>
      </c>
      <c r="I15" s="748">
        <f>+'PROYECCIONES CON PLAN DESEMPE.'!F29</f>
        <v>0</v>
      </c>
      <c r="J15" s="748">
        <f>+'PROYECCIONES CON PLAN DESEMPE.'!G29</f>
        <v>0</v>
      </c>
      <c r="K15" s="748">
        <f>+'PROYECCIONES CON PLAN DESEMPE.'!H29</f>
        <v>0</v>
      </c>
    </row>
    <row r="16" spans="1:11" ht="15">
      <c r="A16" s="8" t="str">
        <f>+'INGR. Y EGRE SEC CENT'!A30</f>
        <v>1.1.2.2</v>
      </c>
      <c r="B16" s="34" t="str">
        <f>+'INGR. Y EGRE SEC CENT'!B30</f>
        <v>Pliego de Licitaciones</v>
      </c>
      <c r="C16" s="734">
        <f>+'INGR. Y EGRE SEC CENT'!C30</f>
        <v>0</v>
      </c>
      <c r="D16" s="748">
        <f>+'INGR. Y EGRE SEC CENT'!D30</f>
        <v>0</v>
      </c>
      <c r="E16" s="654">
        <f>+'INGR. Y EGRE SEC CENT'!E30</f>
        <v>0</v>
      </c>
      <c r="F16" s="748">
        <f>+'PROYECCIONES CON PLAN DESEMPE.'!C30</f>
        <v>0</v>
      </c>
      <c r="G16" s="654">
        <f>+'PROYECCIONES CON PLAN DESEMPE.'!D30</f>
        <v>7000000</v>
      </c>
      <c r="H16" s="748">
        <f>+'PROYECCIONES CON PLAN DESEMPE.'!E30</f>
        <v>7700000</v>
      </c>
      <c r="I16" s="748">
        <f>+'PROYECCIONES CON PLAN DESEMPE.'!F30</f>
        <v>8855000</v>
      </c>
      <c r="J16" s="748">
        <f>+'PROYECCIONES CON PLAN DESEMPE.'!G30</f>
        <v>10271800</v>
      </c>
      <c r="K16" s="748">
        <f>+'PROYECCIONES CON PLAN DESEMPE.'!H30</f>
        <v>12326160</v>
      </c>
    </row>
    <row r="17" spans="1:11" ht="15">
      <c r="A17" s="8" t="str">
        <f>+'INGR. Y EGRE SEC CENT'!A31</f>
        <v>1.1.2.3</v>
      </c>
      <c r="B17" s="34" t="str">
        <f>+'INGR. Y EGRE SEC CENT'!B31</f>
        <v>Gaceta Municipal</v>
      </c>
      <c r="C17" s="734">
        <f>+'INGR. Y EGRE SEC CENT'!C31</f>
        <v>0</v>
      </c>
      <c r="D17" s="748">
        <f>+'INGR. Y EGRE SEC CENT'!D31</f>
        <v>0</v>
      </c>
      <c r="E17" s="654">
        <f>+'INGR. Y EGRE SEC CENT'!E31</f>
        <v>6131889</v>
      </c>
      <c r="F17" s="748">
        <f>+'PROYECCIONES CON PLAN DESEMPE.'!C31</f>
        <v>2192516</v>
      </c>
      <c r="G17" s="654">
        <f>+'PROYECCIONES CON PLAN DESEMPE.'!D31</f>
        <v>0</v>
      </c>
      <c r="H17" s="748">
        <f>+'PROYECCIONES CON PLAN DESEMPE.'!E31</f>
        <v>0</v>
      </c>
      <c r="I17" s="748">
        <f>+'PROYECCIONES CON PLAN DESEMPE.'!F31</f>
        <v>0</v>
      </c>
      <c r="J17" s="748">
        <f>+'PROYECCIONES CON PLAN DESEMPE.'!G31</f>
        <v>0</v>
      </c>
      <c r="K17" s="748">
        <f>+'PROYECCIONES CON PLAN DESEMPE.'!H31</f>
        <v>0</v>
      </c>
    </row>
    <row r="18" spans="1:11" ht="15">
      <c r="A18" s="8"/>
      <c r="B18" s="12" t="s">
        <v>533</v>
      </c>
      <c r="C18" s="734">
        <f>SUM('INGR. Y EGRE SEC CENT'!C32:C37)</f>
        <v>0</v>
      </c>
      <c r="D18" s="748">
        <f>SUM('INGR. Y EGRE SEC CENT'!D32:D37)</f>
        <v>0</v>
      </c>
      <c r="E18" s="654">
        <f>SUM('INGR. Y EGRE SEC CENT'!E32:E37)</f>
        <v>113571156</v>
      </c>
      <c r="F18" s="748">
        <f>SUM('PROYECCIONES CON PLAN DESEMPE.'!C32:C37)</f>
        <v>45797324</v>
      </c>
      <c r="G18" s="654">
        <f>SUM('PROYECCIONES CON PLAN DESEMPE.'!D32:D37)</f>
        <v>11708000</v>
      </c>
      <c r="H18" s="748">
        <f>SUM('PROYECCIONES CON PLAN DESEMPE.'!E32:E37)</f>
        <v>12870000</v>
      </c>
      <c r="I18" s="748">
        <f>SUM('PROYECCIONES CON PLAN DESEMPE.'!F32:F37)</f>
        <v>13282500</v>
      </c>
      <c r="J18" s="748">
        <f>SUM('PROYECCIONES CON PLAN DESEMPE.'!G32:G37)</f>
        <v>15306500</v>
      </c>
      <c r="K18" s="748">
        <f>SUM('PROYECCIONES CON PLAN DESEMPE.'!H32:H37)</f>
        <v>18367800</v>
      </c>
    </row>
    <row r="19" spans="1:11" s="149" customFormat="1" ht="15" customHeight="1">
      <c r="A19" s="396" t="str">
        <f>+'INGR. Y EGRE SEC CENT'!A41</f>
        <v>1.1.3</v>
      </c>
      <c r="B19" s="395" t="str">
        <f>+'INGR. Y EGRE SEC CENT'!B41</f>
        <v>TRANSFERENCIAS</v>
      </c>
      <c r="C19" s="786">
        <f aca="true" t="shared" si="3" ref="C19:K19">SUM(C20:C24)</f>
        <v>0</v>
      </c>
      <c r="D19" s="787">
        <f t="shared" si="3"/>
        <v>0</v>
      </c>
      <c r="E19" s="788">
        <f t="shared" si="3"/>
        <v>3752893292</v>
      </c>
      <c r="F19" s="787">
        <f t="shared" si="3"/>
        <v>1885785577</v>
      </c>
      <c r="G19" s="788">
        <f t="shared" si="3"/>
        <v>1947487000</v>
      </c>
      <c r="H19" s="787">
        <f t="shared" si="3"/>
        <v>2135575432</v>
      </c>
      <c r="I19" s="787">
        <f t="shared" si="3"/>
        <v>2357917157</v>
      </c>
      <c r="J19" s="787">
        <f t="shared" si="3"/>
        <v>2628365174</v>
      </c>
      <c r="K19" s="787">
        <f t="shared" si="3"/>
        <v>2949126776</v>
      </c>
    </row>
    <row r="20" spans="1:11" s="148" customFormat="1" ht="15">
      <c r="A20" s="375" t="str">
        <f>+'INGR. Y EGRE SEC CENT'!A43</f>
        <v>1.1.3.1.1</v>
      </c>
      <c r="B20" s="339" t="str">
        <f>+'INGR. Y EGRE SEC CENT'!B43</f>
        <v>Situado Fiscal Educación</v>
      </c>
      <c r="C20" s="789">
        <f>+'INGR. Y EGRE SEC CENT'!C43</f>
        <v>0</v>
      </c>
      <c r="D20" s="790">
        <f>+'INGR. Y EGRE SEC CENT'!D43</f>
        <v>0</v>
      </c>
      <c r="E20" s="791">
        <f>+'INGR. Y EGRE SEC CENT'!E43</f>
        <v>0</v>
      </c>
      <c r="F20" s="790">
        <f>+'PROYECCIONES CON PLAN DESEMPE.'!C43</f>
        <v>0</v>
      </c>
      <c r="G20" s="791">
        <f>+'PROYECCIONES CON PLAN DESEMPE.'!D43</f>
        <v>0</v>
      </c>
      <c r="H20" s="790">
        <f>+'PROYECCIONES CON PLAN DESEMPE.'!E43</f>
        <v>0</v>
      </c>
      <c r="I20" s="790">
        <f>+'PROYECCIONES CON PLAN DESEMPE.'!F43</f>
        <v>0</v>
      </c>
      <c r="J20" s="790">
        <f>+'PROYECCIONES CON PLAN DESEMPE.'!G43</f>
        <v>0</v>
      </c>
      <c r="K20" s="790">
        <f>+'PROYECCIONES CON PLAN DESEMPE.'!H43</f>
        <v>0</v>
      </c>
    </row>
    <row r="21" spans="1:11" s="148" customFormat="1" ht="15">
      <c r="A21" s="375" t="str">
        <f>+'INGR. Y EGRE SEC CENT'!A44</f>
        <v>1.1.3.1.2</v>
      </c>
      <c r="B21" s="339" t="str">
        <f>+'INGR. Y EGRE SEC CENT'!B44</f>
        <v>Situado Fiscal Salud</v>
      </c>
      <c r="C21" s="789">
        <f>+'INGR. Y EGRE SEC CENT'!C44</f>
        <v>0</v>
      </c>
      <c r="D21" s="790">
        <f>+'INGR. Y EGRE SEC CENT'!D44</f>
        <v>0</v>
      </c>
      <c r="E21" s="791">
        <f>+'INGR. Y EGRE SEC CENT'!E44</f>
        <v>0</v>
      </c>
      <c r="F21" s="790">
        <f>+'PROYECCIONES CON PLAN DESEMPE.'!C44</f>
        <v>0</v>
      </c>
      <c r="G21" s="791">
        <f>+'PROYECCIONES CON PLAN DESEMPE.'!D44</f>
        <v>0</v>
      </c>
      <c r="H21" s="790">
        <f>+'PROYECCIONES CON PLAN DESEMPE.'!E44</f>
        <v>0</v>
      </c>
      <c r="I21" s="790">
        <f>+'PROYECCIONES CON PLAN DESEMPE.'!F44</f>
        <v>0</v>
      </c>
      <c r="J21" s="790">
        <f>+'PROYECCIONES CON PLAN DESEMPE.'!G44</f>
        <v>0</v>
      </c>
      <c r="K21" s="790">
        <f>+'PROYECCIONES CON PLAN DESEMPE.'!H44</f>
        <v>0</v>
      </c>
    </row>
    <row r="22" spans="1:11" s="148" customFormat="1" ht="15">
      <c r="A22" s="375" t="str">
        <f>+'INGR. Y EGRE SEC CENT'!A46</f>
        <v>1.1.3.2.1</v>
      </c>
      <c r="B22" s="339" t="str">
        <f>+'INGR. Y EGRE SEC CENT'!B46</f>
        <v>ICN. de Inversión Forzosa</v>
      </c>
      <c r="C22" s="789">
        <f>+'INGR. Y EGRE SEC CENT'!C46</f>
        <v>0</v>
      </c>
      <c r="D22" s="790">
        <f>+'INGR. Y EGRE SEC CENT'!D46</f>
        <v>0</v>
      </c>
      <c r="E22" s="791">
        <f>+'INGR. Y EGRE SEC CENT'!E46</f>
        <v>2603864699</v>
      </c>
      <c r="F22" s="790">
        <f>+'PROYECCIONES CON PLAN DESEMPE.'!C46</f>
        <v>1381135295</v>
      </c>
      <c r="G22" s="791">
        <f>+'PROYECCIONES CON PLAN DESEMPE.'!D46</f>
        <v>1600704940</v>
      </c>
      <c r="H22" s="790">
        <f>+'PROYECCIONES CON PLAN DESEMPE.'!E46</f>
        <v>1840810681</v>
      </c>
      <c r="I22" s="790">
        <f>+'PROYECCIONES CON PLAN DESEMPE.'!F46</f>
        <v>2098524176</v>
      </c>
      <c r="J22" s="790">
        <f>+'PROYECCIONES CON PLAN DESEMPE.'!G46</f>
        <v>2392317561</v>
      </c>
      <c r="K22" s="790">
        <f>+'PROYECCIONES CON PLAN DESEMPE.'!H46</f>
        <v>2727242020</v>
      </c>
    </row>
    <row r="23" spans="1:11" ht="15">
      <c r="A23" s="8" t="str">
        <f>+'INGR. Y EGRE SEC CENT'!A47</f>
        <v>1.1.3.2.2</v>
      </c>
      <c r="B23" s="339" t="str">
        <f>+'INGR. Y EGRE SEC CENT'!B47</f>
        <v>ICN. de Libre Destinación</v>
      </c>
      <c r="C23" s="789">
        <f>+'INGR. Y EGRE SEC CENT'!C47</f>
        <v>0</v>
      </c>
      <c r="D23" s="790">
        <f>+'INGR. Y EGRE SEC CENT'!D47</f>
        <v>0</v>
      </c>
      <c r="E23" s="791">
        <f>+'INGR. Y EGRE SEC CENT'!E47</f>
        <v>784941804</v>
      </c>
      <c r="F23" s="790">
        <f>+'PROYECCIONES CON PLAN DESEMPE.'!C47</f>
        <v>335583815</v>
      </c>
      <c r="G23" s="791">
        <f>+'PROYECCIONES CON PLAN DESEMPE.'!D47</f>
        <v>346782060</v>
      </c>
      <c r="H23" s="790">
        <f>+'PROYECCIONES CON PLAN DESEMPE.'!E47</f>
        <v>294764751</v>
      </c>
      <c r="I23" s="790">
        <f>+'PROYECCIONES CON PLAN DESEMPE.'!F47</f>
        <v>259392981</v>
      </c>
      <c r="J23" s="790">
        <f>+'PROYECCIONES CON PLAN DESEMPE.'!G47</f>
        <v>236047613</v>
      </c>
      <c r="K23" s="790">
        <f>+'PROYECCIONES CON PLAN DESEMPE.'!H47</f>
        <v>221884756</v>
      </c>
    </row>
    <row r="24" spans="1:11" ht="15">
      <c r="A24" s="8" t="str">
        <f>+'INGR. Y EGRE SEC CENT'!A48</f>
        <v>1.1.3.3.3</v>
      </c>
      <c r="B24" s="11" t="str">
        <f>+'INGR. Y EGRE SEC CENT'!B48</f>
        <v>Otras Transferencias :</v>
      </c>
      <c r="C24" s="734">
        <f>+'INGR. Y EGRE SEC CENT'!C48</f>
        <v>0</v>
      </c>
      <c r="D24" s="748">
        <f>+'INGR. Y EGRE SEC CENT'!D48</f>
        <v>0</v>
      </c>
      <c r="E24" s="654">
        <f>+'INGR. Y EGRE SEC CENT'!E48</f>
        <v>364086789</v>
      </c>
      <c r="F24" s="748">
        <f>+'PROYECCIONES CON PLAN DESEMPE.'!C48</f>
        <v>169066467</v>
      </c>
      <c r="G24" s="654">
        <f>+'PROYECCIONES CON PLAN DESEMPE.'!D48</f>
        <v>0</v>
      </c>
      <c r="H24" s="748">
        <f>+'PROYECCIONES CON PLAN DESEMPE.'!E48</f>
        <v>0</v>
      </c>
      <c r="I24" s="748">
        <f>+'PROYECCIONES CON PLAN DESEMPE.'!F48</f>
        <v>0</v>
      </c>
      <c r="J24" s="748">
        <f>+'PROYECCIONES CON PLAN DESEMPE.'!G48</f>
        <v>0</v>
      </c>
      <c r="K24" s="748">
        <f>+'PROYECCIONES CON PLAN DESEMPE.'!H48</f>
        <v>0</v>
      </c>
    </row>
    <row r="25" spans="1:11" s="148" customFormat="1" ht="15">
      <c r="A25" s="399">
        <f>+'INGR. Y EGRE SEC CENT'!A89</f>
        <v>2</v>
      </c>
      <c r="B25" s="400" t="s">
        <v>534</v>
      </c>
      <c r="C25" s="792">
        <f>+C26+C51+C52</f>
        <v>0</v>
      </c>
      <c r="D25" s="793">
        <f aca="true" t="shared" si="4" ref="D25:K25">+D26+D51+D52</f>
        <v>0</v>
      </c>
      <c r="E25" s="794">
        <f t="shared" si="4"/>
        <v>2022555413</v>
      </c>
      <c r="F25" s="793">
        <f t="shared" si="4"/>
        <v>1195084389</v>
      </c>
      <c r="G25" s="794">
        <f t="shared" si="4"/>
        <v>1285477433</v>
      </c>
      <c r="H25" s="793">
        <f t="shared" si="4"/>
        <v>1238937742</v>
      </c>
      <c r="I25" s="793">
        <f t="shared" si="4"/>
        <v>1192107632</v>
      </c>
      <c r="J25" s="793">
        <f t="shared" si="4"/>
        <v>1197764663</v>
      </c>
      <c r="K25" s="793">
        <f t="shared" si="4"/>
        <v>1149390222</v>
      </c>
    </row>
    <row r="26" spans="1:11" ht="15">
      <c r="A26" s="396">
        <f>+'INGR. Y EGRE SEC CENT'!A90</f>
        <v>2.1</v>
      </c>
      <c r="B26" s="395" t="str">
        <f>+'INGR. Y EGRE SEC CENT'!B90</f>
        <v>GASTOS DE FUNCIONAMIENTO</v>
      </c>
      <c r="C26" s="786">
        <f>+C27+C40+C41</f>
        <v>0</v>
      </c>
      <c r="D26" s="787">
        <f aca="true" t="shared" si="5" ref="D26:K26">+D27+D40+D41</f>
        <v>0</v>
      </c>
      <c r="E26" s="788">
        <f t="shared" si="5"/>
        <v>1490079320</v>
      </c>
      <c r="F26" s="787">
        <f t="shared" si="5"/>
        <v>1014137274</v>
      </c>
      <c r="G26" s="788">
        <f t="shared" si="5"/>
        <v>970477433</v>
      </c>
      <c r="H26" s="787">
        <f t="shared" si="5"/>
        <v>970477433</v>
      </c>
      <c r="I26" s="787">
        <f t="shared" si="5"/>
        <v>966097283</v>
      </c>
      <c r="J26" s="787">
        <f t="shared" si="5"/>
        <v>1004346540</v>
      </c>
      <c r="K26" s="787">
        <f t="shared" si="5"/>
        <v>988665371</v>
      </c>
    </row>
    <row r="27" spans="1:11" ht="15">
      <c r="A27" s="396" t="str">
        <f>+'INGR. Y EGRE SEC CENT'!A91</f>
        <v>2.1.1</v>
      </c>
      <c r="B27" s="395" t="str">
        <f>+'INGR. Y EGRE SEC CENT'!B91</f>
        <v>GASTOS DE PERSONAL</v>
      </c>
      <c r="C27" s="786">
        <f>+C28+C37+C38+C39</f>
        <v>0</v>
      </c>
      <c r="D27" s="787">
        <f aca="true" t="shared" si="6" ref="D27:K27">+D28+D37+D38+D39</f>
        <v>0</v>
      </c>
      <c r="E27" s="788">
        <f t="shared" si="6"/>
        <v>1234539877</v>
      </c>
      <c r="F27" s="787">
        <f t="shared" si="6"/>
        <v>605577009</v>
      </c>
      <c r="G27" s="788">
        <f t="shared" si="6"/>
        <v>659789023</v>
      </c>
      <c r="H27" s="787">
        <f t="shared" si="6"/>
        <v>659789023</v>
      </c>
      <c r="I27" s="787">
        <f t="shared" si="6"/>
        <v>696348667</v>
      </c>
      <c r="J27" s="787">
        <f t="shared" si="6"/>
        <v>725247924</v>
      </c>
      <c r="K27" s="787">
        <f t="shared" si="6"/>
        <v>676438921</v>
      </c>
    </row>
    <row r="28" spans="1:11" ht="15">
      <c r="A28" s="401" t="str">
        <f>+'INGR. Y EGRE SEC CENT'!A92</f>
        <v>2.1.1.1</v>
      </c>
      <c r="B28" s="395" t="str">
        <f>+'INGR. Y EGRE SEC CENT'!B92</f>
        <v>Servicios Personales Asociados a la Nomina</v>
      </c>
      <c r="C28" s="786">
        <f>SUM(C29:C36)</f>
        <v>0</v>
      </c>
      <c r="D28" s="787">
        <f aca="true" t="shared" si="7" ref="D28:K28">SUM(D29:D36)</f>
        <v>0</v>
      </c>
      <c r="E28" s="788">
        <f t="shared" si="7"/>
        <v>1223413464</v>
      </c>
      <c r="F28" s="787">
        <f t="shared" si="7"/>
        <v>489946736</v>
      </c>
      <c r="G28" s="788">
        <f t="shared" si="7"/>
        <v>615647049</v>
      </c>
      <c r="H28" s="787">
        <f t="shared" si="7"/>
        <v>615647049</v>
      </c>
      <c r="I28" s="787">
        <f t="shared" si="7"/>
        <v>650186637</v>
      </c>
      <c r="J28" s="787">
        <f t="shared" si="7"/>
        <v>676691753</v>
      </c>
      <c r="K28" s="787">
        <f t="shared" si="7"/>
        <v>622056010</v>
      </c>
    </row>
    <row r="29" spans="1:11" ht="15">
      <c r="A29" s="8" t="str">
        <f>+'INGR. Y EGRE SEC CENT'!A95</f>
        <v>2.1.1.1.1.1.1</v>
      </c>
      <c r="B29" s="14" t="str">
        <f>+'INGR. Y EGRE SEC CENT'!B95</f>
        <v>Educadores Financiados con Ingresos Corrientes de la Nación</v>
      </c>
      <c r="C29" s="734">
        <f>+'INGR. Y EGRE SEC CENT'!C95</f>
        <v>0</v>
      </c>
      <c r="D29" s="748">
        <f>+'INGR. Y EGRE SEC CENT'!D95</f>
        <v>0</v>
      </c>
      <c r="E29" s="654">
        <f>+'INGR. Y EGRE SEC CENT'!E95</f>
        <v>619660412</v>
      </c>
      <c r="F29" s="748">
        <f>+'PROYECCIONES CON PLAN DESEMPE.'!C95</f>
        <v>147896924</v>
      </c>
      <c r="G29" s="654">
        <f>+'PROYECCIONES CON PLAN DESEMPE.'!D95</f>
        <v>203747451</v>
      </c>
      <c r="H29" s="748">
        <f>+'PROYECCIONES CON PLAN DESEMPE.'!E95</f>
        <v>203747451</v>
      </c>
      <c r="I29" s="748">
        <f>+'PROYECCIONES CON PLAN DESEMPE.'!F95</f>
        <v>224122196</v>
      </c>
      <c r="J29" s="748">
        <f>+'PROYECCIONES CON PLAN DESEMPE.'!G95</f>
        <v>224122196</v>
      </c>
      <c r="K29" s="748">
        <f>+'PROYECCIONES CON PLAN DESEMPE.'!H95</f>
        <v>251016859</v>
      </c>
    </row>
    <row r="30" spans="1:11" ht="15">
      <c r="A30" s="8" t="str">
        <f>+'INGR. Y EGRE SEC CENT'!A96</f>
        <v>2.1.1.1.1.1.2</v>
      </c>
      <c r="B30" s="14" t="str">
        <f>+'INGR. Y EGRE SEC CENT'!B96</f>
        <v>Educadores Financiados con Situado Fiscal</v>
      </c>
      <c r="C30" s="734">
        <f>+'INGR. Y EGRE SEC CENT'!C96</f>
        <v>0</v>
      </c>
      <c r="D30" s="748">
        <f>+'INGR. Y EGRE SEC CENT'!D96</f>
        <v>0</v>
      </c>
      <c r="E30" s="654">
        <f>+'INGR. Y EGRE SEC CENT'!E96</f>
        <v>0</v>
      </c>
      <c r="F30" s="748">
        <f>+'PROYECCIONES CON PLAN DESEMPE.'!C96</f>
        <v>0</v>
      </c>
      <c r="G30" s="654">
        <f>+'PROYECCIONES CON PLAN DESEMPE.'!D96</f>
        <v>0</v>
      </c>
      <c r="H30" s="748">
        <f>+'PROYECCIONES CON PLAN DESEMPE.'!E96</f>
        <v>0</v>
      </c>
      <c r="I30" s="748">
        <f>+'PROYECCIONES CON PLAN DESEMPE.'!F96</f>
        <v>0</v>
      </c>
      <c r="J30" s="748">
        <f>+'PROYECCIONES CON PLAN DESEMPE.'!G96</f>
        <v>0</v>
      </c>
      <c r="K30" s="748">
        <f>+'PROYECCIONES CON PLAN DESEMPE.'!H96</f>
        <v>0</v>
      </c>
    </row>
    <row r="31" spans="1:11" ht="15">
      <c r="A31" s="8" t="str">
        <f>+'INGR. Y EGRE SEC CENT'!A97</f>
        <v>2.1.1.1.1.1.3</v>
      </c>
      <c r="B31" s="14" t="str">
        <f>+'INGR. Y EGRE SEC CENT'!B97</f>
        <v>Educadores Financiados con Otros Recursos</v>
      </c>
      <c r="C31" s="734">
        <f>+'INGR. Y EGRE SEC CENT'!C97</f>
        <v>0</v>
      </c>
      <c r="D31" s="748">
        <f>+'INGR. Y EGRE SEC CENT'!D97</f>
        <v>0</v>
      </c>
      <c r="E31" s="654">
        <f>+'INGR. Y EGRE SEC CENT'!E97</f>
        <v>0</v>
      </c>
      <c r="F31" s="748">
        <f>+'PROYECCIONES CON PLAN DESEMPE.'!C97</f>
        <v>0</v>
      </c>
      <c r="G31" s="654">
        <f>+'PROYECCIONES CON PLAN DESEMPE.'!D97</f>
        <v>0</v>
      </c>
      <c r="H31" s="748">
        <f>+'PROYECCIONES CON PLAN DESEMPE.'!E97</f>
        <v>0</v>
      </c>
      <c r="I31" s="748">
        <f>+'PROYECCIONES CON PLAN DESEMPE.'!F97</f>
        <v>0</v>
      </c>
      <c r="J31" s="748">
        <f>+'PROYECCIONES CON PLAN DESEMPE.'!G97</f>
        <v>0</v>
      </c>
      <c r="K31" s="748">
        <f>+'PROYECCIONES CON PLAN DESEMPE.'!H97</f>
        <v>0</v>
      </c>
    </row>
    <row r="32" spans="1:11" ht="15">
      <c r="A32" s="8" t="str">
        <f>+'INGR. Y EGRE SEC CENT'!A98</f>
        <v>2.1.1.1.1.2</v>
      </c>
      <c r="B32" s="14" t="str">
        <f>+'INGR. Y EGRE SEC CENT'!B98</f>
        <v>Médicos, Enfermeros(as) y Promotores de la Salud</v>
      </c>
      <c r="C32" s="734">
        <f>+'INGR. Y EGRE SEC CENT'!C98</f>
        <v>0</v>
      </c>
      <c r="D32" s="748">
        <f>+'INGR. Y EGRE SEC CENT'!D98</f>
        <v>0</v>
      </c>
      <c r="E32" s="654">
        <f>+'INGR. Y EGRE SEC CENT'!E98</f>
        <v>66121443</v>
      </c>
      <c r="F32" s="748">
        <f>+'PROYECCIONES CON PLAN DESEMPE.'!C98</f>
        <v>99541411</v>
      </c>
      <c r="G32" s="654">
        <f>+'PROYECCIONES CON PLAN DESEMPE.'!D98</f>
        <v>137848437</v>
      </c>
      <c r="H32" s="748">
        <f>+'PROYECCIONES CON PLAN DESEMPE.'!E98</f>
        <v>137848437</v>
      </c>
      <c r="I32" s="748">
        <f>+'PROYECCIONES CON PLAN DESEMPE.'!F98</f>
        <v>151413280</v>
      </c>
      <c r="J32" s="748">
        <f>+'PROYECCIONES CON PLAN DESEMPE.'!G98</f>
        <v>151413280</v>
      </c>
      <c r="K32" s="748">
        <f>+'PROYECCIONES CON PLAN DESEMPE.'!H98</f>
        <v>169582874</v>
      </c>
    </row>
    <row r="33" spans="1:11" ht="15">
      <c r="A33" s="8" t="str">
        <f>+'INGR. Y EGRE SEC CENT'!A99</f>
        <v>2.1.1.1.1.3</v>
      </c>
      <c r="B33" s="14" t="str">
        <f>+'INGR. Y EGRE SEC CENT'!B99</f>
        <v>Resto de Empleados Públicos</v>
      </c>
      <c r="C33" s="734">
        <f>+'INGR. Y EGRE SEC CENT'!C99</f>
        <v>0</v>
      </c>
      <c r="D33" s="748">
        <f>+'INGR. Y EGRE SEC CENT'!D99</f>
        <v>0</v>
      </c>
      <c r="E33" s="654">
        <f>+'INGR. Y EGRE SEC CENT'!E99</f>
        <v>250916691</v>
      </c>
      <c r="F33" s="748">
        <f>+'PROYECCIONES CON PLAN DESEMPE.'!C99</f>
        <v>218146656</v>
      </c>
      <c r="G33" s="654">
        <f>+'PROYECCIONES CON PLAN DESEMPE.'!D99</f>
        <v>265051161</v>
      </c>
      <c r="H33" s="748">
        <f>+'PROYECCIONES CON PLAN DESEMPE.'!E99</f>
        <v>265051161</v>
      </c>
      <c r="I33" s="748">
        <f>+'PROYECCIONES CON PLAN DESEMPE.'!F99</f>
        <v>265051161</v>
      </c>
      <c r="J33" s="748">
        <f>+'PROYECCIONES CON PLAN DESEMPE.'!G99</f>
        <v>291556277</v>
      </c>
      <c r="K33" s="748">
        <f>+'PROYECCIONES CON PLAN DESEMPE.'!H99</f>
        <v>191556277</v>
      </c>
    </row>
    <row r="34" spans="1:11" ht="15">
      <c r="A34" s="8" t="str">
        <f>+'INGR. Y EGRE SEC CENT'!A100</f>
        <v>2.1.1.1.2</v>
      </c>
      <c r="B34" s="14" t="str">
        <f>+'INGR. Y EGRE SEC CENT'!B100</f>
        <v>Trabajadores Oficiales</v>
      </c>
      <c r="C34" s="734">
        <f>+'INGR. Y EGRE SEC CENT'!C100</f>
        <v>0</v>
      </c>
      <c r="D34" s="748">
        <f>+'INGR. Y EGRE SEC CENT'!D100</f>
        <v>0</v>
      </c>
      <c r="E34" s="654">
        <f>+'INGR. Y EGRE SEC CENT'!E100</f>
        <v>0</v>
      </c>
      <c r="F34" s="748">
        <f>+'PROYECCIONES CON PLAN DESEMPE.'!C100</f>
        <v>0</v>
      </c>
      <c r="G34" s="654">
        <f>+'PROYECCIONES CON PLAN DESEMPE.'!D100</f>
        <v>0</v>
      </c>
      <c r="H34" s="748">
        <f>+'PROYECCIONES CON PLAN DESEMPE.'!E100</f>
        <v>0</v>
      </c>
      <c r="I34" s="748">
        <f>+'PROYECCIONES CON PLAN DESEMPE.'!F100</f>
        <v>0</v>
      </c>
      <c r="J34" s="748">
        <f>+'PROYECCIONES CON PLAN DESEMPE.'!G100</f>
        <v>0</v>
      </c>
      <c r="K34" s="748">
        <f>+'PROYECCIONES CON PLAN DESEMPE.'!H100</f>
        <v>0</v>
      </c>
    </row>
    <row r="35" spans="1:11" ht="15">
      <c r="A35" s="8" t="str">
        <f>+'INGR. Y EGRE SEC CENT'!A102</f>
        <v>2.1.1.2.1</v>
      </c>
      <c r="B35" s="14" t="str">
        <f>+'INGR. Y EGRE SEC CENT'!B102</f>
        <v>Supernumerarios</v>
      </c>
      <c r="C35" s="734">
        <f>+'INGR. Y EGRE SEC CENT'!C102</f>
        <v>0</v>
      </c>
      <c r="D35" s="748">
        <f>+'INGR. Y EGRE SEC CENT'!D102</f>
        <v>0</v>
      </c>
      <c r="E35" s="654">
        <f>+'INGR. Y EGRE SEC CENT'!E102</f>
        <v>112693160</v>
      </c>
      <c r="F35" s="748">
        <f>+'PROYECCIONES CON PLAN DESEMPE.'!C102</f>
        <v>4859594</v>
      </c>
      <c r="G35" s="654">
        <f>+'PROYECCIONES CON PLAN DESEMPE.'!D102</f>
        <v>3000000</v>
      </c>
      <c r="H35" s="748">
        <f>+'PROYECCIONES CON PLAN DESEMPE.'!E102</f>
        <v>3000000</v>
      </c>
      <c r="I35" s="748">
        <f>+'PROYECCIONES CON PLAN DESEMPE.'!F102</f>
        <v>3000000</v>
      </c>
      <c r="J35" s="748">
        <f>+'PROYECCIONES CON PLAN DESEMPE.'!G102</f>
        <v>3000000</v>
      </c>
      <c r="K35" s="748">
        <f>+'PROYECCIONES CON PLAN DESEMPE.'!H102</f>
        <v>3300000</v>
      </c>
    </row>
    <row r="36" spans="1:11" ht="15">
      <c r="A36" s="8" t="str">
        <f>+'INGR. Y EGRE SEC CENT'!A103</f>
        <v>2.1.1.2.2</v>
      </c>
      <c r="B36" s="14" t="str">
        <f>+'INGR. Y EGRE SEC CENT'!B103</f>
        <v>Contratos de Prestación de Servicios</v>
      </c>
      <c r="C36" s="734">
        <f>+'INGR. Y EGRE SEC CENT'!C103</f>
        <v>0</v>
      </c>
      <c r="D36" s="748">
        <f>+'INGR. Y EGRE SEC CENT'!D103</f>
        <v>0</v>
      </c>
      <c r="E36" s="654">
        <f>+'INGR. Y EGRE SEC CENT'!E103</f>
        <v>174021758</v>
      </c>
      <c r="F36" s="748">
        <f>+'PROYECCIONES CON PLAN DESEMPE.'!C103</f>
        <v>19502151</v>
      </c>
      <c r="G36" s="654">
        <f>+'PROYECCIONES CON PLAN DESEMPE.'!D103</f>
        <v>6000000</v>
      </c>
      <c r="H36" s="748">
        <f>+'PROYECCIONES CON PLAN DESEMPE.'!E103</f>
        <v>6000000</v>
      </c>
      <c r="I36" s="748">
        <f>+'PROYECCIONES CON PLAN DESEMPE.'!F103</f>
        <v>6600000</v>
      </c>
      <c r="J36" s="748">
        <f>+'PROYECCIONES CON PLAN DESEMPE.'!G103</f>
        <v>6600000</v>
      </c>
      <c r="K36" s="748">
        <f>+'PROYECCIONES CON PLAN DESEMPE.'!H103</f>
        <v>6600000</v>
      </c>
    </row>
    <row r="37" spans="1:11" ht="15">
      <c r="A37" s="8" t="str">
        <f>+'INGR. Y EGRE SEC CENT'!A104</f>
        <v>2.1.1.3</v>
      </c>
      <c r="B37" s="12" t="str">
        <f>+'INGR. Y EGRE SEC CENT'!B104</f>
        <v>Contribuciones inherentes a la nomina :</v>
      </c>
      <c r="C37" s="734">
        <f>+'INGR. Y EGRE SEC CENT'!C104-'INGR. Y EGRE SEC CENT'!C112</f>
        <v>0</v>
      </c>
      <c r="D37" s="748">
        <f>+'INGR. Y EGRE SEC CENT'!D104-'INGR. Y EGRE SEC CENT'!D112</f>
        <v>0</v>
      </c>
      <c r="E37" s="654">
        <f>+'INGR. Y EGRE SEC CENT'!E104-'INGR. Y EGRE SEC CENT'!E112</f>
        <v>10582176</v>
      </c>
      <c r="F37" s="748">
        <f>+'INGR. Y EGRE SEC CENT'!F104-'INGR. Y EGRE SEC CENT'!F112</f>
        <v>109464517</v>
      </c>
      <c r="G37" s="654">
        <f>+'PROYECCIONES CON PLAN DESEMPE.'!D104-'PROYECCIONES CON PLAN DESEMPE.'!D112</f>
        <v>20200564</v>
      </c>
      <c r="H37" s="748">
        <f>+'PROYECCIONES CON PLAN DESEMPE.'!E104-'PROYECCIONES CON PLAN DESEMPE.'!E112</f>
        <v>20200564</v>
      </c>
      <c r="I37" s="748">
        <f>+'PROYECCIONES CON PLAN DESEMPE.'!F104-'PROYECCIONES CON PLAN DESEMPE.'!F112</f>
        <v>22220620</v>
      </c>
      <c r="J37" s="748">
        <f>+'PROYECCIONES CON PLAN DESEMPE.'!G104-'PROYECCIONES CON PLAN DESEMPE.'!G112</f>
        <v>22220620</v>
      </c>
      <c r="K37" s="748">
        <f>+'PROYECCIONES CON PLAN DESEMPE.'!H104-'PROYECCIONES CON PLAN DESEMPE.'!H112</f>
        <v>24887094</v>
      </c>
    </row>
    <row r="38" spans="1:11" ht="15">
      <c r="A38" s="8" t="str">
        <f>+'INGR. Y EGRE SEC CENT'!A112</f>
        <v>2.1.1.3.2</v>
      </c>
      <c r="B38" s="12" t="str">
        <f>+'INGR. Y EGRE SEC CENT'!B112</f>
        <v>Aportes Legales (Sena, ICBF, Cajas Compensación, etc)</v>
      </c>
      <c r="C38" s="734">
        <f>+'INGR. Y EGRE SEC CENT'!C112</f>
        <v>0</v>
      </c>
      <c r="D38" s="748">
        <f>+'INGR. Y EGRE SEC CENT'!D112</f>
        <v>0</v>
      </c>
      <c r="E38" s="654">
        <f>+'INGR. Y EGRE SEC CENT'!E112</f>
        <v>544237</v>
      </c>
      <c r="F38" s="748">
        <f>+'PROYECCIONES CON PLAN DESEMPE.'!C112</f>
        <v>6165756</v>
      </c>
      <c r="G38" s="654">
        <f>+'PROYECCIONES CON PLAN DESEMPE.'!D112</f>
        <v>23941410</v>
      </c>
      <c r="H38" s="748">
        <f>+'PROYECCIONES CON PLAN DESEMPE.'!E112</f>
        <v>23941410</v>
      </c>
      <c r="I38" s="748">
        <f>+'PROYECCIONES CON PLAN DESEMPE.'!F112</f>
        <v>23941410</v>
      </c>
      <c r="J38" s="748">
        <f>+'PROYECCIONES CON PLAN DESEMPE.'!G112</f>
        <v>26335551</v>
      </c>
      <c r="K38" s="748">
        <f>+'PROYECCIONES CON PLAN DESEMPE.'!H112</f>
        <v>29495817</v>
      </c>
    </row>
    <row r="39" spans="1:11" ht="15">
      <c r="A39" s="8" t="str">
        <f>+'INGR. Y EGRE SEC CENT'!A113</f>
        <v>2.1.1.4</v>
      </c>
      <c r="B39" s="12" t="str">
        <f>+'INGR. Y EGRE SEC CENT'!B113</f>
        <v>Planes de Retiro</v>
      </c>
      <c r="C39" s="734">
        <f>+'INGR. Y EGRE SEC CENT'!C113</f>
        <v>0</v>
      </c>
      <c r="D39" s="748">
        <f>+'INGR. Y EGRE SEC CENT'!D113</f>
        <v>0</v>
      </c>
      <c r="E39" s="654">
        <f>+'INGR. Y EGRE SEC CENT'!E113</f>
        <v>0</v>
      </c>
      <c r="F39" s="748">
        <f>+'PROYECCIONES CON PLAN DESEMPE.'!C113</f>
        <v>0</v>
      </c>
      <c r="G39" s="654">
        <f>+'PROYECCIONES CON PLAN DESEMPE.'!D113</f>
        <v>0</v>
      </c>
      <c r="H39" s="748">
        <f>+'PROYECCIONES CON PLAN DESEMPE.'!E113</f>
        <v>0</v>
      </c>
      <c r="I39" s="795">
        <f>+'PROYECCIONES CON PLAN DESEMPE.'!F113</f>
        <v>0</v>
      </c>
      <c r="J39" s="795">
        <f>+'PROYECCIONES CON PLAN DESEMPE.'!G113</f>
        <v>0</v>
      </c>
      <c r="K39" s="748">
        <f>+'PROYECCIONES CON PLAN DESEMPE.'!H113</f>
        <v>0</v>
      </c>
    </row>
    <row r="40" spans="1:11" ht="15">
      <c r="A40" s="9" t="str">
        <f>+'INGR. Y EGRE SEC CENT'!A114</f>
        <v>2.1.2</v>
      </c>
      <c r="B40" s="12" t="str">
        <f>+'INGR. Y EGRE SEC CENT'!B114</f>
        <v>GASTOS GENERALES</v>
      </c>
      <c r="C40" s="734">
        <f>+'INGR. Y EGRE SEC CENT'!C114</f>
        <v>0</v>
      </c>
      <c r="D40" s="748">
        <f>+'INGR. Y EGRE SEC CENT'!D114</f>
        <v>0</v>
      </c>
      <c r="E40" s="654">
        <f>+'INGR. Y EGRE SEC CENT'!E114</f>
        <v>251325822</v>
      </c>
      <c r="F40" s="748">
        <f>+'PROYECCIONES CON PLAN DESEMPE.'!C114</f>
        <v>133719616</v>
      </c>
      <c r="G40" s="654">
        <f>+'PROYECCIONES CON PLAN DESEMPE.'!D114</f>
        <v>93500000</v>
      </c>
      <c r="H40" s="748">
        <f>+'PROYECCIONES CON PLAN DESEMPE.'!E114</f>
        <v>93500000</v>
      </c>
      <c r="I40" s="748">
        <f>+'PROYECCIONES CON PLAN DESEMPE.'!F114</f>
        <v>93500000</v>
      </c>
      <c r="J40" s="748">
        <f>+'PROYECCIONES CON PLAN DESEMPE.'!G114</f>
        <v>102850000</v>
      </c>
      <c r="K40" s="748">
        <f>+'PROYECCIONES CON PLAN DESEMPE.'!H114</f>
        <v>115192000</v>
      </c>
    </row>
    <row r="41" spans="1:11" ht="15">
      <c r="A41" s="396" t="str">
        <f>+'INGR. Y EGRE SEC CENT'!A118</f>
        <v>2.1.3</v>
      </c>
      <c r="B41" s="395" t="str">
        <f>+'INGR. Y EGRE SEC CENT'!B118</f>
        <v>TRANSFERENCIAS DEL MUNICIPIO</v>
      </c>
      <c r="C41" s="786">
        <f>+C42+C48+C49+C50</f>
        <v>0</v>
      </c>
      <c r="D41" s="787">
        <f aca="true" t="shared" si="8" ref="D41:K41">+D42+D48+D49+D50</f>
        <v>0</v>
      </c>
      <c r="E41" s="788">
        <f t="shared" si="8"/>
        <v>4213621</v>
      </c>
      <c r="F41" s="787">
        <f t="shared" si="8"/>
        <v>274840649</v>
      </c>
      <c r="G41" s="788">
        <f t="shared" si="8"/>
        <v>217188410</v>
      </c>
      <c r="H41" s="787">
        <f t="shared" si="8"/>
        <v>217188410</v>
      </c>
      <c r="I41" s="787">
        <f t="shared" si="8"/>
        <v>176248616</v>
      </c>
      <c r="J41" s="787">
        <f t="shared" si="8"/>
        <v>176248616</v>
      </c>
      <c r="K41" s="787">
        <f t="shared" si="8"/>
        <v>197034450</v>
      </c>
    </row>
    <row r="42" spans="1:11" ht="15">
      <c r="A42" s="396" t="str">
        <f>+'INGR. Y EGRE SEC CENT'!A119</f>
        <v>2.1.3.1</v>
      </c>
      <c r="B42" s="395" t="str">
        <f>+'INGR. Y EGRE SEC CENT'!B119</f>
        <v>Transferencias al Sector Público</v>
      </c>
      <c r="C42" s="786">
        <f>SUM(C43:C47)</f>
        <v>0</v>
      </c>
      <c r="D42" s="787">
        <f aca="true" t="shared" si="9" ref="D42:K42">SUM(D43:D47)</f>
        <v>0</v>
      </c>
      <c r="E42" s="788">
        <f t="shared" si="9"/>
        <v>4213621</v>
      </c>
      <c r="F42" s="787">
        <f t="shared" si="9"/>
        <v>214912607</v>
      </c>
      <c r="G42" s="788">
        <f t="shared" si="9"/>
        <v>134310910</v>
      </c>
      <c r="H42" s="787">
        <f t="shared" si="9"/>
        <v>134310910</v>
      </c>
      <c r="I42" s="787">
        <f t="shared" si="9"/>
        <v>85583366</v>
      </c>
      <c r="J42" s="787">
        <f t="shared" si="9"/>
        <v>85583366</v>
      </c>
      <c r="K42" s="787">
        <f t="shared" si="9"/>
        <v>95853370</v>
      </c>
    </row>
    <row r="43" spans="1:11" ht="15">
      <c r="A43" s="9" t="str">
        <f>+'INGR. Y EGRE SEC CENT'!A120</f>
        <v>2.1.3.1.1</v>
      </c>
      <c r="B43" s="14" t="str">
        <f>+'INGR. Y EGRE SEC CENT'!B120</f>
        <v>Concejo</v>
      </c>
      <c r="C43" s="734">
        <f>+'INGR. Y EGRE SEC CENT'!C120</f>
        <v>0</v>
      </c>
      <c r="D43" s="748">
        <f>+'INGR. Y EGRE SEC CENT'!D120</f>
        <v>0</v>
      </c>
      <c r="E43" s="654">
        <f>+'INGR. Y EGRE SEC CENT'!E120</f>
        <v>0</v>
      </c>
      <c r="F43" s="748">
        <f>+'PROYECCIONES CON PLAN DESEMPE.'!C120</f>
        <v>73319003</v>
      </c>
      <c r="G43" s="654">
        <f>+'PROYECCIONES CON PLAN DESEMPE.'!D120</f>
        <v>39611249</v>
      </c>
      <c r="H43" s="748">
        <f>+'PROYECCIONES CON PLAN DESEMPE.'!E120</f>
        <v>39611249</v>
      </c>
      <c r="I43" s="748">
        <f>+'PROYECCIONES CON PLAN DESEMPE.'!F120</f>
        <v>43792428</v>
      </c>
      <c r="J43" s="748">
        <f>+'PROYECCIONES CON PLAN DESEMPE.'!G120</f>
        <v>43792428</v>
      </c>
      <c r="K43" s="748">
        <f>+'PROYECCIONES CON PLAN DESEMPE.'!H120</f>
        <v>49047520</v>
      </c>
    </row>
    <row r="44" spans="1:11" ht="15">
      <c r="A44" s="9" t="str">
        <f>+'INGR. Y EGRE SEC CENT'!A121</f>
        <v>2.1.3.1.2</v>
      </c>
      <c r="B44" s="14" t="str">
        <f>+'INGR. Y EGRE SEC CENT'!B121</f>
        <v>Personería</v>
      </c>
      <c r="C44" s="734">
        <f>+'INGR. Y EGRE SEC CENT'!C121</f>
        <v>0</v>
      </c>
      <c r="D44" s="748">
        <f>+'INGR. Y EGRE SEC CENT'!D121</f>
        <v>0</v>
      </c>
      <c r="E44" s="654">
        <f>+'INGR. Y EGRE SEC CENT'!E121</f>
        <v>0</v>
      </c>
      <c r="F44" s="748">
        <f>+'PROYECCIONES CON PLAN DESEMPE.'!C121</f>
        <v>42837693</v>
      </c>
      <c r="G44" s="654">
        <f>+'PROYECCIONES CON PLAN DESEMPE.'!D121</f>
        <v>37991762</v>
      </c>
      <c r="H44" s="748">
        <f>+'PROYECCIONES CON PLAN DESEMPE.'!E121</f>
        <v>37991762</v>
      </c>
      <c r="I44" s="748">
        <f>+'PROYECCIONES CON PLAN DESEMPE.'!F121</f>
        <v>41790938</v>
      </c>
      <c r="J44" s="748">
        <f>+'PROYECCIONES CON PLAN DESEMPE.'!G121</f>
        <v>41790938</v>
      </c>
      <c r="K44" s="748">
        <f>+'PROYECCIONES CON PLAN DESEMPE.'!H121</f>
        <v>46805850</v>
      </c>
    </row>
    <row r="45" spans="1:11" ht="15">
      <c r="A45" s="9" t="str">
        <f>+'INGR. Y EGRE SEC CENT'!A122</f>
        <v>2.1.3.1.3</v>
      </c>
      <c r="B45" s="14" t="str">
        <f>+'INGR. Y EGRE SEC CENT'!B122</f>
        <v>Contraloría</v>
      </c>
      <c r="C45" s="734">
        <f>+'INGR. Y EGRE SEC CENT'!C122</f>
        <v>0</v>
      </c>
      <c r="D45" s="748">
        <f>+'INGR. Y EGRE SEC CENT'!D122</f>
        <v>0</v>
      </c>
      <c r="E45" s="654">
        <f>+'INGR. Y EGRE SEC CENT'!E122</f>
        <v>4213621</v>
      </c>
      <c r="F45" s="748">
        <f>+'PROYECCIONES CON PLAN DESEMPE.'!C122</f>
        <v>61239323</v>
      </c>
      <c r="G45" s="654">
        <f>+'PROYECCIONES CON PLAN DESEMPE.'!D122</f>
        <v>56707899</v>
      </c>
      <c r="H45" s="748">
        <f>+'PROYECCIONES CON PLAN DESEMPE.'!E122</f>
        <v>56707899</v>
      </c>
      <c r="I45" s="748">
        <f>+'PROYECCIONES CON PLAN DESEMPE.'!F122</f>
        <v>0</v>
      </c>
      <c r="J45" s="748">
        <f>+'PROYECCIONES CON PLAN DESEMPE.'!G122</f>
        <v>0</v>
      </c>
      <c r="K45" s="748">
        <f>+'PROYECCIONES CON PLAN DESEMPE.'!H122</f>
        <v>0</v>
      </c>
    </row>
    <row r="46" spans="1:11" ht="15">
      <c r="A46" s="9" t="str">
        <f>+'INGR. Y EGRE SEC CENT'!A123</f>
        <v>2.1.3.1.4</v>
      </c>
      <c r="B46" s="14" t="str">
        <f>+'INGR. Y EGRE SEC CENT'!B123</f>
        <v>Entidades Descentralizadas (Especificar en Anexo)</v>
      </c>
      <c r="C46" s="734">
        <f>+'INGR. Y EGRE SEC CENT'!C123</f>
        <v>0</v>
      </c>
      <c r="D46" s="748">
        <f>+'INGR. Y EGRE SEC CENT'!D123</f>
        <v>0</v>
      </c>
      <c r="E46" s="654">
        <f>+'INGR. Y EGRE SEC CENT'!E123</f>
        <v>0</v>
      </c>
      <c r="F46" s="748">
        <f>+'PROYECCIONES CON PLAN DESEMPE.'!C123</f>
        <v>0</v>
      </c>
      <c r="G46" s="654">
        <f>+'PROYECCIONES CON PLAN DESEMPE.'!D123</f>
        <v>0</v>
      </c>
      <c r="H46" s="748">
        <f>+'PROYECCIONES CON PLAN DESEMPE.'!E123</f>
        <v>0</v>
      </c>
      <c r="I46" s="748">
        <f>+'PROYECCIONES CON PLAN DESEMPE.'!F123</f>
        <v>0</v>
      </c>
      <c r="J46" s="748">
        <f>+'PROYECCIONES CON PLAN DESEMPE.'!G123</f>
        <v>0</v>
      </c>
      <c r="K46" s="748">
        <f>+'PROYECCIONES CON PLAN DESEMPE.'!H123</f>
        <v>0</v>
      </c>
    </row>
    <row r="47" spans="1:11" ht="15">
      <c r="A47" s="9" t="str">
        <f>+'INGR. Y EGRE SEC CENT'!A124</f>
        <v>2.1.3.1.5</v>
      </c>
      <c r="B47" s="14" t="str">
        <f>+'INGR. Y EGRE SEC CENT'!B124</f>
        <v>Otras Entidades (Especificar en Anexo)</v>
      </c>
      <c r="C47" s="734">
        <f>+'INGR. Y EGRE SEC CENT'!C124</f>
        <v>0</v>
      </c>
      <c r="D47" s="748">
        <f>+'INGR. Y EGRE SEC CENT'!D124</f>
        <v>0</v>
      </c>
      <c r="E47" s="654">
        <f>+'INGR. Y EGRE SEC CENT'!E124</f>
        <v>0</v>
      </c>
      <c r="F47" s="748">
        <f>+'PROYECCIONES CON PLAN DESEMPE.'!C124</f>
        <v>37516588</v>
      </c>
      <c r="G47" s="654">
        <f>+'PROYECCIONES CON PLAN DESEMPE.'!D124</f>
        <v>0</v>
      </c>
      <c r="H47" s="748">
        <f>+'PROYECCIONES CON PLAN DESEMPE.'!E124</f>
        <v>0</v>
      </c>
      <c r="I47" s="748">
        <f>+'PROYECCIONES CON PLAN DESEMPE.'!F124</f>
        <v>0</v>
      </c>
      <c r="J47" s="748">
        <f>+'PROYECCIONES CON PLAN DESEMPE.'!G124</f>
        <v>0</v>
      </c>
      <c r="K47" s="748">
        <f>+'PROYECCIONES CON PLAN DESEMPE.'!H124</f>
        <v>0</v>
      </c>
    </row>
    <row r="48" spans="1:11" s="150" customFormat="1" ht="15.75">
      <c r="A48" s="396" t="str">
        <f>+'INGR. Y EGRE SEC CENT'!A125</f>
        <v>2.1.3.2</v>
      </c>
      <c r="B48" s="395" t="str">
        <f>+'INGR. Y EGRE SEC CENT'!B125</f>
        <v>Transferencias al Fondo Territorial de Pensiones</v>
      </c>
      <c r="C48" s="786">
        <f>+'INGR. Y EGRE SEC CENT'!C125</f>
        <v>0</v>
      </c>
      <c r="D48" s="787">
        <f>+'INGR. Y EGRE SEC CENT'!D125</f>
        <v>0</v>
      </c>
      <c r="E48" s="788">
        <f>+'INGR. Y EGRE SEC CENT'!E125</f>
        <v>0</v>
      </c>
      <c r="F48" s="787">
        <f>+'PROYECCIONES CON PLAN DESEMPE.'!C125</f>
        <v>37368968</v>
      </c>
      <c r="G48" s="788">
        <f>+'PROYECCIONES CON PLAN DESEMPE.'!D125</f>
        <v>53877500</v>
      </c>
      <c r="H48" s="787">
        <f>+'PROYECCIONES CON PLAN DESEMPE.'!E125</f>
        <v>53877500</v>
      </c>
      <c r="I48" s="787">
        <f>+'PROYECCIONES CON PLAN DESEMPE.'!F125</f>
        <v>59265250</v>
      </c>
      <c r="J48" s="787">
        <f>+'PROYECCIONES CON PLAN DESEMPE.'!G125</f>
        <v>59265250</v>
      </c>
      <c r="K48" s="787">
        <f>+'PROYECCIONES CON PLAN DESEMPE.'!H125</f>
        <v>66377080</v>
      </c>
    </row>
    <row r="49" spans="1:11" s="150" customFormat="1" ht="15.75">
      <c r="A49" s="396" t="str">
        <f>+'INGR. Y EGRE SEC CENT'!A131</f>
        <v>2.1.3.1.3</v>
      </c>
      <c r="B49" s="395" t="str">
        <f>+'INGR. Y EGRE SEC CENT'!B131</f>
        <v>Transferencias al Fondo Territorial de Cesantías (Provisiones)</v>
      </c>
      <c r="C49" s="786">
        <f>+'INGR. Y EGRE SEC CENT'!C131</f>
        <v>0</v>
      </c>
      <c r="D49" s="787">
        <f>+'INGR. Y EGRE SEC CENT'!D131</f>
        <v>0</v>
      </c>
      <c r="E49" s="788">
        <f>+'INGR. Y EGRE SEC CENT'!E131</f>
        <v>0</v>
      </c>
      <c r="F49" s="787">
        <f>+'PROYECCIONES CON PLAN DESEMPE.'!C131</f>
        <v>21559074</v>
      </c>
      <c r="G49" s="788">
        <f>+'PROYECCIONES CON PLAN DESEMPE.'!D131</f>
        <v>22000000</v>
      </c>
      <c r="H49" s="787">
        <f>+'PROYECCIONES CON PLAN DESEMPE.'!E131</f>
        <v>22000000</v>
      </c>
      <c r="I49" s="787">
        <f>+'PROYECCIONES CON PLAN DESEMPE.'!F131</f>
        <v>24200000</v>
      </c>
      <c r="J49" s="787">
        <f>+'PROYECCIONES CON PLAN DESEMPE.'!G131</f>
        <v>24200000</v>
      </c>
      <c r="K49" s="787">
        <f>+'PROYECCIONES CON PLAN DESEMPE.'!H131</f>
        <v>27104000</v>
      </c>
    </row>
    <row r="50" spans="1:11" ht="15">
      <c r="A50" s="9" t="str">
        <f>+'INGR. Y EGRE SEC CENT'!A137</f>
        <v>2.1.3.1.2</v>
      </c>
      <c r="B50" s="12" t="str">
        <f>+'INGR. Y EGRE SEC CENT'!B137</f>
        <v>Otras Transferencias</v>
      </c>
      <c r="C50" s="734">
        <f>+'INGR. Y EGRE SEC CENT'!C137</f>
        <v>0</v>
      </c>
      <c r="D50" s="748">
        <f>+'INGR. Y EGRE SEC CENT'!D137</f>
        <v>0</v>
      </c>
      <c r="E50" s="654">
        <f>+'INGR. Y EGRE SEC CENT'!E137</f>
        <v>0</v>
      </c>
      <c r="F50" s="748">
        <f>+'PROYECCIONES CON PLAN DESEMPE.'!C137</f>
        <v>1000000</v>
      </c>
      <c r="G50" s="654">
        <f>+'PROYECCIONES CON PLAN DESEMPE.'!D137</f>
        <v>7000000</v>
      </c>
      <c r="H50" s="748">
        <f>+'PROYECCIONES CON PLAN DESEMPE.'!E137</f>
        <v>7000000</v>
      </c>
      <c r="I50" s="748">
        <f>+'PROYECCIONES CON PLAN DESEMPE.'!F137</f>
        <v>7200000</v>
      </c>
      <c r="J50" s="748">
        <f>+'PROYECCIONES CON PLAN DESEMPE.'!G137</f>
        <v>7200000</v>
      </c>
      <c r="K50" s="748">
        <f>+'PROYECCIONES CON PLAN DESEMPE.'!H137</f>
        <v>7700000</v>
      </c>
    </row>
    <row r="51" spans="1:11" ht="15">
      <c r="A51" s="9" t="str">
        <f>+'INGR. Y EGRE SEC CENT'!A155</f>
        <v>2.4.1</v>
      </c>
      <c r="B51" s="340" t="s">
        <v>535</v>
      </c>
      <c r="C51" s="734">
        <f>+'INGR. Y EGRE SEC CENT'!C155</f>
        <v>0</v>
      </c>
      <c r="D51" s="748">
        <f>+'INGR. Y EGRE SEC CENT'!D155</f>
        <v>0</v>
      </c>
      <c r="E51" s="654">
        <f>+'INGR. Y EGRE SEC CENT'!E155</f>
        <v>93648713</v>
      </c>
      <c r="F51" s="748">
        <f>+'PROYECCIONES CON PLAN DESEMPE.'!C155</f>
        <v>13400425</v>
      </c>
      <c r="G51" s="654">
        <f>+'PROYECCIONES CON PLAN DESEMPE.'!D155</f>
        <v>15000000</v>
      </c>
      <c r="H51" s="748">
        <f>+'PROYECCIONES CON PLAN DESEMPE.'!E155</f>
        <v>15000000</v>
      </c>
      <c r="I51" s="748">
        <f>+'PROYECCIONES CON PLAN DESEMPE.'!F155</f>
        <v>15000000</v>
      </c>
      <c r="J51" s="748">
        <f>+'PROYECCIONES CON PLAN DESEMPE.'!G155</f>
        <v>15000000</v>
      </c>
      <c r="K51" s="748">
        <f>+'PROYECCIONES CON PLAN DESEMPE.'!H155</f>
        <v>15000000</v>
      </c>
    </row>
    <row r="52" spans="1:11" ht="14.25" customHeight="1">
      <c r="A52" s="401" t="str">
        <f>+'INGR. Y EGRE SEC CENT'!A146</f>
        <v>2.2.2 </v>
      </c>
      <c r="B52" s="395" t="str">
        <f>+'INGR. Y EGRE SEC CENT'!B146</f>
        <v>INTERESES  DE LA DEUDA</v>
      </c>
      <c r="C52" s="786">
        <f>SUM(C53:C55)</f>
        <v>0</v>
      </c>
      <c r="D52" s="787">
        <f>SUM(D53:D55)</f>
        <v>0</v>
      </c>
      <c r="E52" s="788">
        <f>SUM(E53:E55)</f>
        <v>438827380</v>
      </c>
      <c r="F52" s="787">
        <f aca="true" t="shared" si="10" ref="F52:K52">SUM(F53:F56)</f>
        <v>167546690</v>
      </c>
      <c r="G52" s="788">
        <f t="shared" si="10"/>
        <v>300000000</v>
      </c>
      <c r="H52" s="787">
        <f t="shared" si="10"/>
        <v>253460309</v>
      </c>
      <c r="I52" s="787">
        <f t="shared" si="10"/>
        <v>211010349</v>
      </c>
      <c r="J52" s="787">
        <f t="shared" si="10"/>
        <v>178418123</v>
      </c>
      <c r="K52" s="787">
        <f t="shared" si="10"/>
        <v>145724851</v>
      </c>
    </row>
    <row r="53" spans="1:11" ht="15">
      <c r="A53" s="8" t="str">
        <f>+'INGR. Y EGRE SEC CENT'!A147</f>
        <v>2.2.2.1</v>
      </c>
      <c r="B53" s="14" t="str">
        <f>+'INGR. Y EGRE SEC CENT'!B147</f>
        <v>Intereses  Deuda Interna Vigente</v>
      </c>
      <c r="C53" s="734">
        <f>+'INGR. Y EGRE SEC CENT'!C147</f>
        <v>0</v>
      </c>
      <c r="D53" s="748">
        <f>+'INGR. Y EGRE SEC CENT'!D147</f>
        <v>0</v>
      </c>
      <c r="E53" s="654">
        <f>+'INGR. Y EGRE SEC CENT'!E147</f>
        <v>438827380</v>
      </c>
      <c r="F53" s="748">
        <f>+'PROYECCIONES CON PLAN DESEMPE.'!C147</f>
        <v>167546690</v>
      </c>
      <c r="G53" s="654">
        <f>+'PROYECCIONES CON PLAN DESEMPE.'!D147</f>
        <v>300000000</v>
      </c>
      <c r="H53" s="748">
        <f>+'PROYECCIONES CON PLAN DESEMPE.'!E147</f>
        <v>253460309</v>
      </c>
      <c r="I53" s="748">
        <f>+'PROYECCIONES CON PLAN DESEMPE.'!F147</f>
        <v>211010349</v>
      </c>
      <c r="J53" s="748">
        <f>+'PROYECCIONES CON PLAN DESEMPE.'!G147</f>
        <v>178418123</v>
      </c>
      <c r="K53" s="748">
        <f>+'PROYECCIONES CON PLAN DESEMPE.'!H147</f>
        <v>145724851</v>
      </c>
    </row>
    <row r="54" spans="1:11" ht="15">
      <c r="A54" s="8" t="str">
        <f>+'INGR. Y EGRE SEC CENT'!A148</f>
        <v>2.2.2.2</v>
      </c>
      <c r="B54" s="14" t="str">
        <f>+'INGR. Y EGRE SEC CENT'!B148</f>
        <v>Intereses  Deuda Externa</v>
      </c>
      <c r="C54" s="734">
        <f>+'INGR. Y EGRE SEC CENT'!C148</f>
        <v>0</v>
      </c>
      <c r="D54" s="748">
        <f>+'INGR. Y EGRE SEC CENT'!D148</f>
        <v>0</v>
      </c>
      <c r="E54" s="654">
        <f>+'INGR. Y EGRE SEC CENT'!E148</f>
        <v>0</v>
      </c>
      <c r="F54" s="748">
        <f>+'PROYECCIONES CON PLAN DESEMPE.'!C148</f>
        <v>0</v>
      </c>
      <c r="G54" s="654">
        <f>+'PROYECCIONES CON PLAN DESEMPE.'!D148</f>
        <v>0</v>
      </c>
      <c r="H54" s="748">
        <f>+'PROYECCIONES CON PLAN DESEMPE.'!E148</f>
        <v>0</v>
      </c>
      <c r="I54" s="748">
        <f>+'PROYECCIONES CON PLAN DESEMPE.'!F148</f>
        <v>0</v>
      </c>
      <c r="J54" s="748">
        <f>+'PROYECCIONES CON PLAN DESEMPE.'!G148</f>
        <v>0</v>
      </c>
      <c r="K54" s="748">
        <f>+'PROYECCIONES CON PLAN DESEMPE.'!H148</f>
        <v>0</v>
      </c>
    </row>
    <row r="55" spans="1:11" ht="15">
      <c r="A55" s="8" t="str">
        <f>+'INGR. Y EGRE SEC CENT'!A149</f>
        <v>2.2.2.3</v>
      </c>
      <c r="B55" s="14" t="str">
        <f>+'INGR. Y EGRE SEC CENT'!B149</f>
        <v>Intereses  Deuda Corto Plazo, Sobregiros, Tesorería y otros</v>
      </c>
      <c r="C55" s="734">
        <f>+'INGR. Y EGRE SEC CENT'!C149</f>
        <v>0</v>
      </c>
      <c r="D55" s="748">
        <f>+'INGR. Y EGRE SEC CENT'!D149</f>
        <v>0</v>
      </c>
      <c r="E55" s="654">
        <f>+'INGR. Y EGRE SEC CENT'!E149</f>
        <v>0</v>
      </c>
      <c r="F55" s="748">
        <f>+'PROYECCIONES CON PLAN DESEMPE.'!C149</f>
        <v>0</v>
      </c>
      <c r="G55" s="654">
        <f>+'PROYECCIONES CON PLAN DESEMPE.'!D149</f>
        <v>0</v>
      </c>
      <c r="H55" s="748">
        <f>+'PROYECCIONES CON PLAN DESEMPE.'!E149</f>
        <v>0</v>
      </c>
      <c r="I55" s="748">
        <f>+'PROYECCIONES CON PLAN DESEMPE.'!F149</f>
        <v>0</v>
      </c>
      <c r="J55" s="748">
        <f>+'PROYECCIONES CON PLAN DESEMPE.'!G149</f>
        <v>0</v>
      </c>
      <c r="K55" s="748">
        <f>+'PROYECCIONES CON PLAN DESEMPE.'!H149</f>
        <v>0</v>
      </c>
    </row>
    <row r="56" spans="1:11" ht="15.75" thickBot="1">
      <c r="A56" s="8" t="str">
        <f>+'INGR. Y EGRE SEC CENT'!A150</f>
        <v>2.2.2.4</v>
      </c>
      <c r="B56" s="14" t="str">
        <f>+'INGR. Y EGRE SEC CENT'!B150</f>
        <v>Intereses del nuevo crédito (Diligenciar sólo en el formato de proyecciones)</v>
      </c>
      <c r="C56" s="796"/>
      <c r="D56" s="797"/>
      <c r="E56" s="798"/>
      <c r="F56" s="748">
        <f>+'PROYECCIONES CON PLAN DESEMPE.'!C150</f>
        <v>0</v>
      </c>
      <c r="G56" s="654">
        <f>+'PROYECCIONES CON PLAN DESEMPE.'!D150</f>
        <v>0</v>
      </c>
      <c r="H56" s="748">
        <f>+'PROYECCIONES CON PLAN DESEMPE.'!E150</f>
        <v>0</v>
      </c>
      <c r="I56" s="748">
        <f>+'PROYECCIONES CON PLAN DESEMPE.'!F150</f>
        <v>0</v>
      </c>
      <c r="J56" s="748">
        <f>+'PROYECCIONES CON PLAN DESEMPE.'!G150</f>
        <v>0</v>
      </c>
      <c r="K56" s="748">
        <f>+'PROYECCIONES CON PLAN DESEMPE.'!H150</f>
        <v>0</v>
      </c>
    </row>
    <row r="57" spans="1:19" s="576" customFormat="1" ht="23.25" customHeight="1" thickBot="1">
      <c r="A57" s="397"/>
      <c r="B57" s="398" t="s">
        <v>536</v>
      </c>
      <c r="C57" s="812">
        <f aca="true" t="shared" si="11" ref="C57:K57">+C6-C25</f>
        <v>0</v>
      </c>
      <c r="D57" s="813">
        <f t="shared" si="11"/>
        <v>0</v>
      </c>
      <c r="E57" s="814">
        <f t="shared" si="11"/>
        <v>1976151974</v>
      </c>
      <c r="F57" s="813">
        <f t="shared" si="11"/>
        <v>780735951</v>
      </c>
      <c r="G57" s="814">
        <f t="shared" si="11"/>
        <v>789218567</v>
      </c>
      <c r="H57" s="813">
        <f t="shared" si="11"/>
        <v>1036238690</v>
      </c>
      <c r="I57" s="813">
        <f t="shared" si="11"/>
        <v>1323855781</v>
      </c>
      <c r="J57" s="813">
        <f t="shared" si="11"/>
        <v>1611296578</v>
      </c>
      <c r="K57" s="813">
        <f t="shared" si="11"/>
        <v>2018409634</v>
      </c>
      <c r="L57" s="574"/>
      <c r="M57" s="575"/>
      <c r="N57" s="575"/>
      <c r="O57" s="575"/>
      <c r="P57" s="575"/>
      <c r="Q57" s="575"/>
      <c r="R57" s="575"/>
      <c r="S57" s="574"/>
    </row>
    <row r="58" spans="1:11" ht="15">
      <c r="A58" s="402">
        <f>+'INGR. Y EGRE SEC CENT'!A53</f>
        <v>1.2</v>
      </c>
      <c r="B58" s="403" t="str">
        <f>+'INGR. Y EGRE SEC CENT'!B53</f>
        <v>RECURSOS  DE CAPITAL</v>
      </c>
      <c r="C58" s="799">
        <f aca="true" t="shared" si="12" ref="C58:K58">SUM(C59:C67)</f>
        <v>0</v>
      </c>
      <c r="D58" s="800">
        <f t="shared" si="12"/>
        <v>0</v>
      </c>
      <c r="E58" s="801">
        <f t="shared" si="12"/>
        <v>0</v>
      </c>
      <c r="F58" s="800">
        <f t="shared" si="12"/>
        <v>47153108</v>
      </c>
      <c r="G58" s="801">
        <f t="shared" si="12"/>
        <v>208098485</v>
      </c>
      <c r="H58" s="800">
        <f t="shared" si="12"/>
        <v>208006000</v>
      </c>
      <c r="I58" s="800">
        <f t="shared" si="12"/>
        <v>208016000</v>
      </c>
      <c r="J58" s="800">
        <f t="shared" si="12"/>
        <v>208019000</v>
      </c>
      <c r="K58" s="800">
        <f t="shared" si="12"/>
        <v>208024000</v>
      </c>
    </row>
    <row r="59" spans="1:11" ht="15">
      <c r="A59" s="342" t="str">
        <f>+'INGR. Y EGRE SEC CENT'!A54</f>
        <v>1.2.1</v>
      </c>
      <c r="B59" s="14" t="str">
        <f>+'INGR. Y EGRE SEC CENT'!B54</f>
        <v>Recursos del Balance</v>
      </c>
      <c r="C59" s="734">
        <f>+'INGR. Y EGRE SEC CENT'!C54-'INGR. Y EGRE SEC CENT'!C57</f>
        <v>0</v>
      </c>
      <c r="D59" s="748">
        <f>+'INGR. Y EGRE SEC CENT'!D54-'INGR. Y EGRE SEC CENT'!D57</f>
        <v>0</v>
      </c>
      <c r="E59" s="654">
        <f>+'INGR. Y EGRE SEC CENT'!E54-'INGR. Y EGRE SEC CENT'!E57</f>
        <v>0</v>
      </c>
      <c r="F59" s="748">
        <f>+'PROYECCIONES CON PLAN DESEMPE.'!C54-'PROYECCIONES CON PLAN DESEMPE.'!C57</f>
        <v>47153108</v>
      </c>
      <c r="G59" s="654">
        <f>+'PROYECCIONES CON PLAN DESEMPE.'!D54-'PROYECCIONES CON PLAN DESEMPE.'!D57</f>
        <v>0</v>
      </c>
      <c r="H59" s="748">
        <f>+'PROYECCIONES CON PLAN DESEMPE.'!E54-'PROYECCIONES CON PLAN DESEMPE.'!E57</f>
        <v>0</v>
      </c>
      <c r="I59" s="748">
        <f>+'PROYECCIONES CON PLAN DESEMPE.'!F54-'PROYECCIONES CON PLAN DESEMPE.'!F57</f>
        <v>0</v>
      </c>
      <c r="J59" s="748">
        <f>+'PROYECCIONES CON PLAN DESEMPE.'!G54-'PROYECCIONES CON PLAN DESEMPE.'!G57</f>
        <v>0</v>
      </c>
      <c r="K59" s="748">
        <f>+'PROYECCIONES CON PLAN DESEMPE.'!H54-'PROYECCIONES CON PLAN DESEMPE.'!H57</f>
        <v>0</v>
      </c>
    </row>
    <row r="60" spans="1:11" ht="15">
      <c r="A60" s="342" t="str">
        <f>+'INGR. Y EGRE SEC CENT'!A57</f>
        <v>1.2.1.3</v>
      </c>
      <c r="B60" s="14" t="str">
        <f>+'INGR. Y EGRE SEC CENT'!B57</f>
        <v>Venta de Activos</v>
      </c>
      <c r="C60" s="734">
        <f>+'INGR. Y EGRE SEC CENT'!C57</f>
        <v>0</v>
      </c>
      <c r="D60" s="748">
        <f>+'INGR. Y EGRE SEC CENT'!D57</f>
        <v>0</v>
      </c>
      <c r="E60" s="654">
        <f>+'INGR. Y EGRE SEC CENT'!E57</f>
        <v>0</v>
      </c>
      <c r="F60" s="748">
        <f>+'PROYECCIONES CON PLAN DESEMPE.'!C57</f>
        <v>0</v>
      </c>
      <c r="G60" s="654">
        <f>+'PROYECCIONES CON PLAN DESEMPE.'!D57</f>
        <v>0</v>
      </c>
      <c r="H60" s="748">
        <f>+'PROYECCIONES CON PLAN DESEMPE.'!E57</f>
        <v>0</v>
      </c>
      <c r="I60" s="748">
        <f>+'PROYECCIONES CON PLAN DESEMPE.'!F57</f>
        <v>0</v>
      </c>
      <c r="J60" s="748">
        <f>+'PROYECCIONES CON PLAN DESEMPE.'!G57</f>
        <v>0</v>
      </c>
      <c r="K60" s="748">
        <f>+'PROYECCIONES CON PLAN DESEMPE.'!H57</f>
        <v>0</v>
      </c>
    </row>
    <row r="61" spans="1:11" ht="15">
      <c r="A61" s="342" t="str">
        <f>+'INGR. Y EGRE SEC CENT'!A58</f>
        <v>1.2.2</v>
      </c>
      <c r="B61" s="14" t="str">
        <f>+'INGR. Y EGRE SEC CENT'!B58</f>
        <v>Recursos de Cofinanciación</v>
      </c>
      <c r="C61" s="734">
        <f>+'INGR. Y EGRE SEC CENT'!C58</f>
        <v>0</v>
      </c>
      <c r="D61" s="748">
        <f>+'INGR. Y EGRE SEC CENT'!D58</f>
        <v>0</v>
      </c>
      <c r="E61" s="654">
        <f>+'INGR. Y EGRE SEC CENT'!E58</f>
        <v>0</v>
      </c>
      <c r="F61" s="748">
        <f>+'PROYECCIONES CON PLAN DESEMPE.'!C58</f>
        <v>0</v>
      </c>
      <c r="G61" s="654">
        <f>+'PROYECCIONES CON PLAN DESEMPE.'!D58</f>
        <v>208096485</v>
      </c>
      <c r="H61" s="748">
        <f>+'PROYECCIONES CON PLAN DESEMPE.'!E58</f>
        <v>208000000</v>
      </c>
      <c r="I61" s="748">
        <f>+'PROYECCIONES CON PLAN DESEMPE.'!F58</f>
        <v>208000000</v>
      </c>
      <c r="J61" s="748">
        <f>+'PROYECCIONES CON PLAN DESEMPE.'!G58</f>
        <v>208000000</v>
      </c>
      <c r="K61" s="748">
        <f>+'PROYECCIONES CON PLAN DESEMPE.'!H58</f>
        <v>208000000</v>
      </c>
    </row>
    <row r="62" spans="1:11" ht="15">
      <c r="A62" s="8" t="str">
        <f>+'INGR. Y EGRE SEC CENT'!A62</f>
        <v>1.2.3</v>
      </c>
      <c r="B62" s="14" t="str">
        <f>+'INGR. Y EGRE SEC CENT'!B62</f>
        <v>Donaciones</v>
      </c>
      <c r="C62" s="734">
        <f>+'INGR. Y EGRE SEC CENT'!C62</f>
        <v>0</v>
      </c>
      <c r="D62" s="748">
        <f>+'INGR. Y EGRE SEC CENT'!D62</f>
        <v>0</v>
      </c>
      <c r="E62" s="654">
        <f>+'INGR. Y EGRE SEC CENT'!E62</f>
        <v>0</v>
      </c>
      <c r="F62" s="748">
        <f>+'PROYECCIONES CON PLAN DESEMPE.'!C62</f>
        <v>0</v>
      </c>
      <c r="G62" s="654">
        <f>+'PROYECCIONES CON PLAN DESEMPE.'!D62</f>
        <v>1000</v>
      </c>
      <c r="H62" s="748">
        <f>+'PROYECCIONES CON PLAN DESEMPE.'!E62</f>
        <v>1000</v>
      </c>
      <c r="I62" s="748">
        <f>+'PROYECCIONES CON PLAN DESEMPE.'!F62</f>
        <v>1000</v>
      </c>
      <c r="J62" s="748">
        <f>+'PROYECCIONES CON PLAN DESEMPE.'!G62</f>
        <v>1000</v>
      </c>
      <c r="K62" s="748">
        <f>+'PROYECCIONES CON PLAN DESEMPE.'!H62</f>
        <v>1000</v>
      </c>
    </row>
    <row r="63" spans="1:11" ht="15">
      <c r="A63" s="342" t="str">
        <f>+'INGR. Y EGRE SEC CENT'!A63</f>
        <v>1.2.4</v>
      </c>
      <c r="B63" s="14" t="str">
        <f>+'INGR. Y EGRE SEC CENT'!B63</f>
        <v>Regalías</v>
      </c>
      <c r="C63" s="734">
        <f>+'INGR. Y EGRE SEC CENT'!C63</f>
        <v>0</v>
      </c>
      <c r="D63" s="748">
        <f>+'INGR. Y EGRE SEC CENT'!D63</f>
        <v>0</v>
      </c>
      <c r="E63" s="654">
        <f>+'INGR. Y EGRE SEC CENT'!E63</f>
        <v>0</v>
      </c>
      <c r="F63" s="748">
        <f>+'PROYECCIONES CON PLAN DESEMPE.'!C63</f>
        <v>0</v>
      </c>
      <c r="G63" s="654">
        <f>+'PROYECCIONES CON PLAN DESEMPE.'!D63</f>
        <v>0</v>
      </c>
      <c r="H63" s="748">
        <f>+'PROYECCIONES CON PLAN DESEMPE.'!E63</f>
        <v>0</v>
      </c>
      <c r="I63" s="748">
        <f>+'PROYECCIONES CON PLAN DESEMPE.'!F63</f>
        <v>0</v>
      </c>
      <c r="J63" s="748">
        <f>+'PROYECCIONES CON PLAN DESEMPE.'!G63</f>
        <v>0</v>
      </c>
      <c r="K63" s="748">
        <f>+'PROYECCIONES CON PLAN DESEMPE.'!H63</f>
        <v>0</v>
      </c>
    </row>
    <row r="64" spans="1:11" ht="15">
      <c r="A64" s="342" t="str">
        <f>+'INGR. Y EGRE SEC CENT'!A72</f>
        <v>1.2.6</v>
      </c>
      <c r="B64" s="14" t="str">
        <f>+'INGR. Y EGRE SEC CENT'!B72</f>
        <v>Rendimientos Financieros</v>
      </c>
      <c r="C64" s="734">
        <f>+'INGR. Y EGRE SEC CENT'!C72</f>
        <v>0</v>
      </c>
      <c r="D64" s="748">
        <f>+'INGR. Y EGRE SEC CENT'!D72</f>
        <v>0</v>
      </c>
      <c r="E64" s="654">
        <f>+'INGR. Y EGRE SEC CENT'!E72</f>
        <v>0</v>
      </c>
      <c r="F64" s="748">
        <f>+'PROYECCIONES CON PLAN DESEMPE.'!C72</f>
        <v>0</v>
      </c>
      <c r="G64" s="654">
        <f>+'PROYECCIONES CON PLAN DESEMPE.'!D72</f>
        <v>0</v>
      </c>
      <c r="H64" s="748">
        <f>+'PROYECCIONES CON PLAN DESEMPE.'!E72</f>
        <v>0</v>
      </c>
      <c r="I64" s="748">
        <f>+'PROYECCIONES CON PLAN DESEMPE.'!F72</f>
        <v>0</v>
      </c>
      <c r="J64" s="748">
        <f>+'PROYECCIONES CON PLAN DESEMPE.'!G72</f>
        <v>0</v>
      </c>
      <c r="K64" s="748">
        <f>+'PROYECCIONES CON PLAN DESEMPE.'!H72</f>
        <v>0</v>
      </c>
    </row>
    <row r="65" spans="1:11" ht="15">
      <c r="A65" s="8" t="str">
        <f>+'INGR. Y EGRE SEC CENT'!A73</f>
        <v>1.2.7</v>
      </c>
      <c r="B65" s="14" t="str">
        <f>+'INGR. Y EGRE SEC CENT'!B73</f>
        <v>Excedentes Financieros Ent. Descentralizadas</v>
      </c>
      <c r="C65" s="734">
        <f>+'INGR. Y EGRE SEC CENT'!C73</f>
        <v>0</v>
      </c>
      <c r="D65" s="748">
        <f>+'INGR. Y EGRE SEC CENT'!D73</f>
        <v>0</v>
      </c>
      <c r="E65" s="654">
        <f>+'INGR. Y EGRE SEC CENT'!E73</f>
        <v>0</v>
      </c>
      <c r="F65" s="748">
        <f>+'PROYECCIONES CON PLAN DESEMPE.'!C73</f>
        <v>0</v>
      </c>
      <c r="G65" s="654">
        <f>+'PROYECCIONES CON PLAN DESEMPE.'!D73</f>
        <v>0</v>
      </c>
      <c r="H65" s="748">
        <f>+'PROYECCIONES CON PLAN DESEMPE.'!E73</f>
        <v>0</v>
      </c>
      <c r="I65" s="748">
        <f>+'PROYECCIONES CON PLAN DESEMPE.'!F73</f>
        <v>0</v>
      </c>
      <c r="J65" s="748">
        <f>+'PROYECCIONES CON PLAN DESEMPE.'!G73</f>
        <v>0</v>
      </c>
      <c r="K65" s="748">
        <f>+'PROYECCIONES CON PLAN DESEMPE.'!H73</f>
        <v>0</v>
      </c>
    </row>
    <row r="66" spans="1:11" ht="15">
      <c r="A66" s="8" t="str">
        <f>+'INGR. Y EGRE SEC CENT'!A74</f>
        <v>1.2.8</v>
      </c>
      <c r="B66" s="14" t="str">
        <f>+'INGR. Y EGRE SEC CENT'!B74</f>
        <v>Venta de Activos</v>
      </c>
      <c r="C66" s="734">
        <f>+'INGR. Y EGRE SEC CENT'!C74</f>
        <v>0</v>
      </c>
      <c r="D66" s="748">
        <f>+'INGR. Y EGRE SEC CENT'!D74</f>
        <v>0</v>
      </c>
      <c r="E66" s="654">
        <f>+'INGR. Y EGRE SEC CENT'!E74</f>
        <v>0</v>
      </c>
      <c r="F66" s="748">
        <f>+'PROYECCIONES CON PLAN DESEMPE.'!C74</f>
        <v>0</v>
      </c>
      <c r="G66" s="654">
        <f>+'PROYECCIONES CON PLAN DESEMPE.'!D74</f>
        <v>0</v>
      </c>
      <c r="H66" s="748">
        <f>+'PROYECCIONES CON PLAN DESEMPE.'!E74</f>
        <v>0</v>
      </c>
      <c r="I66" s="748">
        <f>+'PROYECCIONES CON PLAN DESEMPE.'!F74</f>
        <v>0</v>
      </c>
      <c r="J66" s="748">
        <f>+'PROYECCIONES CON PLAN DESEMPE.'!G74</f>
        <v>0</v>
      </c>
      <c r="K66" s="748">
        <f>+'PROYECCIONES CON PLAN DESEMPE.'!H74</f>
        <v>0</v>
      </c>
    </row>
    <row r="67" spans="1:11" ht="15">
      <c r="A67" s="342" t="str">
        <f>+'INGR. Y EGRE SEC CENT'!A75</f>
        <v>1.2.9</v>
      </c>
      <c r="B67" s="14" t="str">
        <f>+'INGR. Y EGRE SEC CENT'!B75</f>
        <v>Otros Recursos de Capital</v>
      </c>
      <c r="C67" s="802">
        <f>+'INGR. Y EGRE SEC CENT'!C75</f>
        <v>0</v>
      </c>
      <c r="D67" s="748">
        <f>+'INGR. Y EGRE SEC CENT'!D75</f>
        <v>0</v>
      </c>
      <c r="E67" s="654">
        <f>+'INGR. Y EGRE SEC CENT'!E75</f>
        <v>0</v>
      </c>
      <c r="F67" s="748">
        <f>+'PROYECCIONES CON PLAN DESEMPE.'!C75</f>
        <v>0</v>
      </c>
      <c r="G67" s="654">
        <f>+'PROYECCIONES CON PLAN DESEMPE.'!D75</f>
        <v>1000</v>
      </c>
      <c r="H67" s="748">
        <f>+'PROYECCIONES CON PLAN DESEMPE.'!E75</f>
        <v>5000</v>
      </c>
      <c r="I67" s="748">
        <f>+'PROYECCIONES CON PLAN DESEMPE.'!F75</f>
        <v>15000</v>
      </c>
      <c r="J67" s="748">
        <f>+'PROYECCIONES CON PLAN DESEMPE.'!G75</f>
        <v>18000</v>
      </c>
      <c r="K67" s="748">
        <f>+'PROYECCIONES CON PLAN DESEMPE.'!H75</f>
        <v>23000</v>
      </c>
    </row>
    <row r="68" spans="1:11" ht="15">
      <c r="A68" s="404"/>
      <c r="B68" s="395" t="s">
        <v>537</v>
      </c>
      <c r="C68" s="786">
        <f aca="true" t="shared" si="13" ref="C68:K68">SUM(C69:C71)</f>
        <v>0</v>
      </c>
      <c r="D68" s="787">
        <f t="shared" si="13"/>
        <v>0</v>
      </c>
      <c r="E68" s="788">
        <f t="shared" si="13"/>
        <v>719429871</v>
      </c>
      <c r="F68" s="787">
        <f t="shared" si="13"/>
        <v>335822249</v>
      </c>
      <c r="G68" s="788">
        <f t="shared" si="13"/>
        <v>341595880</v>
      </c>
      <c r="H68" s="787">
        <f t="shared" si="13"/>
        <v>341595880</v>
      </c>
      <c r="I68" s="787">
        <f t="shared" si="13"/>
        <v>375535476</v>
      </c>
      <c r="J68" s="787">
        <f t="shared" si="13"/>
        <v>375535476</v>
      </c>
      <c r="K68" s="787">
        <f t="shared" si="13"/>
        <v>420599733</v>
      </c>
    </row>
    <row r="69" spans="1:11" ht="15">
      <c r="A69" s="8" t="str">
        <f>+'INGR. Y EGRE SEC CENT'!A152</f>
        <v>2.3.1</v>
      </c>
      <c r="B69" s="12" t="str">
        <f>+'INGR. Y EGRE SEC CENT'!B152</f>
        <v>Formación Bruta de Capital</v>
      </c>
      <c r="C69" s="734">
        <f>+'INGR. Y EGRE SEC CENT'!C152</f>
        <v>0</v>
      </c>
      <c r="D69" s="748">
        <f>+'INGR. Y EGRE SEC CENT'!D152</f>
        <v>0</v>
      </c>
      <c r="E69" s="654">
        <f>+'INGR. Y EGRE SEC CENT'!E152</f>
        <v>619253164</v>
      </c>
      <c r="F69" s="748">
        <f>+'PROYECCIONES CON PLAN DESEMPE.'!C152</f>
        <v>0</v>
      </c>
      <c r="G69" s="654">
        <f>+'PROYECCIONES CON PLAN DESEMPE.'!D152</f>
        <v>0</v>
      </c>
      <c r="H69" s="748">
        <f>+'PROYECCIONES CON PLAN DESEMPE.'!E152</f>
        <v>0</v>
      </c>
      <c r="I69" s="748">
        <f>+'PROYECCIONES CON PLAN DESEMPE.'!F152</f>
        <v>0</v>
      </c>
      <c r="J69" s="748">
        <f>+'PROYECCIONES CON PLAN DESEMPE.'!G152</f>
        <v>0</v>
      </c>
      <c r="K69" s="748">
        <f>+'PROYECCIONES CON PLAN DESEMPE.'!H152</f>
        <v>0</v>
      </c>
    </row>
    <row r="70" spans="1:11" ht="15">
      <c r="A70" s="8" t="str">
        <f>+'INGR. Y EGRE SEC CENT'!A153</f>
        <v>2.3.2</v>
      </c>
      <c r="B70" s="12" t="str">
        <f>+'INGR. Y EGRE SEC CENT'!B153</f>
        <v>Gastos Operativos de Inversión</v>
      </c>
      <c r="C70" s="734">
        <f>+'INGR. Y EGRE SEC CENT'!C153</f>
        <v>0</v>
      </c>
      <c r="D70" s="748">
        <f>+'INGR. Y EGRE SEC CENT'!D153</f>
        <v>0</v>
      </c>
      <c r="E70" s="654">
        <f>+'INGR. Y EGRE SEC CENT'!E153</f>
        <v>0</v>
      </c>
      <c r="F70" s="748">
        <f>+'PROYECCIONES CON PLAN DESEMPE.'!C153</f>
        <v>335822249</v>
      </c>
      <c r="G70" s="654">
        <f>+'PROYECCIONES CON PLAN DESEMPE.'!D153</f>
        <v>341595880</v>
      </c>
      <c r="H70" s="748">
        <f>+'PROYECCIONES CON PLAN DESEMPE.'!E153</f>
        <v>341595880</v>
      </c>
      <c r="I70" s="748">
        <f>+'PROYECCIONES CON PLAN DESEMPE.'!F153</f>
        <v>375535476</v>
      </c>
      <c r="J70" s="748">
        <f>+'PROYECCIONES CON PLAN DESEMPE.'!G153</f>
        <v>375535476</v>
      </c>
      <c r="K70" s="748">
        <f>+'PROYECCIONES CON PLAN DESEMPE.'!H153</f>
        <v>420599733</v>
      </c>
    </row>
    <row r="71" spans="1:11" ht="15.75" thickBot="1">
      <c r="A71" s="8" t="str">
        <f>+'INGR. Y EGRE SEC CENT'!A156</f>
        <v>2.4.2</v>
      </c>
      <c r="B71" s="340" t="s">
        <v>538</v>
      </c>
      <c r="C71" s="734">
        <f>+'INGR. Y EGRE SEC CENT'!C156</f>
        <v>0</v>
      </c>
      <c r="D71" s="748">
        <f>+'INGR. Y EGRE SEC CENT'!D156</f>
        <v>0</v>
      </c>
      <c r="E71" s="654">
        <f>+'INGR. Y EGRE SEC CENT'!E156</f>
        <v>100176707</v>
      </c>
      <c r="F71" s="748">
        <f>+'PROYECCIONES CON PLAN DESEMPE.'!C156</f>
        <v>0</v>
      </c>
      <c r="G71" s="654">
        <f>+'PROYECCIONES CON PLAN DESEMPE.'!D156</f>
        <v>0</v>
      </c>
      <c r="H71" s="748">
        <f>+'PROYECCIONES CON PLAN DESEMPE.'!E156</f>
        <v>0</v>
      </c>
      <c r="I71" s="748">
        <f>+'PROYECCIONES CON PLAN DESEMPE.'!F156</f>
        <v>0</v>
      </c>
      <c r="J71" s="748">
        <f>+'PROYECCIONES CON PLAN DESEMPE.'!G156</f>
        <v>0</v>
      </c>
      <c r="K71" s="748">
        <f>+'PROYECCIONES CON PLAN DESEMPE.'!H156</f>
        <v>0</v>
      </c>
    </row>
    <row r="72" spans="1:19" s="576" customFormat="1" ht="23.25" customHeight="1" thickBot="1">
      <c r="A72" s="397"/>
      <c r="B72" s="398" t="s">
        <v>539</v>
      </c>
      <c r="C72" s="803">
        <f>+C58-C68</f>
        <v>0</v>
      </c>
      <c r="D72" s="804">
        <f aca="true" t="shared" si="14" ref="D72:K72">+D58-D68</f>
        <v>0</v>
      </c>
      <c r="E72" s="805">
        <f t="shared" si="14"/>
        <v>-719429871</v>
      </c>
      <c r="F72" s="804">
        <f t="shared" si="14"/>
        <v>-288669141</v>
      </c>
      <c r="G72" s="805">
        <f t="shared" si="14"/>
        <v>-133497395</v>
      </c>
      <c r="H72" s="804">
        <f t="shared" si="14"/>
        <v>-133589880</v>
      </c>
      <c r="I72" s="804">
        <f t="shared" si="14"/>
        <v>-167519476</v>
      </c>
      <c r="J72" s="804">
        <f t="shared" si="14"/>
        <v>-167516476</v>
      </c>
      <c r="K72" s="804">
        <f t="shared" si="14"/>
        <v>-212575733</v>
      </c>
      <c r="L72" s="574"/>
      <c r="M72" s="575"/>
      <c r="N72" s="575"/>
      <c r="O72" s="575"/>
      <c r="P72" s="575"/>
      <c r="Q72" s="575"/>
      <c r="R72" s="575"/>
      <c r="S72" s="574"/>
    </row>
    <row r="73" spans="1:19" s="576" customFormat="1" ht="23.25" customHeight="1" thickBot="1">
      <c r="A73" s="397"/>
      <c r="B73" s="398" t="s">
        <v>540</v>
      </c>
      <c r="C73" s="803">
        <f>+C57+C72</f>
        <v>0</v>
      </c>
      <c r="D73" s="804">
        <f aca="true" t="shared" si="15" ref="D73:K73">+D57+D72</f>
        <v>0</v>
      </c>
      <c r="E73" s="805">
        <f t="shared" si="15"/>
        <v>1256722103</v>
      </c>
      <c r="F73" s="804">
        <f t="shared" si="15"/>
        <v>492066810</v>
      </c>
      <c r="G73" s="805">
        <f t="shared" si="15"/>
        <v>655721172</v>
      </c>
      <c r="H73" s="804">
        <f t="shared" si="15"/>
        <v>902648810</v>
      </c>
      <c r="I73" s="804">
        <f t="shared" si="15"/>
        <v>1156336305</v>
      </c>
      <c r="J73" s="804">
        <f t="shared" si="15"/>
        <v>1443780102</v>
      </c>
      <c r="K73" s="804">
        <f t="shared" si="15"/>
        <v>1805833901</v>
      </c>
      <c r="L73" s="574"/>
      <c r="M73" s="575"/>
      <c r="N73" s="575"/>
      <c r="O73" s="575"/>
      <c r="P73" s="575"/>
      <c r="Q73" s="575"/>
      <c r="R73" s="575"/>
      <c r="S73" s="574"/>
    </row>
    <row r="74" spans="1:11" ht="15">
      <c r="A74" s="343"/>
      <c r="B74" s="344" t="s">
        <v>541</v>
      </c>
      <c r="C74" s="806">
        <f aca="true" t="shared" si="16" ref="C74:K74">+C75+C80+C81</f>
        <v>0</v>
      </c>
      <c r="D74" s="807">
        <f t="shared" si="16"/>
        <v>0</v>
      </c>
      <c r="E74" s="808">
        <f t="shared" si="16"/>
        <v>-1256722103</v>
      </c>
      <c r="F74" s="807">
        <f t="shared" si="16"/>
        <v>-492066810</v>
      </c>
      <c r="G74" s="808">
        <f t="shared" si="16"/>
        <v>-655721172</v>
      </c>
      <c r="H74" s="807">
        <f t="shared" si="16"/>
        <v>-902648810</v>
      </c>
      <c r="I74" s="807">
        <f t="shared" si="16"/>
        <v>-1156336305</v>
      </c>
      <c r="J74" s="807">
        <f t="shared" si="16"/>
        <v>-1443780102</v>
      </c>
      <c r="K74" s="807">
        <f t="shared" si="16"/>
        <v>-1805833901</v>
      </c>
    </row>
    <row r="75" spans="1:11" ht="15">
      <c r="A75" s="404"/>
      <c r="B75" s="395" t="s">
        <v>542</v>
      </c>
      <c r="C75" s="786">
        <f aca="true" t="shared" si="17" ref="C75:K75">+C76-C77+C78-C79</f>
        <v>0</v>
      </c>
      <c r="D75" s="787">
        <f t="shared" si="17"/>
        <v>0</v>
      </c>
      <c r="E75" s="788">
        <f t="shared" si="17"/>
        <v>-292551586</v>
      </c>
      <c r="F75" s="787">
        <f t="shared" si="17"/>
        <v>-50799065</v>
      </c>
      <c r="G75" s="788">
        <f t="shared" si="17"/>
        <v>-37000000</v>
      </c>
      <c r="H75" s="787">
        <f t="shared" si="17"/>
        <v>-83283513</v>
      </c>
      <c r="I75" s="787">
        <f t="shared" si="17"/>
        <v>-104190219</v>
      </c>
      <c r="J75" s="787">
        <f t="shared" si="17"/>
        <v>-99848158</v>
      </c>
      <c r="K75" s="787">
        <f t="shared" si="17"/>
        <v>-118839429</v>
      </c>
    </row>
    <row r="76" spans="1:11" ht="15">
      <c r="A76" s="342" t="str">
        <f>+'INGR. Y EGRE SEC CENT'!A70</f>
        <v>1.2.5.1</v>
      </c>
      <c r="B76" s="12" t="str">
        <f>+'INGR. Y EGRE SEC CENT'!B70</f>
        <v>Desembolsos Crédito Interno</v>
      </c>
      <c r="C76" s="809">
        <f>+'INGR. Y EGRE SEC CENT'!C70</f>
        <v>0</v>
      </c>
      <c r="D76" s="810">
        <f>+'INGR. Y EGRE SEC CENT'!D70</f>
        <v>0</v>
      </c>
      <c r="E76" s="660">
        <f>+'INGR. Y EGRE SEC CENT'!E70</f>
        <v>0</v>
      </c>
      <c r="F76" s="810">
        <f>+'PROYECCIONES CON PLAN DESEMPE.'!C70</f>
        <v>0</v>
      </c>
      <c r="G76" s="660">
        <f>+'PROYECCIONES CON PLAN DESEMPE.'!D70</f>
        <v>0</v>
      </c>
      <c r="H76" s="810">
        <f>+'PROYECCIONES CON PLAN DESEMPE.'!E70</f>
        <v>0</v>
      </c>
      <c r="I76" s="810">
        <f>+'PROYECCIONES CON PLAN DESEMPE.'!F70</f>
        <v>0</v>
      </c>
      <c r="J76" s="810">
        <f>+'PROYECCIONES CON PLAN DESEMPE.'!G70</f>
        <v>0</v>
      </c>
      <c r="K76" s="810">
        <f>+'PROYECCIONES CON PLAN DESEMPE.'!H70</f>
        <v>0</v>
      </c>
    </row>
    <row r="77" spans="1:11" ht="15">
      <c r="A77" s="8" t="str">
        <f>+'INGR. Y EGRE SEC CENT'!A144</f>
        <v>2.2.1.1 </v>
      </c>
      <c r="B77" s="12" t="str">
        <f>+'INGR. Y EGRE SEC CENT'!B144</f>
        <v>Amortización Deuda Interna</v>
      </c>
      <c r="C77" s="809">
        <f>+'INGR. Y EGRE SEC CENT'!C144</f>
        <v>0</v>
      </c>
      <c r="D77" s="810">
        <f>+'INGR. Y EGRE SEC CENT'!D144</f>
        <v>0</v>
      </c>
      <c r="E77" s="660">
        <f>+'INGR. Y EGRE SEC CENT'!E144</f>
        <v>292551586</v>
      </c>
      <c r="F77" s="810">
        <f>+'PROYECCIONES CON PLAN DESEMPE.'!C144</f>
        <v>50799065</v>
      </c>
      <c r="G77" s="660">
        <f>+'PROYECCIONES CON PLAN DESEMPE.'!D144</f>
        <v>37000000</v>
      </c>
      <c r="H77" s="810">
        <f>+'PROYECCIONES CON PLAN DESEMPE.'!E144</f>
        <v>83283513</v>
      </c>
      <c r="I77" s="810">
        <f>+'PROYECCIONES CON PLAN DESEMPE.'!F144</f>
        <v>104190219</v>
      </c>
      <c r="J77" s="810">
        <f>+'PROYECCIONES CON PLAN DESEMPE.'!G144</f>
        <v>99848158</v>
      </c>
      <c r="K77" s="810">
        <f>+'PROYECCIONES CON PLAN DESEMPE.'!H144</f>
        <v>118839429</v>
      </c>
    </row>
    <row r="78" spans="1:11" ht="15">
      <c r="A78" s="342" t="str">
        <f>+'INGR. Y EGRE SEC CENT'!A71</f>
        <v>1.2.5.2</v>
      </c>
      <c r="B78" s="12" t="str">
        <f>+'INGR. Y EGRE SEC CENT'!B71</f>
        <v>Desembolsos Crédito Externo</v>
      </c>
      <c r="C78" s="809">
        <f>+'INGR. Y EGRE SEC CENT'!C71</f>
        <v>0</v>
      </c>
      <c r="D78" s="810">
        <f>+'INGR. Y EGRE SEC CENT'!D71</f>
        <v>0</v>
      </c>
      <c r="E78" s="660">
        <f>+'INGR. Y EGRE SEC CENT'!E71</f>
        <v>0</v>
      </c>
      <c r="F78" s="810">
        <f>+'PROYECCIONES CON PLAN DESEMPE.'!C71</f>
        <v>0</v>
      </c>
      <c r="G78" s="660">
        <f>+'PROYECCIONES CON PLAN DESEMPE.'!D71</f>
        <v>0</v>
      </c>
      <c r="H78" s="810">
        <f>+'PROYECCIONES CON PLAN DESEMPE.'!E71</f>
        <v>0</v>
      </c>
      <c r="I78" s="810">
        <f>+'PROYECCIONES CON PLAN DESEMPE.'!F71</f>
        <v>0</v>
      </c>
      <c r="J78" s="810">
        <f>+'PROYECCIONES CON PLAN DESEMPE.'!G71</f>
        <v>0</v>
      </c>
      <c r="K78" s="810">
        <f>+'PROYECCIONES CON PLAN DESEMPE.'!H71</f>
        <v>0</v>
      </c>
    </row>
    <row r="79" spans="1:11" ht="15">
      <c r="A79" s="8" t="str">
        <f>+'INGR. Y EGRE SEC CENT'!A145</f>
        <v>2.2.1.2</v>
      </c>
      <c r="B79" s="12" t="str">
        <f>+'INGR. Y EGRE SEC CENT'!B145</f>
        <v>Amortización Deuda Externa</v>
      </c>
      <c r="C79" s="809">
        <f>+'INGR. Y EGRE SEC CENT'!C145</f>
        <v>0</v>
      </c>
      <c r="D79" s="810">
        <f>+'INGR. Y EGRE SEC CENT'!D145</f>
        <v>0</v>
      </c>
      <c r="E79" s="660">
        <f>+'INGR. Y EGRE SEC CENT'!E145</f>
        <v>0</v>
      </c>
      <c r="F79" s="810">
        <f>+'PROYECCIONES CON PLAN DESEMPE.'!C145</f>
        <v>0</v>
      </c>
      <c r="G79" s="660">
        <f>+'PROYECCIONES CON PLAN DESEMPE.'!D145</f>
        <v>0</v>
      </c>
      <c r="H79" s="810">
        <f>+'PROYECCIONES CON PLAN DESEMPE.'!E145</f>
        <v>0</v>
      </c>
      <c r="I79" s="810">
        <f>+'PROYECCIONES CON PLAN DESEMPE.'!F145</f>
        <v>0</v>
      </c>
      <c r="J79" s="810">
        <f>+'PROYECCIONES CON PLAN DESEMPE.'!G145</f>
        <v>0</v>
      </c>
      <c r="K79" s="810">
        <f>+'PROYECCIONES CON PLAN DESEMPE.'!H145</f>
        <v>0</v>
      </c>
    </row>
    <row r="80" spans="1:11" ht="15">
      <c r="A80" s="8"/>
      <c r="B80" s="12" t="s">
        <v>543</v>
      </c>
      <c r="C80" s="627"/>
      <c r="D80" s="628"/>
      <c r="E80" s="655"/>
      <c r="F80" s="628"/>
      <c r="G80" s="655"/>
      <c r="H80" s="628"/>
      <c r="I80" s="628"/>
      <c r="J80" s="628"/>
      <c r="K80" s="628"/>
    </row>
    <row r="81" spans="1:11" ht="15.75" thickBot="1">
      <c r="A81" s="345"/>
      <c r="B81" s="299" t="s">
        <v>544</v>
      </c>
      <c r="C81" s="741">
        <f aca="true" t="shared" si="18" ref="C81:K81">IF(C83=0,0,IF(C83&lt;0,(C83*(-1)),IF(C83&gt;0,(C83*(-1)))))</f>
        <v>0</v>
      </c>
      <c r="D81" s="755">
        <f t="shared" si="18"/>
        <v>0</v>
      </c>
      <c r="E81" s="663">
        <f t="shared" si="18"/>
        <v>-964170517</v>
      </c>
      <c r="F81" s="755">
        <f t="shared" si="18"/>
        <v>-441267745</v>
      </c>
      <c r="G81" s="755">
        <f t="shared" si="18"/>
        <v>-618721172</v>
      </c>
      <c r="H81" s="755">
        <f t="shared" si="18"/>
        <v>-819365297</v>
      </c>
      <c r="I81" s="755">
        <f t="shared" si="18"/>
        <v>-1052146086</v>
      </c>
      <c r="J81" s="755">
        <f t="shared" si="18"/>
        <v>-1343931944</v>
      </c>
      <c r="K81" s="755">
        <f t="shared" si="18"/>
        <v>-1686994472</v>
      </c>
    </row>
    <row r="82" spans="1:11" s="7" customFormat="1" ht="15.75">
      <c r="A82" s="178"/>
      <c r="B82" s="179"/>
      <c r="C82" s="231"/>
      <c r="D82" s="231"/>
      <c r="E82" s="231"/>
      <c r="F82" s="231"/>
      <c r="G82" s="231"/>
      <c r="H82" s="231"/>
      <c r="I82" s="231"/>
      <c r="J82" s="231"/>
      <c r="K82" s="231"/>
    </row>
    <row r="83" spans="1:11" s="577" customFormat="1" ht="15" hidden="1">
      <c r="A83" s="346"/>
      <c r="B83" s="347" t="s">
        <v>544</v>
      </c>
      <c r="C83" s="348">
        <f aca="true" t="shared" si="19" ref="C83:K83">+C75+C80+C73</f>
        <v>0</v>
      </c>
      <c r="D83" s="349">
        <f t="shared" si="19"/>
        <v>0</v>
      </c>
      <c r="E83" s="349">
        <f t="shared" si="19"/>
        <v>964170517</v>
      </c>
      <c r="F83" s="349">
        <f t="shared" si="19"/>
        <v>441267745</v>
      </c>
      <c r="G83" s="349">
        <f t="shared" si="19"/>
        <v>618721172</v>
      </c>
      <c r="H83" s="348">
        <f t="shared" si="19"/>
        <v>819365297</v>
      </c>
      <c r="I83" s="349">
        <f t="shared" si="19"/>
        <v>1052146086</v>
      </c>
      <c r="J83" s="348">
        <f t="shared" si="19"/>
        <v>1343931944</v>
      </c>
      <c r="K83" s="349">
        <f t="shared" si="19"/>
        <v>1686994472</v>
      </c>
    </row>
  </sheetData>
  <sheetProtection password="C92D" sheet="1" objects="1" scenarios="1"/>
  <printOptions horizontalCentered="1" verticalCentered="1"/>
  <pageMargins left="0.3937007874015748" right="0.3937007874015748" top="0.3937007874015748" bottom="0.3937007874015748" header="0.31496062992125984" footer="0.5905511811023623"/>
  <pageSetup horizontalDpi="240" verticalDpi="240" orientation="portrait" scale="50" r:id="rId1"/>
  <headerFooter alignWithMargins="0">
    <oddFooter>&amp;R&amp;9Página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A5" sqref="A5"/>
    </sheetView>
  </sheetViews>
  <sheetFormatPr defaultColWidth="11.5546875" defaultRowHeight="15"/>
  <cols>
    <col min="1" max="1" width="10.21484375" style="0" customWidth="1"/>
    <col min="2" max="2" width="15.6640625" style="0" customWidth="1"/>
    <col min="3" max="3" width="27.10546875" style="0" customWidth="1"/>
    <col min="4" max="4" width="3.5546875" style="0" customWidth="1"/>
    <col min="5" max="5" width="27.21484375" style="0" customWidth="1"/>
    <col min="6" max="6" width="4.21484375" style="0" customWidth="1"/>
    <col min="7" max="7" width="27.3359375" style="0" customWidth="1"/>
    <col min="8" max="8" width="4.21484375" style="0" customWidth="1"/>
    <col min="9" max="9" width="29.6640625" style="0" customWidth="1"/>
    <col min="10" max="10" width="4.21484375" style="0" customWidth="1"/>
  </cols>
  <sheetData>
    <row r="1" spans="1:9" ht="15.75">
      <c r="A1" s="409" t="s">
        <v>547</v>
      </c>
      <c r="B1" s="410"/>
      <c r="C1" s="410"/>
      <c r="D1" s="410"/>
      <c r="E1" s="410"/>
      <c r="F1" s="410"/>
      <c r="G1" s="410"/>
      <c r="H1" s="410"/>
      <c r="I1" s="410"/>
    </row>
    <row r="2" spans="1:9" s="412" customFormat="1" ht="16.5">
      <c r="A2" s="409" t="s">
        <v>548</v>
      </c>
      <c r="B2" s="411"/>
      <c r="C2" s="411"/>
      <c r="D2" s="411"/>
      <c r="E2" s="411"/>
      <c r="F2" s="411"/>
      <c r="G2" s="411"/>
      <c r="H2" s="411"/>
      <c r="I2" s="411"/>
    </row>
    <row r="3" spans="1:10" s="412" customFormat="1" ht="17.25" thickBot="1">
      <c r="A3" s="413" t="s">
        <v>686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9" s="415" customFormat="1" ht="16.5" hidden="1" thickBot="1">
      <c r="A4" s="409"/>
      <c r="B4" s="414"/>
      <c r="C4" s="414"/>
      <c r="D4" s="414"/>
      <c r="E4" s="414"/>
      <c r="F4" s="414"/>
      <c r="G4" s="414"/>
      <c r="H4" s="414"/>
      <c r="I4" s="414"/>
    </row>
    <row r="5" spans="1:12" ht="15.75">
      <c r="A5" s="416"/>
      <c r="B5" s="417"/>
      <c r="C5" s="418" t="s">
        <v>549</v>
      </c>
      <c r="D5" s="419"/>
      <c r="E5" s="419"/>
      <c r="F5" s="419"/>
      <c r="G5" s="419"/>
      <c r="H5" s="419"/>
      <c r="I5" s="419"/>
      <c r="J5" s="420"/>
      <c r="K5" s="1"/>
      <c r="L5" s="1"/>
    </row>
    <row r="6" spans="1:12" ht="15">
      <c r="A6" s="421" t="s">
        <v>4</v>
      </c>
      <c r="B6" s="422" t="s">
        <v>550</v>
      </c>
      <c r="C6" s="423"/>
      <c r="D6" s="424"/>
      <c r="E6" s="423"/>
      <c r="F6" s="424"/>
      <c r="G6" s="425"/>
      <c r="H6" s="426"/>
      <c r="I6" s="427"/>
      <c r="J6" s="428"/>
      <c r="K6" s="1"/>
      <c r="L6" s="1"/>
    </row>
    <row r="7" spans="1:12" ht="15.75" thickBot="1">
      <c r="A7" s="429"/>
      <c r="B7" s="430"/>
      <c r="C7" s="431" t="s">
        <v>551</v>
      </c>
      <c r="D7" s="432" t="s">
        <v>552</v>
      </c>
      <c r="E7" s="432" t="s">
        <v>553</v>
      </c>
      <c r="F7" s="432" t="s">
        <v>552</v>
      </c>
      <c r="G7" s="432" t="s">
        <v>554</v>
      </c>
      <c r="H7" s="432" t="s">
        <v>552</v>
      </c>
      <c r="I7" s="433" t="s">
        <v>555</v>
      </c>
      <c r="J7" s="434" t="s">
        <v>552</v>
      </c>
      <c r="K7" s="1"/>
      <c r="L7" s="1"/>
    </row>
    <row r="8" spans="1:12" ht="15" hidden="1">
      <c r="A8" s="435"/>
      <c r="B8" s="436"/>
      <c r="C8" s="437"/>
      <c r="D8" s="438"/>
      <c r="E8" s="438"/>
      <c r="F8" s="438"/>
      <c r="G8" s="439"/>
      <c r="H8" s="440"/>
      <c r="I8" s="441"/>
      <c r="J8" s="442"/>
      <c r="K8" s="1"/>
      <c r="L8" s="1"/>
    </row>
    <row r="9" spans="1:12" ht="15">
      <c r="A9" s="435" t="s">
        <v>556</v>
      </c>
      <c r="B9" s="443" t="s">
        <v>557</v>
      </c>
      <c r="C9" s="444" t="s">
        <v>558</v>
      </c>
      <c r="D9" s="445"/>
      <c r="E9" s="446"/>
      <c r="F9" s="445"/>
      <c r="G9" s="444"/>
      <c r="H9" s="447"/>
      <c r="I9" s="448"/>
      <c r="J9" s="449"/>
      <c r="K9" s="1"/>
      <c r="L9" s="1"/>
    </row>
    <row r="10" spans="1:12" ht="15">
      <c r="A10" s="450" t="s">
        <v>559</v>
      </c>
      <c r="B10" s="443" t="s">
        <v>560</v>
      </c>
      <c r="C10" s="444" t="s">
        <v>561</v>
      </c>
      <c r="D10" s="445"/>
      <c r="E10" s="446"/>
      <c r="F10" s="445"/>
      <c r="G10" s="444"/>
      <c r="H10" s="447"/>
      <c r="I10" s="448"/>
      <c r="J10" s="449"/>
      <c r="K10" s="1"/>
      <c r="L10" s="1"/>
    </row>
    <row r="11" spans="1:12" ht="15">
      <c r="A11" s="451"/>
      <c r="B11" s="452"/>
      <c r="C11" s="444" t="s">
        <v>562</v>
      </c>
      <c r="D11" s="445"/>
      <c r="E11" s="446"/>
      <c r="F11" s="445"/>
      <c r="G11" s="444"/>
      <c r="H11" s="447"/>
      <c r="I11" s="448"/>
      <c r="J11" s="449"/>
      <c r="K11" s="1"/>
      <c r="L11" s="1"/>
    </row>
    <row r="12" spans="1:12" ht="15">
      <c r="A12" s="451"/>
      <c r="B12" s="453"/>
      <c r="C12" s="454" t="s">
        <v>563</v>
      </c>
      <c r="D12" s="445"/>
      <c r="E12" s="446"/>
      <c r="F12" s="445"/>
      <c r="G12" s="444"/>
      <c r="H12" s="447"/>
      <c r="I12" s="448"/>
      <c r="J12" s="449"/>
      <c r="K12" s="1"/>
      <c r="L12" s="1"/>
    </row>
    <row r="13" spans="1:12" ht="15">
      <c r="A13" s="451"/>
      <c r="B13" s="455"/>
      <c r="C13" s="456" t="s">
        <v>564</v>
      </c>
      <c r="D13" s="457"/>
      <c r="E13" s="458"/>
      <c r="F13" s="457"/>
      <c r="G13" s="459"/>
      <c r="H13" s="460"/>
      <c r="I13" s="461"/>
      <c r="J13" s="462"/>
      <c r="K13" s="1"/>
      <c r="L13" s="1"/>
    </row>
    <row r="14" spans="1:12" ht="15">
      <c r="A14" s="451"/>
      <c r="B14" s="463" t="s">
        <v>565</v>
      </c>
      <c r="C14" s="464"/>
      <c r="D14" s="465"/>
      <c r="E14" s="466"/>
      <c r="F14" s="445"/>
      <c r="G14" s="467"/>
      <c r="H14" s="468"/>
      <c r="I14" s="469"/>
      <c r="J14" s="449"/>
      <c r="K14" s="1"/>
      <c r="L14" s="1"/>
    </row>
    <row r="15" spans="1:12" ht="15">
      <c r="A15" s="451"/>
      <c r="B15" s="470" t="s">
        <v>566</v>
      </c>
      <c r="C15" s="471" t="s">
        <v>567</v>
      </c>
      <c r="D15" s="472"/>
      <c r="E15" s="466"/>
      <c r="F15" s="445"/>
      <c r="G15" s="467"/>
      <c r="H15" s="468"/>
      <c r="I15" s="469"/>
      <c r="J15" s="449"/>
      <c r="K15" s="1"/>
      <c r="L15" s="1"/>
    </row>
    <row r="16" spans="1:10" ht="15">
      <c r="A16" s="473"/>
      <c r="B16" s="474"/>
      <c r="C16" s="475" t="s">
        <v>568</v>
      </c>
      <c r="D16" s="472"/>
      <c r="E16" s="471"/>
      <c r="F16" s="476"/>
      <c r="G16" s="477"/>
      <c r="H16" s="478"/>
      <c r="I16" s="479"/>
      <c r="J16" s="480"/>
    </row>
    <row r="17" spans="1:10" ht="15">
      <c r="A17" s="473"/>
      <c r="B17" s="481"/>
      <c r="C17" s="482" t="s">
        <v>569</v>
      </c>
      <c r="D17" s="483"/>
      <c r="E17" s="482"/>
      <c r="F17" s="483"/>
      <c r="G17" s="482"/>
      <c r="H17" s="484"/>
      <c r="I17" s="485"/>
      <c r="J17" s="486"/>
    </row>
    <row r="18" spans="1:10" ht="15">
      <c r="A18" s="473"/>
      <c r="B18" s="487" t="s">
        <v>570</v>
      </c>
      <c r="C18" s="471" t="s">
        <v>571</v>
      </c>
      <c r="D18" s="472"/>
      <c r="E18" s="471"/>
      <c r="F18" s="472"/>
      <c r="G18" s="471"/>
      <c r="H18" s="478"/>
      <c r="I18" s="488"/>
      <c r="J18" s="480"/>
    </row>
    <row r="19" spans="1:10" ht="33.75">
      <c r="A19" s="473"/>
      <c r="B19" s="489" t="s">
        <v>572</v>
      </c>
      <c r="C19" s="471" t="s">
        <v>573</v>
      </c>
      <c r="D19" s="472"/>
      <c r="E19" s="471"/>
      <c r="F19" s="472"/>
      <c r="G19" s="471"/>
      <c r="H19" s="478"/>
      <c r="I19" s="488"/>
      <c r="J19" s="480"/>
    </row>
    <row r="20" spans="1:10" ht="15">
      <c r="A20" s="473"/>
      <c r="B20" s="470"/>
      <c r="C20" s="490" t="s">
        <v>574</v>
      </c>
      <c r="D20" s="472"/>
      <c r="E20" s="471"/>
      <c r="F20" s="472"/>
      <c r="G20" s="471"/>
      <c r="H20" s="478"/>
      <c r="I20" s="488"/>
      <c r="J20" s="480"/>
    </row>
    <row r="21" spans="1:10" ht="33.75">
      <c r="A21" s="473"/>
      <c r="B21" s="470"/>
      <c r="C21" s="471" t="s">
        <v>575</v>
      </c>
      <c r="D21" s="472"/>
      <c r="E21" s="471"/>
      <c r="F21" s="472"/>
      <c r="G21" s="471"/>
      <c r="H21" s="478"/>
      <c r="I21" s="488"/>
      <c r="J21" s="480"/>
    </row>
    <row r="22" spans="1:10" ht="15">
      <c r="A22" s="491"/>
      <c r="B22" s="492"/>
      <c r="C22" s="475" t="s">
        <v>576</v>
      </c>
      <c r="D22" s="493"/>
      <c r="E22" s="471"/>
      <c r="F22" s="472"/>
      <c r="G22" s="471"/>
      <c r="H22" s="478"/>
      <c r="I22" s="488"/>
      <c r="J22" s="480"/>
    </row>
    <row r="23" spans="1:10" ht="15">
      <c r="A23" s="494"/>
      <c r="B23" s="495"/>
      <c r="C23" s="454" t="s">
        <v>577</v>
      </c>
      <c r="D23" s="496"/>
      <c r="E23" s="497" t="s">
        <v>578</v>
      </c>
      <c r="F23" s="498"/>
      <c r="G23" s="499"/>
      <c r="H23" s="498"/>
      <c r="I23" s="500"/>
      <c r="J23" s="501"/>
    </row>
    <row r="24" spans="1:10" ht="15">
      <c r="A24" s="502"/>
      <c r="B24" s="503"/>
      <c r="C24" s="454" t="s">
        <v>579</v>
      </c>
      <c r="D24" s="504"/>
      <c r="E24" s="505"/>
      <c r="F24" s="445"/>
      <c r="G24" s="469"/>
      <c r="H24" s="465"/>
      <c r="I24" s="506"/>
      <c r="J24" s="507"/>
    </row>
    <row r="25" spans="1:10" ht="15">
      <c r="A25" s="502" t="s">
        <v>580</v>
      </c>
      <c r="B25" s="508" t="s">
        <v>581</v>
      </c>
      <c r="C25" s="454" t="s">
        <v>582</v>
      </c>
      <c r="D25" s="445">
        <f>60%*B34</f>
        <v>0</v>
      </c>
      <c r="E25" s="505"/>
      <c r="F25" s="465">
        <f>40%*B34</f>
        <v>0</v>
      </c>
      <c r="G25" s="505"/>
      <c r="H25" s="465">
        <f>40%*B34</f>
        <v>0</v>
      </c>
      <c r="I25" s="469"/>
      <c r="J25" s="507">
        <f>40%*B34</f>
        <v>0</v>
      </c>
    </row>
    <row r="26" spans="1:10" ht="33.75">
      <c r="A26" s="509" t="s">
        <v>583</v>
      </c>
      <c r="B26" s="510" t="s">
        <v>584</v>
      </c>
      <c r="C26" s="454" t="s">
        <v>585</v>
      </c>
      <c r="D26" s="445"/>
      <c r="E26" s="454"/>
      <c r="F26" s="465"/>
      <c r="G26" s="454"/>
      <c r="H26" s="465"/>
      <c r="I26" s="506"/>
      <c r="J26" s="507"/>
    </row>
    <row r="27" spans="1:10" ht="15">
      <c r="A27" s="509"/>
      <c r="B27" s="510" t="s">
        <v>586</v>
      </c>
      <c r="C27" s="454" t="s">
        <v>587</v>
      </c>
      <c r="D27" s="445"/>
      <c r="E27" s="454"/>
      <c r="F27" s="465"/>
      <c r="G27" s="454"/>
      <c r="H27" s="465"/>
      <c r="I27" s="506"/>
      <c r="J27" s="507"/>
    </row>
    <row r="28" spans="1:10" ht="15">
      <c r="A28" s="509"/>
      <c r="B28" s="510"/>
      <c r="C28" s="454" t="s">
        <v>588</v>
      </c>
      <c r="D28" s="445"/>
      <c r="E28" s="454"/>
      <c r="F28" s="465"/>
      <c r="G28" s="454"/>
      <c r="H28" s="465"/>
      <c r="I28" s="506"/>
      <c r="J28" s="507"/>
    </row>
    <row r="29" spans="1:10" ht="15">
      <c r="A29" s="509"/>
      <c r="B29" s="510"/>
      <c r="C29" s="454" t="s">
        <v>589</v>
      </c>
      <c r="D29" s="445"/>
      <c r="E29" s="454"/>
      <c r="F29" s="465"/>
      <c r="G29" s="454"/>
      <c r="H29" s="465"/>
      <c r="I29" s="506"/>
      <c r="J29" s="507"/>
    </row>
    <row r="30" spans="1:10" ht="15">
      <c r="A30" s="509"/>
      <c r="B30" s="510"/>
      <c r="C30" s="454" t="s">
        <v>590</v>
      </c>
      <c r="D30" s="445"/>
      <c r="E30" s="454"/>
      <c r="F30" s="465">
        <f>60%*B34</f>
        <v>0</v>
      </c>
      <c r="G30" s="454"/>
      <c r="H30" s="465">
        <f>60%*B34</f>
        <v>0</v>
      </c>
      <c r="I30" s="506"/>
      <c r="J30" s="507">
        <f>60%*B34</f>
        <v>0</v>
      </c>
    </row>
    <row r="31" spans="1:10" ht="15">
      <c r="A31" s="509"/>
      <c r="B31" s="510"/>
      <c r="C31" s="454" t="s">
        <v>591</v>
      </c>
      <c r="D31" s="445">
        <f>40%*B34</f>
        <v>0</v>
      </c>
      <c r="E31" s="454"/>
      <c r="F31" s="465"/>
      <c r="G31" s="454"/>
      <c r="H31" s="465"/>
      <c r="I31" s="506"/>
      <c r="J31" s="507"/>
    </row>
    <row r="32" spans="1:10" ht="15">
      <c r="A32" s="509"/>
      <c r="B32" s="510"/>
      <c r="C32" s="454" t="s">
        <v>592</v>
      </c>
      <c r="E32" s="454"/>
      <c r="F32" s="465"/>
      <c r="G32" s="454"/>
      <c r="H32" s="465"/>
      <c r="I32" s="506"/>
      <c r="J32" s="507"/>
    </row>
    <row r="33" spans="1:10" ht="15">
      <c r="A33" s="509"/>
      <c r="B33" s="510" t="s">
        <v>593</v>
      </c>
      <c r="C33" s="454" t="s">
        <v>594</v>
      </c>
      <c r="D33" s="445"/>
      <c r="E33" s="454"/>
      <c r="F33" s="465"/>
      <c r="G33" s="454"/>
      <c r="H33" s="465"/>
      <c r="I33" s="506"/>
      <c r="J33" s="507"/>
    </row>
    <row r="34" spans="1:10" ht="15">
      <c r="A34" s="509"/>
      <c r="B34" s="511">
        <v>0</v>
      </c>
      <c r="C34" s="454" t="s">
        <v>595</v>
      </c>
      <c r="D34" s="445"/>
      <c r="E34" s="454"/>
      <c r="F34" s="465"/>
      <c r="G34" s="454"/>
      <c r="H34" s="465"/>
      <c r="I34" s="506"/>
      <c r="J34" s="507"/>
    </row>
    <row r="35" spans="1:10" ht="15">
      <c r="A35" s="509"/>
      <c r="B35" s="454"/>
      <c r="C35" s="454" t="s">
        <v>596</v>
      </c>
      <c r="D35" s="445"/>
      <c r="E35" s="454"/>
      <c r="F35" s="465"/>
      <c r="G35" s="454"/>
      <c r="H35" s="465"/>
      <c r="I35" s="506"/>
      <c r="J35" s="507"/>
    </row>
    <row r="36" spans="1:10" ht="15">
      <c r="A36" s="509"/>
      <c r="B36" s="454"/>
      <c r="C36" s="454" t="s">
        <v>597</v>
      </c>
      <c r="D36" s="445"/>
      <c r="E36" s="454"/>
      <c r="F36" s="465"/>
      <c r="G36" s="454"/>
      <c r="H36" s="465"/>
      <c r="I36" s="506"/>
      <c r="J36" s="507"/>
    </row>
    <row r="37" spans="1:10" ht="15">
      <c r="A37" s="509"/>
      <c r="B37" s="454"/>
      <c r="C37" s="454" t="s">
        <v>598</v>
      </c>
      <c r="D37" s="445"/>
      <c r="E37" s="454"/>
      <c r="F37" s="465"/>
      <c r="G37" s="454"/>
      <c r="H37" s="465"/>
      <c r="I37" s="506"/>
      <c r="J37" s="507"/>
    </row>
    <row r="38" spans="1:10" ht="15">
      <c r="A38" s="509"/>
      <c r="B38" s="454"/>
      <c r="C38" s="454"/>
      <c r="D38" s="465"/>
      <c r="E38" s="454"/>
      <c r="F38" s="465"/>
      <c r="G38" s="454"/>
      <c r="H38" s="465"/>
      <c r="I38" s="469"/>
      <c r="J38" s="507"/>
    </row>
    <row r="39" spans="1:10" ht="15">
      <c r="A39" s="509"/>
      <c r="B39" s="454"/>
      <c r="C39" s="454"/>
      <c r="D39" s="512"/>
      <c r="E39" s="454"/>
      <c r="F39" s="465"/>
      <c r="G39" s="454"/>
      <c r="H39" s="465"/>
      <c r="I39" s="469"/>
      <c r="J39" s="507"/>
    </row>
    <row r="40" spans="1:10" ht="15">
      <c r="A40" s="509"/>
      <c r="B40" s="513"/>
      <c r="C40" s="513"/>
      <c r="E40" s="513"/>
      <c r="F40" s="514"/>
      <c r="G40" s="513"/>
      <c r="H40" s="465"/>
      <c r="I40" s="515"/>
      <c r="J40" s="507"/>
    </row>
    <row r="41" spans="1:10" ht="15" hidden="1">
      <c r="A41" s="509"/>
      <c r="B41" s="516"/>
      <c r="C41" s="516"/>
      <c r="D41" s="512"/>
      <c r="E41" s="517"/>
      <c r="F41" s="518"/>
      <c r="G41" s="516"/>
      <c r="H41" s="465"/>
      <c r="I41" s="469"/>
      <c r="J41" s="507"/>
    </row>
    <row r="42" spans="1:10" ht="15">
      <c r="A42" s="509"/>
      <c r="B42" s="487" t="s">
        <v>599</v>
      </c>
      <c r="C42" s="454"/>
      <c r="D42" s="518">
        <f>25%*B48</f>
        <v>0</v>
      </c>
      <c r="E42" s="454"/>
      <c r="F42" s="512">
        <f>25%*B48</f>
        <v>0</v>
      </c>
      <c r="G42" s="454"/>
      <c r="H42" s="519">
        <f>25%*B48</f>
        <v>0</v>
      </c>
      <c r="I42" s="506"/>
      <c r="J42" s="520">
        <f>25%*B48</f>
        <v>0</v>
      </c>
    </row>
    <row r="43" spans="1:10" ht="15">
      <c r="A43" s="509"/>
      <c r="B43" s="452" t="s">
        <v>600</v>
      </c>
      <c r="C43" s="454"/>
      <c r="D43" s="512">
        <f>25%*B48</f>
        <v>0</v>
      </c>
      <c r="E43" s="454"/>
      <c r="F43" s="512"/>
      <c r="G43" s="454"/>
      <c r="H43" s="465"/>
      <c r="I43" s="506"/>
      <c r="J43" s="507"/>
    </row>
    <row r="44" spans="1:10" ht="15">
      <c r="A44" s="509"/>
      <c r="B44" s="454"/>
      <c r="C44" s="454"/>
      <c r="D44" s="512"/>
      <c r="E44" s="454"/>
      <c r="F44" s="512"/>
      <c r="G44" s="454"/>
      <c r="H44" s="465"/>
      <c r="I44" s="506"/>
      <c r="J44" s="507"/>
    </row>
    <row r="45" spans="1:10" ht="15">
      <c r="A45" s="509"/>
      <c r="B45" s="510" t="s">
        <v>601</v>
      </c>
      <c r="C45" s="454"/>
      <c r="D45" s="512">
        <f>25%*B48</f>
        <v>0</v>
      </c>
      <c r="E45" s="454"/>
      <c r="F45" s="512"/>
      <c r="G45" s="454"/>
      <c r="H45" s="465"/>
      <c r="I45" s="506"/>
      <c r="J45" s="507"/>
    </row>
    <row r="46" spans="1:10" ht="15">
      <c r="A46" s="509"/>
      <c r="B46" s="510"/>
      <c r="C46" s="454"/>
      <c r="D46" s="465"/>
      <c r="E46" s="454"/>
      <c r="F46" s="512">
        <f>25%*B48</f>
        <v>0</v>
      </c>
      <c r="G46" s="454"/>
      <c r="H46" s="465">
        <f>25%*B48</f>
        <v>0</v>
      </c>
      <c r="I46" s="506"/>
      <c r="J46" s="507">
        <f>25%*B48</f>
        <v>0</v>
      </c>
    </row>
    <row r="47" spans="1:10" ht="15">
      <c r="A47" s="509"/>
      <c r="B47" s="510" t="s">
        <v>593</v>
      </c>
      <c r="C47" s="454"/>
      <c r="D47" s="465">
        <f>25%*B48</f>
        <v>0</v>
      </c>
      <c r="E47" s="454"/>
      <c r="F47" s="512"/>
      <c r="G47" s="454"/>
      <c r="H47" s="465"/>
      <c r="I47" s="506"/>
      <c r="J47" s="507"/>
    </row>
    <row r="48" spans="1:10" ht="15">
      <c r="A48" s="509"/>
      <c r="B48" s="511">
        <v>0</v>
      </c>
      <c r="C48" s="454"/>
      <c r="D48" s="465"/>
      <c r="E48" s="521"/>
      <c r="F48" s="465">
        <f>25%*B48</f>
        <v>0</v>
      </c>
      <c r="G48" s="521"/>
      <c r="H48" s="465">
        <f>25%*B48</f>
        <v>0</v>
      </c>
      <c r="I48" s="522"/>
      <c r="J48" s="507">
        <f>25%*B48</f>
        <v>0</v>
      </c>
    </row>
    <row r="49" spans="1:10" ht="15">
      <c r="A49" s="509"/>
      <c r="B49" s="454"/>
      <c r="C49" s="521"/>
      <c r="E49" s="454"/>
      <c r="F49" s="465"/>
      <c r="G49" s="454"/>
      <c r="H49" s="465"/>
      <c r="I49" s="506"/>
      <c r="J49" s="507"/>
    </row>
    <row r="50" spans="1:10" ht="15">
      <c r="A50" s="509"/>
      <c r="B50" s="454"/>
      <c r="C50" s="454"/>
      <c r="D50" s="512"/>
      <c r="E50" s="521"/>
      <c r="F50" s="465">
        <f>25%*B48</f>
        <v>0</v>
      </c>
      <c r="G50" s="521"/>
      <c r="H50" s="465">
        <f>25%*B48</f>
        <v>0</v>
      </c>
      <c r="I50" s="522"/>
      <c r="J50" s="507">
        <f>25%*B48</f>
        <v>0</v>
      </c>
    </row>
    <row r="51" spans="1:10" ht="15">
      <c r="A51" s="509"/>
      <c r="B51" s="513"/>
      <c r="C51" s="513"/>
      <c r="D51" s="514"/>
      <c r="E51" s="513"/>
      <c r="F51" s="514"/>
      <c r="G51" s="513"/>
      <c r="H51" s="514"/>
      <c r="I51" s="461"/>
      <c r="J51" s="523"/>
    </row>
    <row r="52" spans="1:10" ht="15" hidden="1">
      <c r="A52" s="509"/>
      <c r="B52" s="516"/>
      <c r="C52" s="516"/>
      <c r="D52" s="512"/>
      <c r="E52" s="517"/>
      <c r="F52" s="518"/>
      <c r="G52" s="516"/>
      <c r="H52" s="519"/>
      <c r="I52" s="517"/>
      <c r="J52" s="520"/>
    </row>
    <row r="53" spans="1:10" ht="15">
      <c r="A53" s="509"/>
      <c r="B53" s="487" t="s">
        <v>602</v>
      </c>
      <c r="C53" s="454"/>
      <c r="D53" s="512"/>
      <c r="E53" s="454"/>
      <c r="F53" s="512"/>
      <c r="G53" s="454"/>
      <c r="H53" s="465"/>
      <c r="I53" s="469"/>
      <c r="J53" s="507"/>
    </row>
    <row r="54" spans="1:10" ht="15">
      <c r="A54" s="509"/>
      <c r="B54" s="510" t="s">
        <v>603</v>
      </c>
      <c r="C54" s="454"/>
      <c r="E54" s="454"/>
      <c r="F54" s="512"/>
      <c r="G54" s="454"/>
      <c r="H54" s="465"/>
      <c r="I54" s="469"/>
      <c r="J54" s="507"/>
    </row>
    <row r="55" spans="1:10" ht="15">
      <c r="A55" s="509"/>
      <c r="B55" s="524"/>
      <c r="C55" s="454"/>
      <c r="D55" s="512"/>
      <c r="E55" s="454"/>
      <c r="F55" s="512"/>
      <c r="G55" s="454"/>
      <c r="H55" s="465"/>
      <c r="I55" s="469"/>
      <c r="J55" s="507"/>
    </row>
    <row r="56" spans="1:10" ht="15">
      <c r="A56" s="509"/>
      <c r="B56" s="510" t="s">
        <v>604</v>
      </c>
      <c r="C56" s="454"/>
      <c r="D56" s="465">
        <f>100%*B59</f>
        <v>0</v>
      </c>
      <c r="E56" s="454"/>
      <c r="F56" s="465">
        <f>100%*B59</f>
        <v>0</v>
      </c>
      <c r="G56" s="454"/>
      <c r="H56" s="465">
        <f>100%*B59</f>
        <v>0</v>
      </c>
      <c r="I56" s="469"/>
      <c r="J56" s="507">
        <f>100%*B59</f>
        <v>0</v>
      </c>
    </row>
    <row r="57" spans="1:10" ht="15">
      <c r="A57" s="509"/>
      <c r="B57" s="510"/>
      <c r="C57" s="454"/>
      <c r="D57" s="512"/>
      <c r="E57" s="454"/>
      <c r="F57" s="512"/>
      <c r="G57" s="454"/>
      <c r="H57" s="465"/>
      <c r="I57" s="469"/>
      <c r="J57" s="507"/>
    </row>
    <row r="58" spans="1:10" ht="15">
      <c r="A58" s="509"/>
      <c r="B58" s="510" t="s">
        <v>593</v>
      </c>
      <c r="C58" s="454"/>
      <c r="D58" s="512"/>
      <c r="E58" s="454"/>
      <c r="F58" s="512"/>
      <c r="G58" s="454"/>
      <c r="H58" s="465"/>
      <c r="I58" s="469"/>
      <c r="J58" s="507"/>
    </row>
    <row r="59" spans="1:10" ht="15">
      <c r="A59" s="509"/>
      <c r="B59" s="511">
        <v>0</v>
      </c>
      <c r="C59" s="454"/>
      <c r="D59" s="512"/>
      <c r="E59" s="454"/>
      <c r="F59" s="512"/>
      <c r="G59" s="454"/>
      <c r="H59" s="465"/>
      <c r="I59" s="469"/>
      <c r="J59" s="507"/>
    </row>
    <row r="60" spans="1:10" ht="15">
      <c r="A60" s="509"/>
      <c r="B60" s="454"/>
      <c r="C60" s="454"/>
      <c r="D60" s="512"/>
      <c r="E60" s="454"/>
      <c r="F60" s="512"/>
      <c r="G60" s="454"/>
      <c r="H60" s="465"/>
      <c r="I60" s="469"/>
      <c r="J60" s="507"/>
    </row>
    <row r="61" spans="1:10" ht="15.75" thickBot="1">
      <c r="A61" s="525"/>
      <c r="B61" s="526"/>
      <c r="C61" s="526"/>
      <c r="D61" s="527"/>
      <c r="E61" s="526"/>
      <c r="F61" s="527"/>
      <c r="G61" s="526"/>
      <c r="H61" s="528"/>
      <c r="I61" s="529"/>
      <c r="J61" s="530"/>
    </row>
    <row r="62" spans="1:10" ht="15">
      <c r="A62" s="469" t="s">
        <v>605</v>
      </c>
      <c r="B62" s="469"/>
      <c r="C62" s="469"/>
      <c r="D62" s="531"/>
      <c r="E62" s="469"/>
      <c r="F62" s="469"/>
      <c r="G62" s="469"/>
      <c r="H62" s="469"/>
      <c r="I62" s="469"/>
      <c r="J62" s="469"/>
    </row>
    <row r="63" spans="1:10" s="412" customFormat="1" ht="16.5">
      <c r="A63" s="409" t="s">
        <v>18</v>
      </c>
      <c r="B63" s="411"/>
      <c r="C63" s="411"/>
      <c r="D63" s="532"/>
      <c r="E63" s="411"/>
      <c r="F63" s="411"/>
      <c r="G63" s="411"/>
      <c r="H63" s="411"/>
      <c r="I63" s="411"/>
      <c r="J63" s="411"/>
    </row>
    <row r="64" spans="1:10" s="412" customFormat="1" ht="16.5" customHeight="1" thickBot="1">
      <c r="A64" s="413" t="s">
        <v>606</v>
      </c>
      <c r="B64" s="411"/>
      <c r="C64" s="411"/>
      <c r="D64" s="410"/>
      <c r="E64" s="411"/>
      <c r="F64" s="411"/>
      <c r="G64" s="411"/>
      <c r="H64" s="411"/>
      <c r="I64" s="411"/>
      <c r="J64" s="411"/>
    </row>
    <row r="65" spans="1:10" s="415" customFormat="1" ht="0.75" customHeight="1" hidden="1">
      <c r="A65" s="409"/>
      <c r="B65" s="414"/>
      <c r="C65" s="414"/>
      <c r="D65" s="533"/>
      <c r="E65" s="414"/>
      <c r="F65" s="414"/>
      <c r="G65" s="414"/>
      <c r="H65" s="414"/>
      <c r="I65" s="534"/>
      <c r="J65" s="414"/>
    </row>
    <row r="66" spans="1:12" ht="15.75">
      <c r="A66" s="416"/>
      <c r="B66" s="417"/>
      <c r="C66" s="418" t="s">
        <v>549</v>
      </c>
      <c r="D66" s="419"/>
      <c r="E66" s="419"/>
      <c r="F66" s="419"/>
      <c r="G66" s="419"/>
      <c r="H66" s="419"/>
      <c r="I66" s="419"/>
      <c r="J66" s="420"/>
      <c r="K66" s="1"/>
      <c r="L66" s="1"/>
    </row>
    <row r="67" spans="1:12" ht="15">
      <c r="A67" s="421" t="s">
        <v>4</v>
      </c>
      <c r="B67" s="422" t="s">
        <v>550</v>
      </c>
      <c r="C67" s="423"/>
      <c r="D67" s="424"/>
      <c r="E67" s="423"/>
      <c r="F67" s="424"/>
      <c r="G67" s="425"/>
      <c r="H67" s="426"/>
      <c r="I67" s="427"/>
      <c r="J67" s="428"/>
      <c r="K67" s="1"/>
      <c r="L67" s="1"/>
    </row>
    <row r="68" spans="1:12" ht="15.75" thickBot="1">
      <c r="A68" s="429"/>
      <c r="B68" s="430"/>
      <c r="C68" s="431" t="s">
        <v>551</v>
      </c>
      <c r="D68" s="432" t="s">
        <v>552</v>
      </c>
      <c r="E68" s="432" t="s">
        <v>553</v>
      </c>
      <c r="F68" s="432" t="s">
        <v>552</v>
      </c>
      <c r="G68" s="432" t="s">
        <v>554</v>
      </c>
      <c r="H68" s="432" t="s">
        <v>552</v>
      </c>
      <c r="I68" s="433" t="s">
        <v>555</v>
      </c>
      <c r="J68" s="434" t="s">
        <v>552</v>
      </c>
      <c r="K68" s="1"/>
      <c r="L68" s="1"/>
    </row>
    <row r="69" spans="1:10" s="1" customFormat="1" ht="15">
      <c r="A69" s="535"/>
      <c r="B69" s="536"/>
      <c r="C69" s="537"/>
      <c r="D69" s="465">
        <f>100%*B76</f>
        <v>0</v>
      </c>
      <c r="E69" s="454"/>
      <c r="F69" s="465">
        <f>30%*B76</f>
        <v>0</v>
      </c>
      <c r="G69" s="454"/>
      <c r="H69" s="496">
        <f>65%*B76</f>
        <v>0</v>
      </c>
      <c r="I69" s="506"/>
      <c r="J69" s="507">
        <f>65%*B76</f>
        <v>0</v>
      </c>
    </row>
    <row r="70" spans="1:10" s="1" customFormat="1" ht="15">
      <c r="A70" s="435"/>
      <c r="B70" s="510" t="s">
        <v>607</v>
      </c>
      <c r="C70" s="469"/>
      <c r="D70" s="465"/>
      <c r="E70" s="454"/>
      <c r="F70" s="465">
        <f>40%*B76</f>
        <v>0</v>
      </c>
      <c r="G70" s="454"/>
      <c r="H70" s="496"/>
      <c r="I70" s="506"/>
      <c r="J70" s="507"/>
    </row>
    <row r="71" spans="1:10" ht="15">
      <c r="A71" s="502" t="s">
        <v>580</v>
      </c>
      <c r="B71" s="510" t="s">
        <v>603</v>
      </c>
      <c r="C71" s="454"/>
      <c r="D71" s="465"/>
      <c r="E71" s="454"/>
      <c r="F71" s="465"/>
      <c r="G71" s="454"/>
      <c r="H71" s="496"/>
      <c r="I71" s="506"/>
      <c r="J71" s="507"/>
    </row>
    <row r="72" spans="1:10" ht="15">
      <c r="A72" s="502"/>
      <c r="B72" s="510"/>
      <c r="C72" s="454"/>
      <c r="D72" s="465"/>
      <c r="E72" s="454"/>
      <c r="F72" s="465">
        <f>30%*B76</f>
        <v>0</v>
      </c>
      <c r="G72" s="454"/>
      <c r="H72" s="496">
        <f>35%*B76</f>
        <v>0</v>
      </c>
      <c r="I72" s="506"/>
      <c r="J72" s="507">
        <f>35%*B76</f>
        <v>0</v>
      </c>
    </row>
    <row r="73" spans="1:10" ht="15">
      <c r="A73" s="502"/>
      <c r="B73" s="510" t="s">
        <v>608</v>
      </c>
      <c r="C73" s="454"/>
      <c r="D73" s="465"/>
      <c r="E73" s="454"/>
      <c r="F73" s="465"/>
      <c r="G73" s="454"/>
      <c r="H73" s="496"/>
      <c r="I73" s="506"/>
      <c r="J73" s="507"/>
    </row>
    <row r="74" spans="1:10" ht="15">
      <c r="A74" s="502"/>
      <c r="B74" s="510"/>
      <c r="C74" s="454"/>
      <c r="D74" s="465"/>
      <c r="E74" s="454"/>
      <c r="F74" s="465"/>
      <c r="G74" s="454"/>
      <c r="H74" s="496"/>
      <c r="I74" s="506"/>
      <c r="J74" s="507"/>
    </row>
    <row r="75" spans="1:10" ht="33.75">
      <c r="A75" s="509" t="s">
        <v>583</v>
      </c>
      <c r="B75" s="510" t="s">
        <v>593</v>
      </c>
      <c r="C75" s="454"/>
      <c r="D75" s="465"/>
      <c r="E75" s="454"/>
      <c r="F75" s="465"/>
      <c r="G75" s="454"/>
      <c r="H75" s="496"/>
      <c r="I75" s="506"/>
      <c r="J75" s="507"/>
    </row>
    <row r="76" spans="1:10" ht="15">
      <c r="A76" s="509"/>
      <c r="B76" s="511">
        <v>0</v>
      </c>
      <c r="C76" s="454"/>
      <c r="E76" s="454"/>
      <c r="F76" s="465"/>
      <c r="G76" s="454"/>
      <c r="H76" s="496"/>
      <c r="I76" s="506"/>
      <c r="J76" s="507"/>
    </row>
    <row r="77" spans="1:10" ht="15">
      <c r="A77" s="509"/>
      <c r="B77" s="474"/>
      <c r="C77" s="513"/>
      <c r="D77" s="465"/>
      <c r="E77" s="513"/>
      <c r="F77" s="514"/>
      <c r="G77" s="513"/>
      <c r="H77" s="538"/>
      <c r="I77" s="461"/>
      <c r="J77" s="523"/>
    </row>
    <row r="78" spans="1:10" ht="15">
      <c r="A78" s="509"/>
      <c r="B78" s="539"/>
      <c r="C78" s="454"/>
      <c r="D78" s="519">
        <f>100%*B87</f>
        <v>0</v>
      </c>
      <c r="E78" s="454"/>
      <c r="F78" s="445">
        <f>100%*B87</f>
        <v>0</v>
      </c>
      <c r="G78" s="517"/>
      <c r="H78" s="465">
        <f>100%*B87</f>
        <v>0</v>
      </c>
      <c r="I78" s="506"/>
      <c r="J78" s="507">
        <f>100%*B87</f>
        <v>0</v>
      </c>
    </row>
    <row r="79" spans="1:10" ht="15">
      <c r="A79" s="509"/>
      <c r="B79" s="510" t="s">
        <v>609</v>
      </c>
      <c r="C79" s="454"/>
      <c r="D79" s="512"/>
      <c r="E79" s="454"/>
      <c r="F79" s="445"/>
      <c r="G79" s="469"/>
      <c r="H79" s="465"/>
      <c r="I79" s="506"/>
      <c r="J79" s="507"/>
    </row>
    <row r="80" spans="1:10" ht="15">
      <c r="A80" s="451"/>
      <c r="B80" s="510" t="s">
        <v>610</v>
      </c>
      <c r="C80" s="454"/>
      <c r="D80" s="512"/>
      <c r="E80" s="454"/>
      <c r="F80" s="445"/>
      <c r="G80" s="469"/>
      <c r="H80" s="465"/>
      <c r="I80" s="506"/>
      <c r="J80" s="507"/>
    </row>
    <row r="81" spans="1:10" ht="15">
      <c r="A81" s="473"/>
      <c r="B81" s="510" t="s">
        <v>611</v>
      </c>
      <c r="C81" s="505"/>
      <c r="D81" s="512"/>
      <c r="E81" s="454"/>
      <c r="F81" s="445"/>
      <c r="G81" s="469"/>
      <c r="H81" s="465"/>
      <c r="I81" s="506"/>
      <c r="J81" s="507"/>
    </row>
    <row r="82" spans="1:10" ht="15">
      <c r="A82" s="473"/>
      <c r="B82" s="510"/>
      <c r="C82" s="505"/>
      <c r="D82" s="512"/>
      <c r="E82" s="454"/>
      <c r="F82" s="445"/>
      <c r="G82" s="469"/>
      <c r="H82" s="465"/>
      <c r="I82" s="506"/>
      <c r="J82" s="507"/>
    </row>
    <row r="83" spans="1:10" ht="15">
      <c r="A83" s="473"/>
      <c r="B83" s="510" t="s">
        <v>612</v>
      </c>
      <c r="C83" s="505"/>
      <c r="D83" s="512"/>
      <c r="E83" s="454"/>
      <c r="F83" s="445"/>
      <c r="G83" s="469"/>
      <c r="H83" s="465"/>
      <c r="I83" s="506"/>
      <c r="J83" s="507"/>
    </row>
    <row r="84" spans="1:10" ht="15">
      <c r="A84" s="473"/>
      <c r="B84" s="510" t="s">
        <v>613</v>
      </c>
      <c r="C84" s="505"/>
      <c r="D84" s="512"/>
      <c r="E84" s="454"/>
      <c r="F84" s="445"/>
      <c r="G84" s="469"/>
      <c r="H84" s="465"/>
      <c r="I84" s="506"/>
      <c r="J84" s="507"/>
    </row>
    <row r="85" spans="1:10" ht="15">
      <c r="A85" s="473"/>
      <c r="B85" s="510"/>
      <c r="C85" s="505"/>
      <c r="D85" s="512"/>
      <c r="E85" s="454"/>
      <c r="F85" s="445"/>
      <c r="G85" s="469"/>
      <c r="H85" s="465"/>
      <c r="I85" s="506"/>
      <c r="J85" s="507"/>
    </row>
    <row r="86" spans="1:10" ht="15">
      <c r="A86" s="473"/>
      <c r="B86" s="510" t="s">
        <v>593</v>
      </c>
      <c r="C86" s="504"/>
      <c r="D86" s="512"/>
      <c r="E86" s="454"/>
      <c r="F86" s="445"/>
      <c r="G86" s="469"/>
      <c r="H86" s="465"/>
      <c r="I86" s="506"/>
      <c r="J86" s="507"/>
    </row>
    <row r="87" spans="1:10" ht="15">
      <c r="A87" s="450"/>
      <c r="B87" s="511">
        <v>0</v>
      </c>
      <c r="C87" s="505"/>
      <c r="D87" s="512"/>
      <c r="E87" s="454"/>
      <c r="F87" s="445"/>
      <c r="G87" s="469"/>
      <c r="H87" s="465"/>
      <c r="I87" s="506"/>
      <c r="J87" s="507"/>
    </row>
    <row r="88" spans="1:10" ht="15" hidden="1">
      <c r="A88" s="494"/>
      <c r="B88" s="510"/>
      <c r="C88" s="505"/>
      <c r="D88" s="512"/>
      <c r="E88" s="454"/>
      <c r="F88" s="445"/>
      <c r="G88" s="469"/>
      <c r="H88" s="465"/>
      <c r="I88" s="506"/>
      <c r="J88" s="507"/>
    </row>
    <row r="89" spans="1:10" ht="15" hidden="1">
      <c r="A89" s="502"/>
      <c r="B89" s="510"/>
      <c r="C89" s="505"/>
      <c r="D89" s="512"/>
      <c r="E89" s="454"/>
      <c r="F89" s="445"/>
      <c r="G89" s="469"/>
      <c r="H89" s="465"/>
      <c r="I89" s="506"/>
      <c r="J89" s="507"/>
    </row>
    <row r="90" spans="1:10" ht="15" hidden="1">
      <c r="A90" s="509"/>
      <c r="B90" s="510"/>
      <c r="C90" s="505"/>
      <c r="D90" s="512"/>
      <c r="E90" s="454"/>
      <c r="F90" s="445"/>
      <c r="G90" s="469"/>
      <c r="H90" s="465"/>
      <c r="I90" s="506"/>
      <c r="J90" s="507"/>
    </row>
    <row r="91" spans="1:10" ht="15" hidden="1">
      <c r="A91" s="509"/>
      <c r="B91" s="510"/>
      <c r="C91" s="504"/>
      <c r="D91" s="512"/>
      <c r="E91" s="454"/>
      <c r="F91" s="445"/>
      <c r="G91" s="469"/>
      <c r="H91" s="465"/>
      <c r="I91" s="506"/>
      <c r="J91" s="507"/>
    </row>
    <row r="92" spans="1:10" ht="15" hidden="1">
      <c r="A92" s="509"/>
      <c r="B92" s="510"/>
      <c r="C92" s="505"/>
      <c r="D92" s="512"/>
      <c r="E92" s="454"/>
      <c r="F92" s="445"/>
      <c r="G92" s="469"/>
      <c r="H92" s="465"/>
      <c r="I92" s="506"/>
      <c r="J92" s="507"/>
    </row>
    <row r="93" spans="1:10" ht="15" hidden="1">
      <c r="A93" s="509"/>
      <c r="B93" s="510"/>
      <c r="C93" s="505"/>
      <c r="D93" s="540"/>
      <c r="E93" s="454"/>
      <c r="F93" s="445"/>
      <c r="G93" s="469"/>
      <c r="H93" s="465"/>
      <c r="I93" s="506"/>
      <c r="J93" s="507"/>
    </row>
    <row r="94" spans="1:10" ht="15" hidden="1">
      <c r="A94" s="509"/>
      <c r="B94" s="510"/>
      <c r="C94" s="505"/>
      <c r="D94" s="445"/>
      <c r="E94" s="454"/>
      <c r="F94" s="445"/>
      <c r="G94" s="469"/>
      <c r="H94" s="465"/>
      <c r="I94" s="506"/>
      <c r="J94" s="507"/>
    </row>
    <row r="95" spans="1:10" ht="15">
      <c r="A95" s="509"/>
      <c r="B95" s="474"/>
      <c r="C95" s="541"/>
      <c r="D95" s="445"/>
      <c r="E95" s="513"/>
      <c r="F95" s="457"/>
      <c r="G95" s="515"/>
      <c r="H95" s="514"/>
      <c r="I95" s="461"/>
      <c r="J95" s="523"/>
    </row>
    <row r="96" spans="1:10" ht="15">
      <c r="A96" s="509"/>
      <c r="B96" s="539"/>
      <c r="C96" s="505"/>
      <c r="D96" s="519">
        <f>100%*B101</f>
        <v>0</v>
      </c>
      <c r="E96" s="505"/>
      <c r="F96" s="445">
        <f>100%*B101</f>
        <v>0</v>
      </c>
      <c r="G96" s="505"/>
      <c r="H96" s="519">
        <f>100%*B101</f>
        <v>0</v>
      </c>
      <c r="I96" s="506"/>
      <c r="J96" s="520">
        <f>100%*B101</f>
        <v>0</v>
      </c>
    </row>
    <row r="97" spans="1:10" ht="15">
      <c r="A97" s="509"/>
      <c r="B97" s="510" t="s">
        <v>614</v>
      </c>
      <c r="C97" s="505"/>
      <c r="D97" s="465"/>
      <c r="E97" s="505"/>
      <c r="F97" s="445"/>
      <c r="G97" s="505"/>
      <c r="H97" s="465"/>
      <c r="I97" s="506"/>
      <c r="J97" s="507"/>
    </row>
    <row r="98" spans="1:10" ht="15">
      <c r="A98" s="509"/>
      <c r="B98" s="510" t="s">
        <v>615</v>
      </c>
      <c r="C98" s="454"/>
      <c r="D98" s="465"/>
      <c r="E98" s="542"/>
      <c r="F98" s="445"/>
      <c r="G98" s="469"/>
      <c r="H98" s="465"/>
      <c r="I98" s="506"/>
      <c r="J98" s="507"/>
    </row>
    <row r="99" spans="1:10" ht="15">
      <c r="A99" s="509"/>
      <c r="B99" s="510" t="s">
        <v>616</v>
      </c>
      <c r="C99" s="454"/>
      <c r="D99" s="465"/>
      <c r="E99" s="542"/>
      <c r="F99" s="445"/>
      <c r="G99" s="469"/>
      <c r="H99" s="465"/>
      <c r="I99" s="506"/>
      <c r="J99" s="507"/>
    </row>
    <row r="100" spans="1:10" ht="15">
      <c r="A100" s="509"/>
      <c r="B100" s="510" t="s">
        <v>593</v>
      </c>
      <c r="C100" s="454"/>
      <c r="D100" s="496"/>
      <c r="E100" s="542"/>
      <c r="F100" s="445"/>
      <c r="G100" s="469"/>
      <c r="H100" s="465"/>
      <c r="I100" s="506"/>
      <c r="J100" s="507"/>
    </row>
    <row r="101" spans="1:10" ht="15">
      <c r="A101" s="509"/>
      <c r="B101" s="511">
        <v>0</v>
      </c>
      <c r="C101" s="513"/>
      <c r="D101" s="496"/>
      <c r="E101" s="543"/>
      <c r="F101" s="457"/>
      <c r="G101" s="515"/>
      <c r="H101" s="514"/>
      <c r="I101" s="461"/>
      <c r="J101" s="523"/>
    </row>
    <row r="102" spans="1:10" ht="15">
      <c r="A102" s="509"/>
      <c r="B102" s="544"/>
      <c r="C102" s="517"/>
      <c r="D102" s="545">
        <f>70%*B108</f>
        <v>0</v>
      </c>
      <c r="E102" s="516"/>
      <c r="F102" s="546"/>
      <c r="G102" s="517"/>
      <c r="H102" s="519"/>
      <c r="I102" s="547"/>
      <c r="J102" s="520"/>
    </row>
    <row r="103" spans="1:10" ht="15">
      <c r="A103" s="509"/>
      <c r="B103" s="510" t="s">
        <v>617</v>
      </c>
      <c r="C103" s="1"/>
      <c r="D103" s="496"/>
      <c r="E103" s="454"/>
      <c r="F103" s="445"/>
      <c r="G103" s="469"/>
      <c r="H103" s="465"/>
      <c r="I103" s="506"/>
      <c r="J103" s="507">
        <f>20%*B108</f>
        <v>0</v>
      </c>
    </row>
    <row r="104" spans="1:10" ht="15">
      <c r="A104" s="509"/>
      <c r="B104" s="510" t="s">
        <v>618</v>
      </c>
      <c r="C104" s="469"/>
      <c r="D104" s="496"/>
      <c r="E104" s="454"/>
      <c r="F104" s="445"/>
      <c r="G104" s="469"/>
      <c r="H104" s="465">
        <f>40%*B108</f>
        <v>0</v>
      </c>
      <c r="I104" s="506"/>
      <c r="J104" s="507"/>
    </row>
    <row r="105" spans="1:10" ht="15">
      <c r="A105" s="509"/>
      <c r="B105" s="510" t="s">
        <v>619</v>
      </c>
      <c r="C105" s="469"/>
      <c r="D105" s="496"/>
      <c r="E105" s="454"/>
      <c r="F105" s="445"/>
      <c r="G105" s="469"/>
      <c r="H105" s="465"/>
      <c r="I105" s="506"/>
      <c r="J105" s="507"/>
    </row>
    <row r="106" spans="1:10" ht="15">
      <c r="A106" s="509"/>
      <c r="B106" s="510"/>
      <c r="C106" s="469"/>
      <c r="D106" s="496"/>
      <c r="E106" s="454"/>
      <c r="F106" s="445"/>
      <c r="G106" s="469"/>
      <c r="H106" s="465"/>
      <c r="I106" s="469"/>
      <c r="J106" s="507">
        <f>30%*B108</f>
        <v>0</v>
      </c>
    </row>
    <row r="107" spans="1:10" ht="15">
      <c r="A107" s="509"/>
      <c r="B107" s="510" t="s">
        <v>593</v>
      </c>
      <c r="C107" s="469"/>
      <c r="D107" s="496"/>
      <c r="E107" s="454"/>
      <c r="F107" s="445"/>
      <c r="G107" s="505"/>
      <c r="H107" s="465">
        <f>50%*B108</f>
        <v>0</v>
      </c>
      <c r="I107" s="469"/>
      <c r="J107" s="507"/>
    </row>
    <row r="108" spans="1:10" ht="15">
      <c r="A108" s="509"/>
      <c r="B108" s="511">
        <v>0</v>
      </c>
      <c r="C108" s="469"/>
      <c r="D108" s="496"/>
      <c r="E108" s="454"/>
      <c r="F108" s="445"/>
      <c r="G108" s="505"/>
      <c r="H108" s="465"/>
      <c r="I108" s="506"/>
      <c r="J108" s="507">
        <f>20%*B108</f>
        <v>0</v>
      </c>
    </row>
    <row r="109" spans="1:10" ht="15">
      <c r="A109" s="509"/>
      <c r="B109" s="510"/>
      <c r="C109" s="469"/>
      <c r="D109" s="465">
        <f>30%*B108</f>
        <v>0</v>
      </c>
      <c r="E109" s="454"/>
      <c r="F109" s="445"/>
      <c r="G109" s="469"/>
      <c r="H109" s="465"/>
      <c r="I109" s="506"/>
      <c r="J109" s="507"/>
    </row>
    <row r="110" spans="1:10" ht="15">
      <c r="A110" s="509"/>
      <c r="B110" s="510"/>
      <c r="C110" s="469"/>
      <c r="D110" s="465"/>
      <c r="E110" s="454"/>
      <c r="F110" s="445"/>
      <c r="G110" s="469"/>
      <c r="H110" s="465"/>
      <c r="I110" s="506"/>
      <c r="J110" s="507">
        <f>15%*B108</f>
        <v>0</v>
      </c>
    </row>
    <row r="111" spans="1:10" ht="15">
      <c r="A111" s="509"/>
      <c r="B111" s="510"/>
      <c r="C111" s="454"/>
      <c r="D111" s="548"/>
      <c r="E111" s="454"/>
      <c r="F111" s="445">
        <f>100%*B108</f>
        <v>0</v>
      </c>
      <c r="G111" s="469"/>
      <c r="H111" s="465">
        <f>10%*B108</f>
        <v>0</v>
      </c>
      <c r="I111" s="506"/>
      <c r="J111" s="507">
        <f>15%*B108</f>
        <v>0</v>
      </c>
    </row>
    <row r="112" spans="1:10" ht="15.75" thickBot="1">
      <c r="A112" s="525"/>
      <c r="B112" s="549"/>
      <c r="C112" s="526"/>
      <c r="D112" s="2"/>
      <c r="E112" s="526"/>
      <c r="F112" s="550"/>
      <c r="G112" s="529"/>
      <c r="H112" s="528"/>
      <c r="I112" s="551"/>
      <c r="J112" s="530"/>
    </row>
    <row r="113" spans="1:10" ht="15.75" thickBot="1">
      <c r="A113" s="552"/>
      <c r="B113" s="553"/>
      <c r="C113" s="554"/>
      <c r="D113" s="554"/>
      <c r="E113" s="554"/>
      <c r="F113" s="548"/>
      <c r="G113" s="554"/>
      <c r="H113" s="548"/>
      <c r="I113" s="554"/>
      <c r="J113" s="555"/>
    </row>
    <row r="114" spans="1:10" ht="15.75" thickBot="1">
      <c r="A114" s="556" t="s">
        <v>620</v>
      </c>
      <c r="B114" s="557">
        <f>+B34+B48+B59+B76+B87+B101+B108</f>
        <v>0</v>
      </c>
      <c r="C114" s="558"/>
      <c r="D114" s="557">
        <f>SUM(D23:D61:D67:D110)</f>
        <v>0</v>
      </c>
      <c r="E114" s="558"/>
      <c r="F114" s="559">
        <f>SUM(F23:F61:F69:F112)</f>
        <v>0</v>
      </c>
      <c r="G114" s="558"/>
      <c r="H114" s="559">
        <f>SUM(H23:H61:H69:H112)</f>
        <v>0</v>
      </c>
      <c r="I114" s="558"/>
      <c r="J114" s="560">
        <f>SUM(J23:J61:J69:J112)</f>
        <v>0</v>
      </c>
    </row>
    <row r="115" spans="1:9" ht="15">
      <c r="A115" s="552"/>
      <c r="B115" s="554"/>
      <c r="C115" s="554"/>
      <c r="D115" s="554"/>
      <c r="E115" s="554"/>
      <c r="F115" s="554"/>
      <c r="G115" s="554"/>
      <c r="H115" s="554"/>
      <c r="I115" s="554"/>
    </row>
    <row r="116" spans="1:9" ht="15">
      <c r="A116" s="552"/>
      <c r="B116" s="554"/>
      <c r="C116" s="554"/>
      <c r="D116" s="554"/>
      <c r="E116" s="554"/>
      <c r="F116" s="554"/>
      <c r="G116" s="554"/>
      <c r="H116" s="554"/>
      <c r="I116" s="554"/>
    </row>
    <row r="117" spans="1:9" ht="15">
      <c r="A117" s="552"/>
      <c r="B117" s="554"/>
      <c r="C117" s="554"/>
      <c r="E117" s="554"/>
      <c r="F117" s="554"/>
      <c r="G117" s="554"/>
      <c r="H117" s="554"/>
      <c r="I117" s="554"/>
    </row>
    <row r="118" spans="1:9" ht="15">
      <c r="A118" s="552"/>
      <c r="B118" s="554"/>
      <c r="C118" s="554"/>
      <c r="D118" s="554"/>
      <c r="E118" s="554"/>
      <c r="F118" s="554"/>
      <c r="G118" s="554"/>
      <c r="H118" s="554"/>
      <c r="I118" s="554"/>
    </row>
    <row r="119" spans="1:9" s="562" customFormat="1" ht="15">
      <c r="A119" s="552"/>
      <c r="B119" s="561"/>
      <c r="C119"/>
      <c r="D119" s="554"/>
      <c r="E119" s="561"/>
      <c r="F119" s="561"/>
      <c r="G119" s="561"/>
      <c r="H119" s="561"/>
      <c r="I119" s="561"/>
    </row>
    <row r="120" spans="1:9" ht="18">
      <c r="A120" s="563"/>
      <c r="B120" s="554"/>
      <c r="C120" s="554"/>
      <c r="D120" s="554"/>
      <c r="E120" s="554"/>
      <c r="F120" s="554"/>
      <c r="G120" s="554"/>
      <c r="H120" s="554"/>
      <c r="I120" s="554"/>
    </row>
    <row r="121" spans="1:9" ht="15">
      <c r="A121" s="469"/>
      <c r="B121" s="554"/>
      <c r="C121" s="554"/>
      <c r="D121" s="554"/>
      <c r="E121" s="554"/>
      <c r="F121" s="554"/>
      <c r="G121" s="554"/>
      <c r="H121" s="554"/>
      <c r="I121" s="554"/>
    </row>
    <row r="122" spans="1:9" ht="15">
      <c r="A122" s="554"/>
      <c r="B122" s="554"/>
      <c r="C122" s="554"/>
      <c r="D122" s="554"/>
      <c r="E122" s="554"/>
      <c r="F122" s="554"/>
      <c r="G122" s="554"/>
      <c r="H122" s="554"/>
      <c r="I122" s="554"/>
    </row>
    <row r="123" spans="1:9" ht="15">
      <c r="A123" s="554"/>
      <c r="B123" s="554"/>
      <c r="C123" s="554"/>
      <c r="D123" s="554"/>
      <c r="E123" s="554"/>
      <c r="F123" s="554"/>
      <c r="G123" s="554"/>
      <c r="H123" s="554"/>
      <c r="I123" s="554"/>
    </row>
    <row r="124" spans="1:9" ht="15">
      <c r="A124" s="554"/>
      <c r="B124" s="554"/>
      <c r="C124" s="554"/>
      <c r="D124" s="554"/>
      <c r="E124" s="554"/>
      <c r="F124" s="554"/>
      <c r="G124" s="554"/>
      <c r="H124" s="554"/>
      <c r="I124" s="554"/>
    </row>
    <row r="125" spans="1:9" ht="15">
      <c r="A125" s="554"/>
      <c r="B125" s="554"/>
      <c r="C125" s="554"/>
      <c r="D125" s="554"/>
      <c r="E125" s="554"/>
      <c r="F125" s="554"/>
      <c r="G125" s="554"/>
      <c r="H125" s="554"/>
      <c r="I125" s="554"/>
    </row>
    <row r="126" spans="1:9" ht="15">
      <c r="A126" s="554"/>
      <c r="B126" s="554"/>
      <c r="C126" s="554"/>
      <c r="D126" s="554"/>
      <c r="E126" s="554"/>
      <c r="F126" s="554"/>
      <c r="G126" s="554"/>
      <c r="H126" s="554"/>
      <c r="I126" s="554"/>
    </row>
    <row r="127" spans="1:9" ht="15">
      <c r="A127" s="554"/>
      <c r="B127" s="554"/>
      <c r="C127" s="554"/>
      <c r="D127" s="554"/>
      <c r="E127" s="554"/>
      <c r="F127" s="554"/>
      <c r="G127" s="554"/>
      <c r="H127" s="554"/>
      <c r="I127" s="554"/>
    </row>
    <row r="128" spans="1:9" ht="15">
      <c r="A128" s="554"/>
      <c r="B128" s="554"/>
      <c r="C128" s="554"/>
      <c r="D128" s="554"/>
      <c r="E128" s="554"/>
      <c r="F128" s="554"/>
      <c r="G128" s="554"/>
      <c r="H128" s="554"/>
      <c r="I128" s="554"/>
    </row>
    <row r="129" spans="1:9" ht="15">
      <c r="A129" s="554"/>
      <c r="B129" s="554"/>
      <c r="C129" s="554"/>
      <c r="E129" s="554"/>
      <c r="F129" s="554"/>
      <c r="G129" s="554"/>
      <c r="H129" s="554"/>
      <c r="I129" s="554"/>
    </row>
    <row r="130" spans="1:9" ht="15">
      <c r="A130" s="554"/>
      <c r="B130" s="554"/>
      <c r="C130" s="554"/>
      <c r="E130" s="554"/>
      <c r="F130" s="554"/>
      <c r="G130" s="554"/>
      <c r="H130" s="554"/>
      <c r="I130" s="554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cellComments="asDisplayed" horizontalDpi="300" verticalDpi="300" orientation="landscape" scale="54" r:id="rId1"/>
  <headerFooter alignWithMargins="0">
    <oddFooter>&amp;L&amp;F / &amp;A &amp;D&amp;RPágina &amp;P de &amp;N</oddFooter>
  </headerFooter>
  <rowBreaks count="1" manualBreakCount="1">
    <brk id="6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70" zoomScaleNormal="70" workbookViewId="0" topLeftCell="B1">
      <selection activeCell="I15" sqref="I15"/>
    </sheetView>
  </sheetViews>
  <sheetFormatPr defaultColWidth="11.5546875" defaultRowHeight="15"/>
  <cols>
    <col min="1" max="1" width="9.10546875" style="19" hidden="1" customWidth="1"/>
    <col min="2" max="2" width="47.4453125" style="20" customWidth="1"/>
    <col min="3" max="3" width="13.6640625" style="21" hidden="1" customWidth="1"/>
    <col min="4" max="4" width="14.4453125" style="21" hidden="1" customWidth="1"/>
    <col min="5" max="5" width="13.6640625" style="21" customWidth="1"/>
    <col min="6" max="6" width="13.4453125" style="21" customWidth="1"/>
    <col min="7" max="7" width="14.99609375" style="21" customWidth="1"/>
    <col min="8" max="8" width="17.6640625" style="7" customWidth="1"/>
    <col min="9" max="9" width="12.4453125" style="36" bestFit="1" customWidth="1"/>
    <col min="10" max="16384" width="11.5546875" style="36" customWidth="1"/>
  </cols>
  <sheetData>
    <row r="1" spans="1:8" ht="15.75" thickBot="1">
      <c r="A1" s="904" t="s">
        <v>22</v>
      </c>
      <c r="B1" s="904"/>
      <c r="C1" s="904"/>
      <c r="D1" s="904"/>
      <c r="E1" s="904"/>
      <c r="F1" s="904"/>
      <c r="G1" s="904"/>
      <c r="H1" s="904"/>
    </row>
    <row r="2" spans="1:8" ht="15.75" thickBot="1">
      <c r="A2" s="318"/>
      <c r="B2" s="318" t="s">
        <v>652</v>
      </c>
      <c r="C2" s="905" t="s">
        <v>621</v>
      </c>
      <c r="D2" s="904"/>
      <c r="F2" s="318" t="s">
        <v>651</v>
      </c>
      <c r="G2" s="904"/>
      <c r="H2" s="904"/>
    </row>
    <row r="3" spans="1:8" ht="15.75" thickBot="1">
      <c r="A3" s="906" t="s">
        <v>23</v>
      </c>
      <c r="B3" s="906"/>
      <c r="C3" s="906"/>
      <c r="D3" s="906"/>
      <c r="E3" s="906"/>
      <c r="F3" s="906"/>
      <c r="G3" s="906"/>
      <c r="H3" s="906"/>
    </row>
    <row r="4" spans="1:8" ht="15.75" thickBot="1">
      <c r="A4" s="907" t="s">
        <v>4</v>
      </c>
      <c r="B4" s="908"/>
      <c r="C4" s="909" t="s">
        <v>24</v>
      </c>
      <c r="D4" s="910"/>
      <c r="E4" s="911"/>
      <c r="F4" s="909" t="s">
        <v>622</v>
      </c>
      <c r="G4" s="910"/>
      <c r="H4" s="911"/>
    </row>
    <row r="5" spans="1:8" ht="29.25" customHeight="1" thickBot="1">
      <c r="A5" s="912"/>
      <c r="B5" s="913"/>
      <c r="C5" s="914">
        <v>1996</v>
      </c>
      <c r="D5" s="915">
        <v>1997</v>
      </c>
      <c r="E5" s="916">
        <v>1998</v>
      </c>
      <c r="F5" s="914" t="s">
        <v>623</v>
      </c>
      <c r="G5" s="917" t="s">
        <v>624</v>
      </c>
      <c r="H5" s="918" t="s">
        <v>625</v>
      </c>
    </row>
    <row r="6" spans="1:8" s="147" customFormat="1" ht="15.75">
      <c r="A6" s="919">
        <v>1</v>
      </c>
      <c r="B6" s="920" t="s">
        <v>28</v>
      </c>
      <c r="C6" s="921">
        <f aca="true" t="shared" si="0" ref="C6:H6">+C7+C53</f>
        <v>0</v>
      </c>
      <c r="D6" s="922">
        <f t="shared" si="0"/>
        <v>0</v>
      </c>
      <c r="E6" s="923">
        <f t="shared" si="0"/>
        <v>3998707387</v>
      </c>
      <c r="F6" s="924">
        <f t="shared" si="0"/>
        <v>4445000000</v>
      </c>
      <c r="G6" s="922">
        <f t="shared" si="0"/>
        <v>2022973448</v>
      </c>
      <c r="H6" s="925">
        <f t="shared" si="0"/>
        <v>0</v>
      </c>
    </row>
    <row r="7" spans="1:11" s="148" customFormat="1" ht="15">
      <c r="A7" s="614">
        <v>1.1</v>
      </c>
      <c r="B7" s="926" t="s">
        <v>29</v>
      </c>
      <c r="C7" s="927">
        <f aca="true" t="shared" si="1" ref="C7:H7">+C8+C28+C41</f>
        <v>0</v>
      </c>
      <c r="D7" s="928">
        <f t="shared" si="1"/>
        <v>0</v>
      </c>
      <c r="E7" s="929">
        <f t="shared" si="1"/>
        <v>3998707387</v>
      </c>
      <c r="F7" s="927">
        <f t="shared" si="1"/>
        <v>4421428145</v>
      </c>
      <c r="G7" s="928">
        <f t="shared" si="1"/>
        <v>1975820340</v>
      </c>
      <c r="H7" s="929">
        <f t="shared" si="1"/>
        <v>0</v>
      </c>
      <c r="J7" s="336"/>
      <c r="K7" s="336"/>
    </row>
    <row r="8" spans="1:8" s="149" customFormat="1" ht="15" customHeight="1">
      <c r="A8" s="9" t="s">
        <v>30</v>
      </c>
      <c r="B8" s="12" t="s">
        <v>31</v>
      </c>
      <c r="C8" s="802">
        <f aca="true" t="shared" si="2" ref="C8:H8">SUM(C9:C23)+C24</f>
        <v>0</v>
      </c>
      <c r="D8" s="930">
        <f t="shared" si="2"/>
        <v>0</v>
      </c>
      <c r="E8" s="931">
        <f t="shared" si="2"/>
        <v>126111050</v>
      </c>
      <c r="F8" s="802">
        <f t="shared" si="2"/>
        <v>261100000</v>
      </c>
      <c r="G8" s="930">
        <f t="shared" si="2"/>
        <v>42044923</v>
      </c>
      <c r="H8" s="931">
        <f t="shared" si="2"/>
        <v>0</v>
      </c>
    </row>
    <row r="9" spans="1:11" ht="15">
      <c r="A9" s="8" t="s">
        <v>32</v>
      </c>
      <c r="B9" s="11" t="s">
        <v>33</v>
      </c>
      <c r="C9" s="681"/>
      <c r="D9" s="682"/>
      <c r="E9" s="683">
        <f>SUM('INGRESOS MENSUALES VIG. 1.998'!C9:N9)</f>
        <v>78164873</v>
      </c>
      <c r="F9" s="681">
        <v>156900000</v>
      </c>
      <c r="G9" s="684">
        <f>SUM('ING. GRES MENSUALES VIG. 1999'!C9:N9)</f>
        <v>37969823</v>
      </c>
      <c r="H9" s="685"/>
      <c r="I9" s="324"/>
      <c r="J9" s="325"/>
      <c r="K9" s="325"/>
    </row>
    <row r="10" spans="1:11" ht="15">
      <c r="A10" s="8" t="s">
        <v>34</v>
      </c>
      <c r="B10" s="11" t="s">
        <v>35</v>
      </c>
      <c r="C10" s="681"/>
      <c r="D10" s="682"/>
      <c r="E10" s="683">
        <f>SUM('INGRESOS MENSUALES VIG. 1.998'!C10:N10)</f>
        <v>33399052</v>
      </c>
      <c r="F10" s="681">
        <v>61100000</v>
      </c>
      <c r="G10" s="684">
        <f>SUM('ING. GRES MENSUALES VIG. 1999'!C10:N10)</f>
        <v>1812900</v>
      </c>
      <c r="H10" s="685"/>
      <c r="I10" s="325"/>
      <c r="J10" s="325"/>
      <c r="K10" s="325"/>
    </row>
    <row r="11" spans="1:11" ht="15">
      <c r="A11" s="8" t="s">
        <v>36</v>
      </c>
      <c r="B11" s="11" t="s">
        <v>37</v>
      </c>
      <c r="C11" s="681"/>
      <c r="D11" s="682"/>
      <c r="E11" s="683">
        <f>SUM('INGRESOS MENSUALES VIG. 1.998'!C11:N11)</f>
        <v>80000</v>
      </c>
      <c r="F11" s="681">
        <v>2200000</v>
      </c>
      <c r="G11" s="684">
        <f>SUM('ING. GRES MENSUALES VIG. 1999'!C11:N11)</f>
        <v>209000</v>
      </c>
      <c r="H11" s="685"/>
      <c r="I11" s="324"/>
      <c r="J11" s="325"/>
      <c r="K11" s="325"/>
    </row>
    <row r="12" spans="1:11" ht="15">
      <c r="A12" s="8" t="s">
        <v>38</v>
      </c>
      <c r="B12" s="11" t="s">
        <v>39</v>
      </c>
      <c r="C12" s="681"/>
      <c r="D12" s="682"/>
      <c r="E12" s="683">
        <f>SUM('INGRESOS MENSUALES VIG. 1.998'!C12:N12)</f>
        <v>0</v>
      </c>
      <c r="F12" s="681">
        <v>9165000</v>
      </c>
      <c r="G12" s="684">
        <f>SUM('ING. GRES MENSUALES VIG. 1999'!C12:N12)</f>
        <v>0</v>
      </c>
      <c r="H12" s="685"/>
      <c r="I12" s="324"/>
      <c r="J12" s="325"/>
      <c r="K12" s="325"/>
    </row>
    <row r="13" spans="1:11" ht="15">
      <c r="A13" s="8" t="s">
        <v>40</v>
      </c>
      <c r="B13" s="11" t="s">
        <v>634</v>
      </c>
      <c r="C13" s="681"/>
      <c r="D13" s="682"/>
      <c r="E13" s="683">
        <f>SUM('INGRESOS MENSUALES VIG. 1.998'!C13:N13)</f>
        <v>8647300</v>
      </c>
      <c r="F13" s="681">
        <v>9000000</v>
      </c>
      <c r="G13" s="684">
        <f>SUM('ING. GRES MENSUALES VIG. 1999'!C13:N13)</f>
        <v>1701600</v>
      </c>
      <c r="H13" s="685"/>
      <c r="I13" s="324"/>
      <c r="J13" s="325"/>
      <c r="K13" s="325"/>
    </row>
    <row r="14" spans="1:11" ht="15">
      <c r="A14" s="8" t="s">
        <v>41</v>
      </c>
      <c r="B14" s="11" t="s">
        <v>42</v>
      </c>
      <c r="C14" s="681"/>
      <c r="D14" s="682"/>
      <c r="E14" s="683">
        <f>SUM('INGRESOS MENSUALES VIG. 1.998'!C14:N14)</f>
        <v>36000</v>
      </c>
      <c r="F14" s="681">
        <v>1000000</v>
      </c>
      <c r="G14" s="684">
        <f>SUM('ING. GRES MENSUALES VIG. 1999'!C14:N14)</f>
        <v>0</v>
      </c>
      <c r="H14" s="685"/>
      <c r="I14" s="325"/>
      <c r="J14" s="325"/>
      <c r="K14" s="325"/>
    </row>
    <row r="15" spans="1:11" ht="15">
      <c r="A15" s="8" t="s">
        <v>43</v>
      </c>
      <c r="B15" s="11" t="s">
        <v>635</v>
      </c>
      <c r="C15" s="681"/>
      <c r="D15" s="682"/>
      <c r="E15" s="683">
        <f>SUM('INGRESOS MENSUALES VIG. 1.998'!C15:N15)</f>
        <v>1443500</v>
      </c>
      <c r="F15" s="681">
        <v>2000000</v>
      </c>
      <c r="G15" s="684">
        <f>SUM('ING. GRES MENSUALES VIG. 1999'!C15:N15)</f>
        <v>0</v>
      </c>
      <c r="H15" s="685"/>
      <c r="I15" s="324"/>
      <c r="J15" s="325"/>
      <c r="K15" s="325"/>
    </row>
    <row r="16" spans="1:11" ht="15">
      <c r="A16" s="8" t="s">
        <v>44</v>
      </c>
      <c r="B16" s="11" t="s">
        <v>45</v>
      </c>
      <c r="C16" s="681"/>
      <c r="D16" s="682"/>
      <c r="E16" s="683">
        <f>SUM('INGRESOS MENSUALES VIG. 1.998'!C16:N16)</f>
        <v>436740</v>
      </c>
      <c r="F16" s="681">
        <v>1300000</v>
      </c>
      <c r="G16" s="684">
        <f>SUM('ING. GRES MENSUALES VIG. 1999'!C16:N16)</f>
        <v>50500</v>
      </c>
      <c r="H16" s="685"/>
      <c r="I16" s="324"/>
      <c r="J16" s="325"/>
      <c r="K16" s="325"/>
    </row>
    <row r="17" spans="1:11" ht="15">
      <c r="A17" s="8" t="s">
        <v>46</v>
      </c>
      <c r="B17" s="11" t="s">
        <v>47</v>
      </c>
      <c r="C17" s="681"/>
      <c r="D17" s="682"/>
      <c r="E17" s="683">
        <f>SUM('INGRESOS MENSUALES VIG. 1.998'!C17:N17)</f>
        <v>9000</v>
      </c>
      <c r="F17" s="681">
        <v>1000000</v>
      </c>
      <c r="G17" s="684">
        <f>SUM('ING. GRES MENSUALES VIG. 1999'!C17:N17)</f>
        <v>1000</v>
      </c>
      <c r="H17" s="685"/>
      <c r="I17" s="324"/>
      <c r="J17" s="325"/>
      <c r="K17" s="325"/>
    </row>
    <row r="18" spans="1:11" ht="15">
      <c r="A18" s="8" t="s">
        <v>48</v>
      </c>
      <c r="B18" s="11" t="s">
        <v>49</v>
      </c>
      <c r="C18" s="681"/>
      <c r="D18" s="682"/>
      <c r="E18" s="683">
        <f>SUM('INGRESOS MENSUALES VIG. 1.998'!C18:N18)</f>
        <v>0</v>
      </c>
      <c r="F18" s="681">
        <v>9035000</v>
      </c>
      <c r="G18" s="684">
        <f>SUM('ING. GRES MENSUALES VIG. 1999'!C18:N18)</f>
        <v>0</v>
      </c>
      <c r="H18" s="685"/>
      <c r="I18" s="324"/>
      <c r="J18" s="325"/>
      <c r="K18" s="325"/>
    </row>
    <row r="19" spans="1:11" ht="15">
      <c r="A19" s="8" t="s">
        <v>50</v>
      </c>
      <c r="B19" s="11" t="s">
        <v>51</v>
      </c>
      <c r="C19" s="681"/>
      <c r="D19" s="682"/>
      <c r="E19" s="683">
        <f>SUM('INGRESOS MENSUALES VIG. 1.998'!C19:N19)</f>
        <v>0</v>
      </c>
      <c r="F19" s="681">
        <v>100000</v>
      </c>
      <c r="G19" s="684">
        <f>SUM('ING. GRES MENSUALES VIG. 1999'!C19:N19)</f>
        <v>0</v>
      </c>
      <c r="H19" s="685"/>
      <c r="I19" s="324"/>
      <c r="J19" s="325"/>
      <c r="K19" s="325"/>
    </row>
    <row r="20" spans="1:11" ht="15">
      <c r="A20" s="8" t="s">
        <v>52</v>
      </c>
      <c r="B20" s="11" t="s">
        <v>53</v>
      </c>
      <c r="C20" s="681"/>
      <c r="D20" s="682"/>
      <c r="E20" s="683">
        <f>SUM('INGRESOS MENSUALES VIG. 1.998'!C20:N20)</f>
        <v>0</v>
      </c>
      <c r="F20" s="681">
        <v>100000</v>
      </c>
      <c r="G20" s="684">
        <f>SUM('ING. GRES MENSUALES VIG. 1999'!C20:N20)</f>
        <v>0</v>
      </c>
      <c r="H20" s="685"/>
      <c r="I20" s="324"/>
      <c r="J20" s="325"/>
      <c r="K20" s="325"/>
    </row>
    <row r="21" spans="1:11" ht="15">
      <c r="A21" s="8" t="s">
        <v>54</v>
      </c>
      <c r="B21" s="11" t="s">
        <v>641</v>
      </c>
      <c r="C21" s="681"/>
      <c r="D21" s="682"/>
      <c r="E21" s="683">
        <f>SUM('INGRESOS MENSUALES VIG. 1.998'!C21:N21)</f>
        <v>0</v>
      </c>
      <c r="F21" s="681">
        <v>2500000</v>
      </c>
      <c r="G21" s="684">
        <f>SUM('ING. GRES MENSUALES VIG. 1999'!C21:N21)</f>
        <v>0</v>
      </c>
      <c r="H21" s="685"/>
      <c r="I21" s="325"/>
      <c r="J21" s="325"/>
      <c r="K21" s="325"/>
    </row>
    <row r="22" spans="1:11" ht="15">
      <c r="A22" s="8" t="s">
        <v>55</v>
      </c>
      <c r="B22" s="11" t="s">
        <v>642</v>
      </c>
      <c r="C22" s="681"/>
      <c r="D22" s="682"/>
      <c r="E22" s="683">
        <f>SUM('INGRESOS MENSUALES VIG. 1.998'!C22:N22)</f>
        <v>36700</v>
      </c>
      <c r="F22" s="681">
        <v>200000</v>
      </c>
      <c r="G22" s="684">
        <f>SUM('ING. GRES MENSUALES VIG. 1999'!C22:N22)</f>
        <v>0</v>
      </c>
      <c r="H22" s="685"/>
      <c r="I22" s="325"/>
      <c r="J22" s="325"/>
      <c r="K22" s="325"/>
    </row>
    <row r="23" spans="1:11" ht="15">
      <c r="A23" s="8" t="s">
        <v>56</v>
      </c>
      <c r="B23" s="11" t="s">
        <v>57</v>
      </c>
      <c r="C23" s="681"/>
      <c r="D23" s="682"/>
      <c r="E23" s="683">
        <f>SUM('INGRESOS MENSUALES VIG. 1.998'!C23:N23)</f>
        <v>317000</v>
      </c>
      <c r="F23" s="681">
        <v>3000000</v>
      </c>
      <c r="G23" s="684">
        <f>SUM('ING. GRES MENSUALES VIG. 1999'!C23:N23)</f>
        <v>33000</v>
      </c>
      <c r="H23" s="685"/>
      <c r="I23" s="324"/>
      <c r="J23" s="325"/>
      <c r="K23" s="325"/>
    </row>
    <row r="24" spans="1:11" ht="15.75">
      <c r="A24" s="114" t="s">
        <v>58</v>
      </c>
      <c r="B24" s="115" t="s">
        <v>59</v>
      </c>
      <c r="C24" s="686">
        <f aca="true" t="shared" si="3" ref="C24:H24">SUM(C25:C27)</f>
        <v>0</v>
      </c>
      <c r="D24" s="687">
        <f t="shared" si="3"/>
        <v>0</v>
      </c>
      <c r="E24" s="688">
        <f t="shared" si="3"/>
        <v>3540885</v>
      </c>
      <c r="F24" s="686">
        <f t="shared" si="3"/>
        <v>2500000</v>
      </c>
      <c r="G24" s="687">
        <f t="shared" si="3"/>
        <v>267100</v>
      </c>
      <c r="H24" s="688">
        <f t="shared" si="3"/>
        <v>0</v>
      </c>
      <c r="I24" s="324"/>
      <c r="J24" s="325"/>
      <c r="K24" s="325"/>
    </row>
    <row r="25" spans="1:11" ht="15">
      <c r="A25" s="8" t="s">
        <v>60</v>
      </c>
      <c r="B25" s="33" t="s">
        <v>643</v>
      </c>
      <c r="C25" s="681"/>
      <c r="D25" s="682"/>
      <c r="E25" s="683">
        <f>SUM('INGRESOS MENSUALES VIG. 1.998'!C25:N25)</f>
        <v>1274785</v>
      </c>
      <c r="F25" s="681">
        <f>SUM('ING. GRES MENSUALES VIG. 1999'!C25:N25)</f>
        <v>0</v>
      </c>
      <c r="G25" s="684">
        <f>SUM('ING. GRES MENSUALES VIG. 1999'!C25:N25)</f>
        <v>0</v>
      </c>
      <c r="H25" s="685"/>
      <c r="I25" s="324"/>
      <c r="J25" s="325"/>
      <c r="K25" s="325"/>
    </row>
    <row r="26" spans="1:11" ht="15">
      <c r="A26" s="8" t="s">
        <v>61</v>
      </c>
      <c r="B26" s="33" t="s">
        <v>62</v>
      </c>
      <c r="C26" s="681"/>
      <c r="D26" s="682"/>
      <c r="E26" s="683">
        <f>SUM('INGRESOS MENSUALES VIG. 1.998'!C26:N26)</f>
        <v>1829000</v>
      </c>
      <c r="F26" s="681">
        <v>2500000</v>
      </c>
      <c r="G26" s="684">
        <f>SUM('ING. GRES MENSUALES VIG. 1999'!C26:N26)</f>
        <v>204500</v>
      </c>
      <c r="H26" s="685"/>
      <c r="I26" s="324"/>
      <c r="J26" s="325"/>
      <c r="K26" s="325"/>
    </row>
    <row r="27" spans="1:11" ht="15">
      <c r="A27" s="8" t="s">
        <v>63</v>
      </c>
      <c r="B27" s="34" t="s">
        <v>636</v>
      </c>
      <c r="C27" s="681"/>
      <c r="D27" s="682"/>
      <c r="E27" s="683">
        <f>SUM('INGRESOS MENSUALES VIG. 1.998'!C27:N27)</f>
        <v>437100</v>
      </c>
      <c r="F27" s="681">
        <v>0</v>
      </c>
      <c r="G27" s="684">
        <f>SUM('ING. GRES MENSUALES VIG. 1999'!C27:N27)</f>
        <v>62600</v>
      </c>
      <c r="H27" s="685"/>
      <c r="I27" s="324"/>
      <c r="J27" s="325"/>
      <c r="K27" s="325"/>
    </row>
    <row r="28" spans="1:11" s="149" customFormat="1" ht="15" customHeight="1">
      <c r="A28" s="112" t="s">
        <v>65</v>
      </c>
      <c r="B28" s="113" t="s">
        <v>66</v>
      </c>
      <c r="C28" s="686">
        <f aca="true" t="shared" si="4" ref="C28:H28">SUM(C29:C37)</f>
        <v>0</v>
      </c>
      <c r="D28" s="687">
        <f t="shared" si="4"/>
        <v>0</v>
      </c>
      <c r="E28" s="688">
        <f t="shared" si="4"/>
        <v>119703045</v>
      </c>
      <c r="F28" s="686">
        <f t="shared" si="4"/>
        <v>227319145</v>
      </c>
      <c r="G28" s="687">
        <f t="shared" si="4"/>
        <v>47989840</v>
      </c>
      <c r="H28" s="688">
        <f t="shared" si="4"/>
        <v>0</v>
      </c>
      <c r="I28" s="324"/>
      <c r="J28" s="325"/>
      <c r="K28" s="325"/>
    </row>
    <row r="29" spans="1:11" ht="15">
      <c r="A29" s="8" t="s">
        <v>67</v>
      </c>
      <c r="B29" s="14" t="s">
        <v>647</v>
      </c>
      <c r="C29" s="681"/>
      <c r="D29" s="682"/>
      <c r="E29" s="683">
        <f>SUM('INGRESOS MENSUALES VIG. 1.998'!C29:N29)</f>
        <v>0</v>
      </c>
      <c r="F29" s="681">
        <v>10000000</v>
      </c>
      <c r="G29" s="684">
        <f>SUM('ING. GRES MENSUALES VIG. 1999'!C29:N29)</f>
        <v>0</v>
      </c>
      <c r="H29" s="685"/>
      <c r="I29" s="324"/>
      <c r="J29" s="325"/>
      <c r="K29" s="325"/>
    </row>
    <row r="30" spans="1:11" ht="15">
      <c r="A30" s="8" t="s">
        <v>68</v>
      </c>
      <c r="B30" s="14" t="s">
        <v>646</v>
      </c>
      <c r="C30" s="681"/>
      <c r="D30" s="682"/>
      <c r="E30" s="683">
        <f>SUM('INGRESOS MENSUALES VIG. 1.998'!C30:N30)</f>
        <v>0</v>
      </c>
      <c r="F30" s="681">
        <v>1000000</v>
      </c>
      <c r="G30" s="684">
        <f>SUM('ING. GRES MENSUALES VIG. 1999'!C30:N30)</f>
        <v>0</v>
      </c>
      <c r="H30" s="685"/>
      <c r="I30" s="324"/>
      <c r="J30" s="325"/>
      <c r="K30" s="325"/>
    </row>
    <row r="31" spans="1:11" ht="15">
      <c r="A31" s="8" t="s">
        <v>69</v>
      </c>
      <c r="B31" s="14" t="s">
        <v>644</v>
      </c>
      <c r="C31" s="681"/>
      <c r="D31" s="682"/>
      <c r="E31" s="683">
        <f>SUM('INGRESOS MENSUALES VIG. 1.998'!C31:N31)</f>
        <v>6131889</v>
      </c>
      <c r="F31" s="681">
        <v>9000000</v>
      </c>
      <c r="G31" s="684">
        <f>SUM('ING. GRES MENSUALES VIG. 1999'!C31:N31)</f>
        <v>2192516</v>
      </c>
      <c r="H31" s="685"/>
      <c r="I31" s="324"/>
      <c r="J31" s="325"/>
      <c r="K31" s="325"/>
    </row>
    <row r="32" spans="1:11" ht="15">
      <c r="A32" s="8" t="s">
        <v>70</v>
      </c>
      <c r="B32" s="14" t="s">
        <v>648</v>
      </c>
      <c r="C32" s="681"/>
      <c r="D32" s="682"/>
      <c r="E32" s="683">
        <f>SUM('INGRESOS MENSUALES VIG. 1.998'!C32:N32)</f>
        <v>0</v>
      </c>
      <c r="F32" s="681">
        <v>200000</v>
      </c>
      <c r="G32" s="684">
        <f>SUM('ING. GRES MENSUALES VIG. 1999'!C32:N32)</f>
        <v>0</v>
      </c>
      <c r="H32" s="685"/>
      <c r="I32" s="324"/>
      <c r="J32" s="325"/>
      <c r="K32" s="325"/>
    </row>
    <row r="33" spans="1:11" ht="15">
      <c r="A33" s="8" t="s">
        <v>71</v>
      </c>
      <c r="B33" s="34" t="s">
        <v>72</v>
      </c>
      <c r="C33" s="681"/>
      <c r="D33" s="682"/>
      <c r="E33" s="683">
        <f>SUM('INGRESOS MENSUALES VIG. 1.998'!C33:N33)</f>
        <v>0</v>
      </c>
      <c r="F33" s="681">
        <v>15000000</v>
      </c>
      <c r="G33" s="684">
        <f>SUM('ING. GRES MENSUALES VIG. 1999'!C33:N33)</f>
        <v>0</v>
      </c>
      <c r="H33" s="685"/>
      <c r="I33" s="324"/>
      <c r="J33" s="325"/>
      <c r="K33" s="325"/>
    </row>
    <row r="34" spans="1:11" ht="15">
      <c r="A34" s="8" t="s">
        <v>73</v>
      </c>
      <c r="B34" s="34" t="s">
        <v>650</v>
      </c>
      <c r="C34" s="681"/>
      <c r="D34" s="682"/>
      <c r="E34" s="683">
        <f>SUM('INGRESOS MENSUALES VIG. 1.998'!C34:N34)</f>
        <v>0</v>
      </c>
      <c r="F34" s="681">
        <v>300000</v>
      </c>
      <c r="G34" s="684">
        <f>SUM('ING. GRES MENSUALES VIG. 1999'!C34:N34)</f>
        <v>0</v>
      </c>
      <c r="H34" s="685"/>
      <c r="I34" s="324"/>
      <c r="J34" s="325"/>
      <c r="K34" s="325"/>
    </row>
    <row r="35" spans="1:11" ht="15">
      <c r="A35" s="8" t="s">
        <v>74</v>
      </c>
      <c r="B35" s="14" t="s">
        <v>649</v>
      </c>
      <c r="C35" s="681"/>
      <c r="D35" s="682"/>
      <c r="E35" s="683">
        <f>SUM('INGRESOS MENSUALES VIG. 1.998'!C35:N35)</f>
        <v>394500</v>
      </c>
      <c r="F35" s="681">
        <v>2000000</v>
      </c>
      <c r="G35" s="684">
        <f>SUM('ING. GRES MENSUALES VIG. 1999'!C35:N35)</f>
        <v>30000</v>
      </c>
      <c r="H35" s="685"/>
      <c r="I35" s="324"/>
      <c r="J35" s="325"/>
      <c r="K35" s="325"/>
    </row>
    <row r="36" spans="1:11" ht="15">
      <c r="A36" s="8" t="s">
        <v>75</v>
      </c>
      <c r="B36" s="35" t="s">
        <v>637</v>
      </c>
      <c r="C36" s="681"/>
      <c r="D36" s="682"/>
      <c r="E36" s="683">
        <f>SUM('INGRESOS MENSUALES VIG. 1.998'!C36:N36)</f>
        <v>68150362</v>
      </c>
      <c r="F36" s="681">
        <v>120000000</v>
      </c>
      <c r="G36" s="684">
        <f>SUM('ING. GRES MENSUALES VIG. 1999'!C36:N36)</f>
        <v>27634906</v>
      </c>
      <c r="H36" s="685"/>
      <c r="I36" s="324"/>
      <c r="J36" s="325"/>
      <c r="K36" s="325"/>
    </row>
    <row r="37" spans="1:11" ht="15.75">
      <c r="A37" s="114" t="s">
        <v>76</v>
      </c>
      <c r="B37" s="115" t="s">
        <v>77</v>
      </c>
      <c r="C37" s="686">
        <f aca="true" t="shared" si="5" ref="C37:H37">SUM(C38:C40)</f>
        <v>0</v>
      </c>
      <c r="D37" s="687">
        <f t="shared" si="5"/>
        <v>0</v>
      </c>
      <c r="E37" s="688">
        <f t="shared" si="5"/>
        <v>45026294</v>
      </c>
      <c r="F37" s="686">
        <f t="shared" si="5"/>
        <v>69819145</v>
      </c>
      <c r="G37" s="687">
        <f t="shared" si="5"/>
        <v>18132418</v>
      </c>
      <c r="H37" s="688">
        <f t="shared" si="5"/>
        <v>0</v>
      </c>
      <c r="I37" s="324"/>
      <c r="J37" s="325"/>
      <c r="K37" s="325"/>
    </row>
    <row r="38" spans="1:11" ht="15">
      <c r="A38" s="8" t="s">
        <v>78</v>
      </c>
      <c r="B38" s="35" t="s">
        <v>638</v>
      </c>
      <c r="C38" s="681"/>
      <c r="D38" s="682"/>
      <c r="E38" s="683">
        <f>SUM('INGRESOS MENSUALES VIG. 1.998'!C38:N38)</f>
        <v>18410049</v>
      </c>
      <c r="F38" s="681">
        <v>15000000</v>
      </c>
      <c r="G38" s="684">
        <f>SUM('ING. GRES MENSUALES VIG. 1999'!C38:N38)</f>
        <v>7815632</v>
      </c>
      <c r="H38" s="685"/>
      <c r="I38" s="324"/>
      <c r="J38" s="325"/>
      <c r="K38" s="325"/>
    </row>
    <row r="39" spans="1:11" ht="15">
      <c r="A39" s="8" t="s">
        <v>79</v>
      </c>
      <c r="B39" s="33" t="s">
        <v>639</v>
      </c>
      <c r="C39" s="681"/>
      <c r="D39" s="682"/>
      <c r="E39" s="683">
        <f>SUM('INGRESOS MENSUALES VIG. 1.998'!C39:N39)</f>
        <v>17918357</v>
      </c>
      <c r="F39" s="681">
        <v>38819145</v>
      </c>
      <c r="G39" s="684">
        <f>SUM('ING. GRES MENSUALES VIG. 1999'!C39:N39)</f>
        <v>5524552</v>
      </c>
      <c r="H39" s="685"/>
      <c r="I39" s="324"/>
      <c r="J39" s="325"/>
      <c r="K39" s="325"/>
    </row>
    <row r="40" spans="1:11" ht="15">
      <c r="A40" s="8" t="s">
        <v>80</v>
      </c>
      <c r="B40" s="229" t="s">
        <v>640</v>
      </c>
      <c r="C40" s="681"/>
      <c r="D40" s="682"/>
      <c r="E40" s="683">
        <f>SUM('INGRESOS MENSUALES VIG. 1.998'!C40:N40)</f>
        <v>8697888</v>
      </c>
      <c r="F40" s="681">
        <v>16000000</v>
      </c>
      <c r="G40" s="684">
        <f>SUM('ING. GRES MENSUALES VIG. 1999'!C40:N40)</f>
        <v>4792234</v>
      </c>
      <c r="H40" s="685"/>
      <c r="I40" s="324"/>
      <c r="J40" s="325"/>
      <c r="K40" s="325"/>
    </row>
    <row r="41" spans="1:11" s="148" customFormat="1" ht="15.75">
      <c r="A41" s="110" t="s">
        <v>82</v>
      </c>
      <c r="B41" s="116" t="s">
        <v>83</v>
      </c>
      <c r="C41" s="686">
        <f aca="true" t="shared" si="6" ref="C41:H41">+C42+C45+C48</f>
        <v>0</v>
      </c>
      <c r="D41" s="687">
        <f t="shared" si="6"/>
        <v>0</v>
      </c>
      <c r="E41" s="688">
        <f t="shared" si="6"/>
        <v>3752893292</v>
      </c>
      <c r="F41" s="686">
        <f t="shared" si="6"/>
        <v>3933009000</v>
      </c>
      <c r="G41" s="687">
        <f t="shared" si="6"/>
        <v>1885785577</v>
      </c>
      <c r="H41" s="688">
        <f t="shared" si="6"/>
        <v>0</v>
      </c>
      <c r="I41" s="324"/>
      <c r="J41" s="325"/>
      <c r="K41" s="325"/>
    </row>
    <row r="42" spans="1:11" ht="15.75">
      <c r="A42" s="114" t="s">
        <v>84</v>
      </c>
      <c r="B42" s="115" t="s">
        <v>85</v>
      </c>
      <c r="C42" s="686">
        <f aca="true" t="shared" si="7" ref="C42:H42">SUM(C43:C44)</f>
        <v>0</v>
      </c>
      <c r="D42" s="687">
        <f t="shared" si="7"/>
        <v>0</v>
      </c>
      <c r="E42" s="688">
        <f t="shared" si="7"/>
        <v>0</v>
      </c>
      <c r="F42" s="686">
        <f t="shared" si="7"/>
        <v>0</v>
      </c>
      <c r="G42" s="687">
        <f t="shared" si="7"/>
        <v>0</v>
      </c>
      <c r="H42" s="688">
        <f t="shared" si="7"/>
        <v>0</v>
      </c>
      <c r="I42" s="324"/>
      <c r="J42" s="325"/>
      <c r="K42" s="325"/>
    </row>
    <row r="43" spans="1:11" ht="15">
      <c r="A43" s="8" t="s">
        <v>86</v>
      </c>
      <c r="B43" s="14" t="s">
        <v>87</v>
      </c>
      <c r="C43" s="681"/>
      <c r="D43" s="682"/>
      <c r="E43" s="683">
        <f>SUM('INGRESOS MENSUALES VIG. 1.998'!C43:N43)</f>
        <v>0</v>
      </c>
      <c r="F43" s="681">
        <f>SUM('ING. GRES MENSUALES VIG. 1999'!C43:N43)</f>
        <v>0</v>
      </c>
      <c r="G43" s="684">
        <f>SUM('ING. GRES MENSUALES VIG. 1999'!C43:N43)</f>
        <v>0</v>
      </c>
      <c r="H43" s="685"/>
      <c r="I43" s="324"/>
      <c r="J43" s="325"/>
      <c r="K43" s="325"/>
    </row>
    <row r="44" spans="1:11" ht="15">
      <c r="A44" s="8" t="s">
        <v>88</v>
      </c>
      <c r="B44" s="14" t="s">
        <v>89</v>
      </c>
      <c r="C44" s="681"/>
      <c r="D44" s="682"/>
      <c r="E44" s="683">
        <f>SUM('INGRESOS MENSUALES VIG. 1.998'!C44:N44)</f>
        <v>0</v>
      </c>
      <c r="F44" s="681">
        <f>SUM('ING. GRES MENSUALES VIG. 1999'!C44:N44)</f>
        <v>0</v>
      </c>
      <c r="G44" s="684">
        <f>SUM('ING. GRES MENSUALES VIG. 1999'!C44:N44)</f>
        <v>0</v>
      </c>
      <c r="H44" s="685"/>
      <c r="I44" s="324"/>
      <c r="J44" s="325"/>
      <c r="K44" s="325"/>
    </row>
    <row r="45" spans="1:11" s="150" customFormat="1" ht="15.75">
      <c r="A45" s="114" t="s">
        <v>90</v>
      </c>
      <c r="B45" s="113" t="s">
        <v>91</v>
      </c>
      <c r="C45" s="686">
        <f aca="true" t="shared" si="8" ref="C45:H45">SUM(C46:C47)</f>
        <v>0</v>
      </c>
      <c r="D45" s="687">
        <f t="shared" si="8"/>
        <v>0</v>
      </c>
      <c r="E45" s="688">
        <f t="shared" si="8"/>
        <v>3388806503</v>
      </c>
      <c r="F45" s="686">
        <f t="shared" si="8"/>
        <v>3933009000</v>
      </c>
      <c r="G45" s="687">
        <f t="shared" si="8"/>
        <v>1716719110</v>
      </c>
      <c r="H45" s="688">
        <f t="shared" si="8"/>
        <v>0</v>
      </c>
      <c r="I45" s="324"/>
      <c r="J45" s="325"/>
      <c r="K45" s="325"/>
    </row>
    <row r="46" spans="1:11" ht="15">
      <c r="A46" s="8" t="s">
        <v>92</v>
      </c>
      <c r="B46" s="14" t="s">
        <v>93</v>
      </c>
      <c r="C46" s="681"/>
      <c r="D46" s="682"/>
      <c r="E46" s="683">
        <f>SUM('INGRESOS MENSUALES VIG. 1.998'!C46:N46)</f>
        <v>2603864699</v>
      </c>
      <c r="F46" s="681">
        <v>3225067380</v>
      </c>
      <c r="G46" s="684">
        <f>SUM('ING. GRES MENSUALES VIG. 1999'!C46:N46)</f>
        <v>1381135295</v>
      </c>
      <c r="H46" s="689"/>
      <c r="I46" s="324"/>
      <c r="J46" s="337"/>
      <c r="K46" s="337"/>
    </row>
    <row r="47" spans="1:11" ht="15">
      <c r="A47" s="8" t="s">
        <v>94</v>
      </c>
      <c r="B47" s="14" t="s">
        <v>95</v>
      </c>
      <c r="C47" s="681"/>
      <c r="D47" s="682"/>
      <c r="E47" s="683">
        <f>SUM('INGRESOS MENSUALES VIG. 1.998'!C47:N47)</f>
        <v>784941804</v>
      </c>
      <c r="F47" s="681">
        <v>707941620</v>
      </c>
      <c r="G47" s="684">
        <f>SUM('ING. GRES MENSUALES VIG. 1999'!C47:N47)</f>
        <v>335583815</v>
      </c>
      <c r="H47" s="689"/>
      <c r="I47" s="324"/>
      <c r="J47" s="337"/>
      <c r="K47" s="337"/>
    </row>
    <row r="48" spans="1:11" ht="15.75">
      <c r="A48" s="114" t="s">
        <v>96</v>
      </c>
      <c r="B48" s="115" t="s">
        <v>97</v>
      </c>
      <c r="C48" s="686">
        <f aca="true" t="shared" si="9" ref="C48:H48">SUM(C49:C52)</f>
        <v>0</v>
      </c>
      <c r="D48" s="687">
        <f t="shared" si="9"/>
        <v>0</v>
      </c>
      <c r="E48" s="688">
        <f t="shared" si="9"/>
        <v>364086789</v>
      </c>
      <c r="F48" s="686">
        <f t="shared" si="9"/>
        <v>0</v>
      </c>
      <c r="G48" s="687">
        <f t="shared" si="9"/>
        <v>169066467</v>
      </c>
      <c r="H48" s="688">
        <f t="shared" si="9"/>
        <v>0</v>
      </c>
      <c r="I48" s="324"/>
      <c r="J48" s="325"/>
      <c r="K48" s="325"/>
    </row>
    <row r="49" spans="1:11" ht="15.75" customHeight="1">
      <c r="A49" s="8" t="s">
        <v>98</v>
      </c>
      <c r="B49" s="34" t="s">
        <v>99</v>
      </c>
      <c r="C49" s="681"/>
      <c r="D49" s="682"/>
      <c r="E49" s="683">
        <f>SUM('INGRESOS MENSUALES VIG. 1.998'!C49:N49)</f>
        <v>364086789</v>
      </c>
      <c r="F49" s="681">
        <f>SUM('ING. GRES MENSUALES VIG. 1999'!C49:N49)</f>
        <v>0</v>
      </c>
      <c r="G49" s="684">
        <f>SUM('ING. GRES MENSUALES VIG. 1999'!C56:N56)</f>
        <v>127330724</v>
      </c>
      <c r="H49" s="685"/>
      <c r="I49" s="324"/>
      <c r="J49" s="325"/>
      <c r="K49" s="325"/>
    </row>
    <row r="50" spans="1:11" ht="15.75" customHeight="1">
      <c r="A50" s="8" t="s">
        <v>100</v>
      </c>
      <c r="B50" s="34" t="s">
        <v>101</v>
      </c>
      <c r="C50" s="681"/>
      <c r="D50" s="682"/>
      <c r="E50" s="683">
        <f>SUM('INGRESOS MENSUALES VIG. 1.998'!C50:N50)</f>
        <v>0</v>
      </c>
      <c r="F50" s="681">
        <f>SUM('ING. GRES MENSUALES VIG. 1999'!C50:N50)</f>
        <v>0</v>
      </c>
      <c r="G50" s="684">
        <f>SUM('ING. GRES MENSUALES VIG. 1999'!C57:N57)</f>
        <v>13024077</v>
      </c>
      <c r="H50" s="685"/>
      <c r="I50" s="324"/>
      <c r="J50" s="325"/>
      <c r="K50" s="325"/>
    </row>
    <row r="51" spans="1:11" ht="15">
      <c r="A51" s="8" t="s">
        <v>102</v>
      </c>
      <c r="B51" s="34" t="s">
        <v>103</v>
      </c>
      <c r="C51" s="681"/>
      <c r="D51" s="682"/>
      <c r="E51" s="683">
        <f>SUM('INGRESOS MENSUALES VIG. 1.998'!C51:N51)</f>
        <v>0</v>
      </c>
      <c r="F51" s="681">
        <f>SUM('ING. GRES MENSUALES VIG. 1999'!C51:N51)</f>
        <v>0</v>
      </c>
      <c r="G51" s="684">
        <f>SUM('ING. GRES MENSUALES VIG. 1999'!C58:N58)</f>
        <v>0</v>
      </c>
      <c r="H51" s="685"/>
      <c r="I51" s="324"/>
      <c r="J51" s="325"/>
      <c r="K51" s="325"/>
    </row>
    <row r="52" spans="1:11" ht="15">
      <c r="A52" s="8" t="s">
        <v>104</v>
      </c>
      <c r="B52" s="34" t="s">
        <v>105</v>
      </c>
      <c r="C52" s="681"/>
      <c r="D52" s="682"/>
      <c r="E52" s="683">
        <f>SUM('INGRESOS MENSUALES VIG. 1.998'!C52:N52)</f>
        <v>0</v>
      </c>
      <c r="F52" s="681">
        <f>SUM('ING. GRES MENSUALES VIG. 1999'!C52:N52)</f>
        <v>0</v>
      </c>
      <c r="G52" s="684">
        <f>SUM('ING. GRES MENSUALES VIG. 1999'!C59:N59)</f>
        <v>28711666</v>
      </c>
      <c r="H52" s="685"/>
      <c r="I52" s="324"/>
      <c r="J52" s="325"/>
      <c r="K52" s="325"/>
    </row>
    <row r="53" spans="1:11" s="148" customFormat="1" ht="15.75">
      <c r="A53" s="110">
        <v>1.2</v>
      </c>
      <c r="B53" s="117" t="s">
        <v>106</v>
      </c>
      <c r="C53" s="690">
        <f aca="true" t="shared" si="10" ref="C53:H53">+C54+C58+C62+C63+C69+C72+C73+C74+C75</f>
        <v>0</v>
      </c>
      <c r="D53" s="691">
        <f t="shared" si="10"/>
        <v>0</v>
      </c>
      <c r="E53" s="692">
        <f t="shared" si="10"/>
        <v>0</v>
      </c>
      <c r="F53" s="690">
        <f t="shared" si="10"/>
        <v>23571855</v>
      </c>
      <c r="G53" s="691">
        <f t="shared" si="10"/>
        <v>47153108</v>
      </c>
      <c r="H53" s="692">
        <f t="shared" si="10"/>
        <v>0</v>
      </c>
      <c r="I53" s="324"/>
      <c r="J53" s="325"/>
      <c r="K53" s="325"/>
    </row>
    <row r="54" spans="1:11" ht="15.75">
      <c r="A54" s="112" t="s">
        <v>107</v>
      </c>
      <c r="B54" s="113" t="s">
        <v>108</v>
      </c>
      <c r="C54" s="686">
        <f aca="true" t="shared" si="11" ref="C54:H54">SUM(C55:C57)</f>
        <v>0</v>
      </c>
      <c r="D54" s="687">
        <f t="shared" si="11"/>
        <v>0</v>
      </c>
      <c r="E54" s="688">
        <f t="shared" si="11"/>
        <v>0</v>
      </c>
      <c r="F54" s="686">
        <f t="shared" si="11"/>
        <v>20000000</v>
      </c>
      <c r="G54" s="687">
        <f t="shared" si="11"/>
        <v>47153108</v>
      </c>
      <c r="H54" s="688">
        <f t="shared" si="11"/>
        <v>0</v>
      </c>
      <c r="I54" s="324"/>
      <c r="J54" s="325"/>
      <c r="K54" s="325"/>
    </row>
    <row r="55" spans="1:11" ht="15">
      <c r="A55" s="9" t="s">
        <v>109</v>
      </c>
      <c r="B55" s="14" t="s">
        <v>110</v>
      </c>
      <c r="C55" s="681"/>
      <c r="D55" s="682"/>
      <c r="E55" s="683">
        <f>SUM('INGRESOS MENSUALES VIG. 1.998'!C55:N55)</f>
        <v>0</v>
      </c>
      <c r="F55" s="681">
        <v>0</v>
      </c>
      <c r="G55" s="684">
        <f>SUM('ING. GRES MENSUALES VIG. 1999'!C62:N62)</f>
        <v>0</v>
      </c>
      <c r="H55" s="685"/>
      <c r="I55" s="324"/>
      <c r="J55" s="325"/>
      <c r="K55" s="325"/>
    </row>
    <row r="56" spans="1:11" ht="15">
      <c r="A56" s="9" t="s">
        <v>111</v>
      </c>
      <c r="B56" s="14" t="s">
        <v>112</v>
      </c>
      <c r="C56" s="681"/>
      <c r="D56" s="682"/>
      <c r="E56" s="683">
        <f>SUM('INGRESOS MENSUALES VIG. 1.998'!C56:N56)</f>
        <v>0</v>
      </c>
      <c r="F56" s="681">
        <v>0</v>
      </c>
      <c r="G56" s="684">
        <f>SUM('ING. GRES MENSUALES VIG. 1999'!C63:N63)</f>
        <v>47153108</v>
      </c>
      <c r="H56" s="685"/>
      <c r="I56" s="324"/>
      <c r="J56" s="325"/>
      <c r="K56" s="325"/>
    </row>
    <row r="57" spans="1:11" ht="15">
      <c r="A57" s="9" t="s">
        <v>113</v>
      </c>
      <c r="B57" s="14" t="s">
        <v>147</v>
      </c>
      <c r="C57" s="681"/>
      <c r="D57" s="682"/>
      <c r="E57" s="683">
        <f>SUM('INGRESOS MENSUALES VIG. 1.998'!C57:N57)</f>
        <v>0</v>
      </c>
      <c r="F57" s="681">
        <v>20000000</v>
      </c>
      <c r="G57" s="684">
        <f>SUM('ING. GRES MENSUALES VIG. 1999'!C64:N64)</f>
        <v>0</v>
      </c>
      <c r="H57" s="685"/>
      <c r="I57" s="324"/>
      <c r="J57" s="325"/>
      <c r="K57" s="325"/>
    </row>
    <row r="58" spans="1:11" ht="15.75">
      <c r="A58" s="112" t="s">
        <v>114</v>
      </c>
      <c r="B58" s="113" t="s">
        <v>115</v>
      </c>
      <c r="C58" s="686">
        <f aca="true" t="shared" si="12" ref="C58:H58">SUM(C59:C61)</f>
        <v>0</v>
      </c>
      <c r="D58" s="687">
        <f t="shared" si="12"/>
        <v>0</v>
      </c>
      <c r="E58" s="688">
        <f t="shared" si="12"/>
        <v>0</v>
      </c>
      <c r="F58" s="686">
        <f t="shared" si="12"/>
        <v>0</v>
      </c>
      <c r="G58" s="687">
        <f t="shared" si="12"/>
        <v>0</v>
      </c>
      <c r="H58" s="688">
        <f t="shared" si="12"/>
        <v>0</v>
      </c>
      <c r="I58" s="324"/>
      <c r="J58" s="325"/>
      <c r="K58" s="325"/>
    </row>
    <row r="59" spans="1:11" ht="15">
      <c r="A59" s="9" t="s">
        <v>116</v>
      </c>
      <c r="B59" s="151" t="s">
        <v>117</v>
      </c>
      <c r="C59" s="681"/>
      <c r="D59" s="682"/>
      <c r="E59" s="683">
        <f>SUM('INGRESOS MENSUALES VIG. 1.998'!C59:N59)</f>
        <v>0</v>
      </c>
      <c r="F59" s="681">
        <v>0</v>
      </c>
      <c r="G59" s="684">
        <f>SUM('ING. GRES MENSUALES VIG. 1999'!C66:N66)</f>
        <v>0</v>
      </c>
      <c r="H59" s="685"/>
      <c r="I59" s="324"/>
      <c r="J59" s="325"/>
      <c r="K59" s="325"/>
    </row>
    <row r="60" spans="1:11" ht="15">
      <c r="A60" s="9" t="s">
        <v>118</v>
      </c>
      <c r="B60" s="151" t="s">
        <v>119</v>
      </c>
      <c r="C60" s="681"/>
      <c r="D60" s="682"/>
      <c r="E60" s="683">
        <f>SUM('INGRESOS MENSUALES VIG. 1.998'!C60:N60)</f>
        <v>0</v>
      </c>
      <c r="F60" s="681">
        <v>0</v>
      </c>
      <c r="G60" s="684">
        <f>SUM('ING. GRES MENSUALES VIG. 1999'!C67:N67)</f>
        <v>0</v>
      </c>
      <c r="H60" s="685"/>
      <c r="I60" s="324"/>
      <c r="J60" s="325"/>
      <c r="K60" s="325"/>
    </row>
    <row r="61" spans="1:11" ht="15">
      <c r="A61" s="9" t="s">
        <v>120</v>
      </c>
      <c r="B61" s="151" t="s">
        <v>121</v>
      </c>
      <c r="C61" s="681"/>
      <c r="D61" s="682"/>
      <c r="E61" s="683">
        <f>SUM('INGRESOS MENSUALES VIG. 1.998'!C61:N61)</f>
        <v>0</v>
      </c>
      <c r="F61" s="681">
        <v>0</v>
      </c>
      <c r="G61" s="684">
        <f>SUM('ING. GRES MENSUALES VIG. 1999'!C68:N68)</f>
        <v>0</v>
      </c>
      <c r="H61" s="685"/>
      <c r="I61" s="324"/>
      <c r="J61" s="325"/>
      <c r="K61" s="325"/>
    </row>
    <row r="62" spans="1:11" ht="15">
      <c r="A62" s="9" t="s">
        <v>122</v>
      </c>
      <c r="B62" s="12" t="s">
        <v>123</v>
      </c>
      <c r="C62" s="681"/>
      <c r="D62" s="682"/>
      <c r="E62" s="683">
        <f>SUM('INGRESOS MENSUALES VIG. 1.998'!C62:N62)</f>
        <v>0</v>
      </c>
      <c r="F62" s="681">
        <f>SUM('ING. GRES MENSUALES VIG. 1999'!C62:N62)</f>
        <v>0</v>
      </c>
      <c r="G62" s="684">
        <f>SUM('ING. GRES MENSUALES VIG. 1999'!C69:N69)</f>
        <v>0</v>
      </c>
      <c r="H62" s="685"/>
      <c r="I62" s="324"/>
      <c r="J62" s="325"/>
      <c r="K62" s="325"/>
    </row>
    <row r="63" spans="1:11" ht="15.75">
      <c r="A63" s="112" t="s">
        <v>124</v>
      </c>
      <c r="B63" s="113" t="s">
        <v>125</v>
      </c>
      <c r="C63" s="686">
        <f aca="true" t="shared" si="13" ref="C63:H63">SUM(C64:C68)</f>
        <v>0</v>
      </c>
      <c r="D63" s="687">
        <f t="shared" si="13"/>
        <v>0</v>
      </c>
      <c r="E63" s="688">
        <f t="shared" si="13"/>
        <v>0</v>
      </c>
      <c r="F63" s="686">
        <f t="shared" si="13"/>
        <v>471855</v>
      </c>
      <c r="G63" s="687">
        <f t="shared" si="13"/>
        <v>0</v>
      </c>
      <c r="H63" s="688">
        <f t="shared" si="13"/>
        <v>0</v>
      </c>
      <c r="I63" s="324"/>
      <c r="J63" s="325"/>
      <c r="K63" s="325"/>
    </row>
    <row r="64" spans="1:11" ht="15">
      <c r="A64" s="9" t="s">
        <v>126</v>
      </c>
      <c r="B64" s="151" t="s">
        <v>127</v>
      </c>
      <c r="C64" s="681"/>
      <c r="D64" s="682"/>
      <c r="E64" s="683">
        <f>SUM('INGRESOS MENSUALES VIG. 1.998'!C64:N64)</f>
        <v>0</v>
      </c>
      <c r="F64" s="681">
        <f>SUM('ING. GRES MENSUALES VIG. 1999'!C64:N64)</f>
        <v>0</v>
      </c>
      <c r="G64" s="684">
        <f>SUM('ING. GRES MENSUALES VIG. 1999'!C71:N71)</f>
        <v>0</v>
      </c>
      <c r="H64" s="685"/>
      <c r="I64" s="324"/>
      <c r="J64" s="325"/>
      <c r="K64" s="325"/>
    </row>
    <row r="65" spans="1:11" ht="15">
      <c r="A65" s="9" t="s">
        <v>128</v>
      </c>
      <c r="B65" s="14" t="s">
        <v>129</v>
      </c>
      <c r="C65" s="681"/>
      <c r="D65" s="682"/>
      <c r="E65" s="683">
        <f>SUM('INGRESOS MENSUALES VIG. 1.998'!C65:N65)</f>
        <v>0</v>
      </c>
      <c r="F65" s="681">
        <f>SUM('ING. GRES MENSUALES VIG. 1999'!C65:N65)</f>
        <v>0</v>
      </c>
      <c r="G65" s="684">
        <f>SUM('ING. GRES MENSUALES VIG. 1999'!C72:N72)</f>
        <v>0</v>
      </c>
      <c r="H65" s="685"/>
      <c r="I65" s="324"/>
      <c r="J65" s="325"/>
      <c r="K65" s="325"/>
    </row>
    <row r="66" spans="1:11" ht="15">
      <c r="A66" s="9" t="s">
        <v>130</v>
      </c>
      <c r="B66" s="14" t="s">
        <v>131</v>
      </c>
      <c r="C66" s="681"/>
      <c r="D66" s="682"/>
      <c r="E66" s="683">
        <f>SUM('INGRESOS MENSUALES VIG. 1.998'!C66:N66)</f>
        <v>0</v>
      </c>
      <c r="F66" s="681">
        <f>SUM('ING. GRES MENSUALES VIG. 1999'!C66:N66)</f>
        <v>0</v>
      </c>
      <c r="G66" s="684">
        <f>SUM('ING. GRES MENSUALES VIG. 1999'!C73:N73)</f>
        <v>0</v>
      </c>
      <c r="H66" s="685"/>
      <c r="I66" s="324"/>
      <c r="J66" s="325"/>
      <c r="K66" s="325"/>
    </row>
    <row r="67" spans="1:11" ht="15">
      <c r="A67" s="9" t="s">
        <v>132</v>
      </c>
      <c r="B67" s="14" t="s">
        <v>133</v>
      </c>
      <c r="C67" s="681"/>
      <c r="D67" s="682"/>
      <c r="E67" s="683">
        <f>SUM('INGRESOS MENSUALES VIG. 1.998'!C67:N67)</f>
        <v>0</v>
      </c>
      <c r="F67" s="681">
        <f>SUM('ING. GRES MENSUALES VIG. 1999'!C67:N67)</f>
        <v>0</v>
      </c>
      <c r="G67" s="684">
        <f>SUM('ING. GRES MENSUALES VIG. 1999'!C74:N74)</f>
        <v>0</v>
      </c>
      <c r="H67" s="685"/>
      <c r="I67" s="324"/>
      <c r="J67" s="325"/>
      <c r="K67" s="325"/>
    </row>
    <row r="68" spans="1:11" ht="15">
      <c r="A68" s="9" t="s">
        <v>134</v>
      </c>
      <c r="B68" s="14" t="s">
        <v>135</v>
      </c>
      <c r="C68" s="681"/>
      <c r="D68" s="682"/>
      <c r="E68" s="683">
        <f>SUM('INGRESOS MENSUALES VIG. 1.998'!C68:N68)</f>
        <v>0</v>
      </c>
      <c r="F68" s="681">
        <v>471855</v>
      </c>
      <c r="G68" s="684">
        <f>SUM('ING. GRES MENSUALES VIG. 1999'!C75:N75)</f>
        <v>0</v>
      </c>
      <c r="H68" s="685"/>
      <c r="I68" s="324"/>
      <c r="J68" s="325"/>
      <c r="K68" s="325"/>
    </row>
    <row r="69" spans="1:11" ht="15.75">
      <c r="A69" s="112" t="s">
        <v>136</v>
      </c>
      <c r="B69" s="113" t="s">
        <v>137</v>
      </c>
      <c r="C69" s="686">
        <f aca="true" t="shared" si="14" ref="C69:H69">SUM(C70:C71)</f>
        <v>0</v>
      </c>
      <c r="D69" s="687">
        <f t="shared" si="14"/>
        <v>0</v>
      </c>
      <c r="E69" s="688">
        <f t="shared" si="14"/>
        <v>0</v>
      </c>
      <c r="F69" s="686">
        <f t="shared" si="14"/>
        <v>0</v>
      </c>
      <c r="G69" s="687">
        <f t="shared" si="14"/>
        <v>0</v>
      </c>
      <c r="H69" s="688">
        <f t="shared" si="14"/>
        <v>0</v>
      </c>
      <c r="I69" s="324"/>
      <c r="J69" s="325"/>
      <c r="K69" s="325"/>
    </row>
    <row r="70" spans="1:11" ht="15">
      <c r="A70" s="9" t="s">
        <v>138</v>
      </c>
      <c r="B70" s="14" t="s">
        <v>139</v>
      </c>
      <c r="C70" s="681"/>
      <c r="D70" s="682"/>
      <c r="E70" s="683">
        <f>SUM('INGRESOS MENSUALES VIG. 1.998'!C70:N70)</f>
        <v>0</v>
      </c>
      <c r="F70" s="681">
        <f>SUM('ING. GRES MENSUALES VIG. 1999'!C70:N70)</f>
        <v>0</v>
      </c>
      <c r="G70" s="684">
        <f>SUM('ING. GRES MENSUALES VIG. 1999'!C77:N77)</f>
        <v>0</v>
      </c>
      <c r="H70" s="689" t="s">
        <v>21</v>
      </c>
      <c r="I70" s="324"/>
      <c r="J70" s="325"/>
      <c r="K70" s="325"/>
    </row>
    <row r="71" spans="1:11" ht="15">
      <c r="A71" s="9" t="s">
        <v>140</v>
      </c>
      <c r="B71" s="14" t="s">
        <v>141</v>
      </c>
      <c r="C71" s="681"/>
      <c r="D71" s="682"/>
      <c r="E71" s="683">
        <f>SUM('INGRESOS MENSUALES VIG. 1.998'!C71:N71)</f>
        <v>0</v>
      </c>
      <c r="F71" s="681">
        <f>SUM('ING. GRES MENSUALES VIG. 1999'!C71:N71)</f>
        <v>0</v>
      </c>
      <c r="G71" s="684">
        <f>SUM('ING. GRES MENSUALES VIG. 1999'!C78:N78)</f>
        <v>0</v>
      </c>
      <c r="H71" s="685"/>
      <c r="I71" s="324"/>
      <c r="J71" s="325"/>
      <c r="K71" s="325"/>
    </row>
    <row r="72" spans="1:11" ht="15">
      <c r="A72" s="9" t="s">
        <v>142</v>
      </c>
      <c r="B72" s="12" t="s">
        <v>143</v>
      </c>
      <c r="C72" s="681"/>
      <c r="D72" s="682"/>
      <c r="E72" s="683">
        <f>SUM('INGRESOS MENSUALES VIG. 1.998'!C72:N72)</f>
        <v>0</v>
      </c>
      <c r="F72" s="681">
        <f>SUM('ING. GRES MENSUALES VIG. 1999'!C72:N72)</f>
        <v>0</v>
      </c>
      <c r="G72" s="684">
        <f>SUM('ING. GRES MENSUALES VIG. 1999'!C79:N79)</f>
        <v>0</v>
      </c>
      <c r="H72" s="685"/>
      <c r="I72" s="324"/>
      <c r="J72" s="325"/>
      <c r="K72" s="325"/>
    </row>
    <row r="73" spans="1:11" ht="15">
      <c r="A73" s="9" t="s">
        <v>144</v>
      </c>
      <c r="B73" s="12" t="s">
        <v>145</v>
      </c>
      <c r="C73" s="681"/>
      <c r="D73" s="682"/>
      <c r="E73" s="683">
        <f>SUM('INGRESOS MENSUALES VIG. 1.998'!C73:N73)</f>
        <v>0</v>
      </c>
      <c r="F73" s="681">
        <f>SUM('ING. GRES MENSUALES VIG. 1999'!C73:N73)</f>
        <v>0</v>
      </c>
      <c r="G73" s="684">
        <f>SUM('ING. GRES MENSUALES VIG. 1999'!C80:N80)</f>
        <v>0</v>
      </c>
      <c r="H73" s="685"/>
      <c r="I73" s="324"/>
      <c r="J73" s="325"/>
      <c r="K73" s="325"/>
    </row>
    <row r="74" spans="1:11" ht="15">
      <c r="A74" s="9" t="s">
        <v>146</v>
      </c>
      <c r="B74" s="12" t="s">
        <v>147</v>
      </c>
      <c r="C74" s="681"/>
      <c r="D74" s="682"/>
      <c r="E74" s="683">
        <f>SUM('INGRESOS MENSUALES VIG. 1.998'!C74:N74)</f>
        <v>0</v>
      </c>
      <c r="F74" s="681">
        <f>SUM('ING. GRES MENSUALES VIG. 1999'!C74:N74)</f>
        <v>0</v>
      </c>
      <c r="G74" s="684">
        <f>SUM('ING. GRES MENSUALES VIG. 1999'!C81:N81)</f>
        <v>0</v>
      </c>
      <c r="H74" s="685"/>
      <c r="I74" s="324"/>
      <c r="J74" s="325"/>
      <c r="K74" s="325"/>
    </row>
    <row r="75" spans="1:11" ht="15.75">
      <c r="A75" s="112" t="s">
        <v>148</v>
      </c>
      <c r="B75" s="113" t="s">
        <v>149</v>
      </c>
      <c r="C75" s="686">
        <f aca="true" t="shared" si="15" ref="C75:H75">SUM(C76:C78)</f>
        <v>0</v>
      </c>
      <c r="D75" s="687">
        <f t="shared" si="15"/>
        <v>0</v>
      </c>
      <c r="E75" s="688">
        <f t="shared" si="15"/>
        <v>0</v>
      </c>
      <c r="F75" s="686">
        <f t="shared" si="15"/>
        <v>3100000</v>
      </c>
      <c r="G75" s="687">
        <f t="shared" si="15"/>
        <v>0</v>
      </c>
      <c r="H75" s="688">
        <f t="shared" si="15"/>
        <v>0</v>
      </c>
      <c r="I75" s="324"/>
      <c r="J75" s="325"/>
      <c r="K75" s="325"/>
    </row>
    <row r="76" spans="1:11" ht="15">
      <c r="A76" s="9" t="s">
        <v>150</v>
      </c>
      <c r="B76" s="35" t="s">
        <v>151</v>
      </c>
      <c r="C76" s="681"/>
      <c r="D76" s="682"/>
      <c r="E76" s="683">
        <f>SUM('INGRESOS MENSUALES VIG. 1.998'!C76:N76)</f>
        <v>0</v>
      </c>
      <c r="F76" s="681">
        <f>SUM('ING. GRES MENSUALES VIG. 1999'!C76:N76)</f>
        <v>0</v>
      </c>
      <c r="G76" s="684">
        <f>SUM('ING. GRES MENSUALES VIG. 1999'!C83:N83)</f>
        <v>0</v>
      </c>
      <c r="H76" s="685"/>
      <c r="I76" s="324"/>
      <c r="J76" s="325"/>
      <c r="K76" s="325"/>
    </row>
    <row r="77" spans="1:11" ht="15">
      <c r="A77" s="9" t="s">
        <v>152</v>
      </c>
      <c r="B77" s="79"/>
      <c r="C77" s="681"/>
      <c r="D77" s="682"/>
      <c r="E77" s="683">
        <f>SUM('INGRESOS MENSUALES VIG. 1.998'!C77:N77)</f>
        <v>0</v>
      </c>
      <c r="F77" s="681">
        <f>SUM('ING. GRES MENSUALES VIG. 1999'!C77:N77)</f>
        <v>0</v>
      </c>
      <c r="G77" s="693">
        <f>SUM('ING. GRES MENSUALES VIG. 1999'!C84:N84)</f>
        <v>0</v>
      </c>
      <c r="H77" s="685"/>
      <c r="I77" s="324"/>
      <c r="J77" s="325"/>
      <c r="K77" s="325"/>
    </row>
    <row r="78" spans="1:11" ht="15.75" thickBot="1">
      <c r="A78" s="10" t="s">
        <v>153</v>
      </c>
      <c r="B78" s="230" t="s">
        <v>64</v>
      </c>
      <c r="C78" s="694"/>
      <c r="D78" s="695"/>
      <c r="E78" s="696">
        <f>SUM('INGRESOS MENSUALES VIG. 1.998'!C78:N78)</f>
        <v>0</v>
      </c>
      <c r="F78" s="681">
        <v>3100000</v>
      </c>
      <c r="G78" s="697">
        <f>SUM('ING. GRES MENSUALES VIG. 1999'!C85:N85)</f>
        <v>0</v>
      </c>
      <c r="H78" s="698"/>
      <c r="I78" s="324"/>
      <c r="J78" s="325"/>
      <c r="K78" s="325"/>
    </row>
    <row r="79" spans="1:4" ht="14.25" customHeight="1">
      <c r="A79" s="77"/>
      <c r="D79" s="21" t="s">
        <v>21</v>
      </c>
    </row>
    <row r="80" spans="1:11" s="7" customFormat="1" ht="15.75">
      <c r="A80" s="178"/>
      <c r="B80" s="179"/>
      <c r="C80" s="231"/>
      <c r="D80" s="231"/>
      <c r="E80" s="231"/>
      <c r="F80" s="231"/>
      <c r="G80" s="231"/>
      <c r="H80" s="231"/>
      <c r="I80" s="327"/>
      <c r="J80" s="327"/>
      <c r="K80" s="327"/>
    </row>
    <row r="81" spans="2:11" s="7" customFormat="1" ht="15">
      <c r="B81" s="154"/>
      <c r="C81" s="154"/>
      <c r="D81" s="232"/>
      <c r="E81" s="232"/>
      <c r="F81" s="232"/>
      <c r="G81" s="233"/>
      <c r="H81" s="154"/>
      <c r="I81" s="325"/>
      <c r="J81" s="324"/>
      <c r="K81" s="36"/>
    </row>
    <row r="82" spans="1:3" ht="18">
      <c r="A82" s="177" t="s">
        <v>154</v>
      </c>
      <c r="C82" s="21" t="s">
        <v>626</v>
      </c>
    </row>
    <row r="83" spans="1:10" ht="15">
      <c r="A83" s="95"/>
      <c r="B83" s="118"/>
      <c r="C83" s="118"/>
      <c r="D83" s="119"/>
      <c r="E83" s="119"/>
      <c r="F83" s="119"/>
      <c r="G83" s="120"/>
      <c r="H83" s="118"/>
      <c r="I83" s="325"/>
      <c r="J83" s="324"/>
    </row>
    <row r="84" spans="1:10" ht="16.5" thickBot="1">
      <c r="A84" s="352" t="s">
        <v>156</v>
      </c>
      <c r="B84" s="352"/>
      <c r="C84" s="94"/>
      <c r="D84" s="94"/>
      <c r="E84" s="94"/>
      <c r="F84" s="94"/>
      <c r="G84" s="94"/>
      <c r="H84" s="94"/>
      <c r="I84" s="325"/>
      <c r="J84" s="324"/>
    </row>
    <row r="85" spans="1:10" ht="15.75" thickBot="1">
      <c r="A85" s="95"/>
      <c r="B85" s="95" t="s">
        <v>157</v>
      </c>
      <c r="C85" s="234" t="str">
        <f>+C2</f>
        <v>ARIGUANI</v>
      </c>
      <c r="D85" s="94"/>
      <c r="E85" s="120" t="s">
        <v>2</v>
      </c>
      <c r="F85" s="228" t="e">
        <f>+#REF!</f>
        <v>#REF!</v>
      </c>
      <c r="G85" s="94"/>
      <c r="H85" s="94"/>
      <c r="I85" s="325"/>
      <c r="J85" s="324"/>
    </row>
    <row r="86" spans="1:10" ht="15.75" thickBot="1">
      <c r="A86" s="96" t="s">
        <v>158</v>
      </c>
      <c r="B86" s="96"/>
      <c r="C86" s="96"/>
      <c r="D86" s="96"/>
      <c r="E86" s="96"/>
      <c r="F86" s="96"/>
      <c r="G86" s="96"/>
      <c r="H86" s="96"/>
      <c r="I86" s="325"/>
      <c r="J86" s="324"/>
    </row>
    <row r="87" spans="1:10" ht="15.75" thickBot="1">
      <c r="A87" s="97" t="s">
        <v>4</v>
      </c>
      <c r="B87" s="98"/>
      <c r="C87" s="99" t="s">
        <v>24</v>
      </c>
      <c r="D87" s="100"/>
      <c r="E87" s="101"/>
      <c r="F87" s="99" t="s">
        <v>622</v>
      </c>
      <c r="G87" s="100"/>
      <c r="H87" s="101"/>
      <c r="I87" s="325"/>
      <c r="J87" s="324"/>
    </row>
    <row r="88" spans="1:10" ht="29.25" customHeight="1" thickBot="1">
      <c r="A88" s="102" t="s">
        <v>159</v>
      </c>
      <c r="B88" s="103"/>
      <c r="C88" s="104">
        <v>1996</v>
      </c>
      <c r="D88" s="121">
        <v>1997</v>
      </c>
      <c r="E88" s="105">
        <v>1998</v>
      </c>
      <c r="F88" s="104" t="s">
        <v>623</v>
      </c>
      <c r="G88" s="106" t="s">
        <v>627</v>
      </c>
      <c r="H88" s="107" t="s">
        <v>625</v>
      </c>
      <c r="I88" s="331"/>
      <c r="J88" s="324"/>
    </row>
    <row r="89" spans="1:11" s="80" customFormat="1" ht="15.75">
      <c r="A89" s="122">
        <v>2</v>
      </c>
      <c r="B89" s="123" t="s">
        <v>161</v>
      </c>
      <c r="C89" s="665">
        <f aca="true" t="shared" si="16" ref="C89:H89">+C90+C142+C151+C154</f>
        <v>0</v>
      </c>
      <c r="D89" s="666">
        <f t="shared" si="16"/>
        <v>0</v>
      </c>
      <c r="E89" s="667">
        <f t="shared" si="16"/>
        <v>3034536870</v>
      </c>
      <c r="F89" s="665">
        <f t="shared" si="16"/>
        <v>2962331427</v>
      </c>
      <c r="G89" s="666">
        <f t="shared" si="16"/>
        <v>41169207</v>
      </c>
      <c r="H89" s="667">
        <f t="shared" si="16"/>
        <v>0</v>
      </c>
      <c r="I89" s="325"/>
      <c r="J89" s="324"/>
      <c r="K89" s="36"/>
    </row>
    <row r="90" spans="1:11" s="92" customFormat="1" ht="15.75">
      <c r="A90" s="126">
        <v>2.1</v>
      </c>
      <c r="B90" s="127" t="s">
        <v>162</v>
      </c>
      <c r="C90" s="668">
        <f aca="true" t="shared" si="17" ref="C90:H90">+C91+C114+C118</f>
        <v>0</v>
      </c>
      <c r="D90" s="669">
        <f t="shared" si="17"/>
        <v>0</v>
      </c>
      <c r="E90" s="670">
        <f t="shared" si="17"/>
        <v>1490079320</v>
      </c>
      <c r="F90" s="668">
        <f t="shared" si="17"/>
        <v>2122657027</v>
      </c>
      <c r="G90" s="669">
        <f t="shared" si="17"/>
        <v>41169207</v>
      </c>
      <c r="H90" s="670">
        <f t="shared" si="17"/>
        <v>0</v>
      </c>
      <c r="I90" s="325"/>
      <c r="J90" s="324"/>
      <c r="K90" s="36"/>
    </row>
    <row r="91" spans="1:11" s="93" customFormat="1" ht="15">
      <c r="A91" s="130" t="s">
        <v>163</v>
      </c>
      <c r="B91" s="131" t="s">
        <v>164</v>
      </c>
      <c r="C91" s="671">
        <f aca="true" t="shared" si="18" ref="C91:H91">+C92+C101+C104+C113</f>
        <v>0</v>
      </c>
      <c r="D91" s="672">
        <f t="shared" si="18"/>
        <v>0</v>
      </c>
      <c r="E91" s="673">
        <f t="shared" si="18"/>
        <v>1234539877</v>
      </c>
      <c r="F91" s="671">
        <f t="shared" si="18"/>
        <v>1654403503</v>
      </c>
      <c r="G91" s="672">
        <f t="shared" si="18"/>
        <v>0</v>
      </c>
      <c r="H91" s="673">
        <f t="shared" si="18"/>
        <v>0</v>
      </c>
      <c r="I91" s="325"/>
      <c r="J91" s="324"/>
      <c r="K91" s="36"/>
    </row>
    <row r="92" spans="1:11" s="7" customFormat="1" ht="15">
      <c r="A92" s="114" t="s">
        <v>165</v>
      </c>
      <c r="B92" s="113" t="s">
        <v>166</v>
      </c>
      <c r="C92" s="671">
        <f aca="true" t="shared" si="19" ref="C92:H92">+C93+C100</f>
        <v>0</v>
      </c>
      <c r="D92" s="672">
        <f t="shared" si="19"/>
        <v>0</v>
      </c>
      <c r="E92" s="673">
        <f t="shared" si="19"/>
        <v>936698546</v>
      </c>
      <c r="F92" s="671">
        <f t="shared" si="19"/>
        <v>1327131435</v>
      </c>
      <c r="G92" s="672">
        <f t="shared" si="19"/>
        <v>0</v>
      </c>
      <c r="H92" s="673">
        <f t="shared" si="19"/>
        <v>0</v>
      </c>
      <c r="I92" s="325"/>
      <c r="J92" s="324"/>
      <c r="K92" s="36"/>
    </row>
    <row r="93" spans="1:11" s="7" customFormat="1" ht="15">
      <c r="A93" s="114" t="s">
        <v>167</v>
      </c>
      <c r="B93" s="113" t="s">
        <v>168</v>
      </c>
      <c r="C93" s="671">
        <f aca="true" t="shared" si="20" ref="C93:H93">+C94+C98+C99</f>
        <v>0</v>
      </c>
      <c r="D93" s="672">
        <f t="shared" si="20"/>
        <v>0</v>
      </c>
      <c r="E93" s="673">
        <f t="shared" si="20"/>
        <v>936698546</v>
      </c>
      <c r="F93" s="671">
        <f t="shared" si="20"/>
        <v>959422354</v>
      </c>
      <c r="G93" s="672">
        <f t="shared" si="20"/>
        <v>0</v>
      </c>
      <c r="H93" s="673">
        <f t="shared" si="20"/>
        <v>0</v>
      </c>
      <c r="I93" s="325"/>
      <c r="J93" s="324"/>
      <c r="K93" s="36"/>
    </row>
    <row r="94" spans="1:11" s="7" customFormat="1" ht="15">
      <c r="A94" s="114" t="s">
        <v>169</v>
      </c>
      <c r="B94" s="113" t="s">
        <v>170</v>
      </c>
      <c r="C94" s="671">
        <f aca="true" t="shared" si="21" ref="C94:H94">SUM(C95:C97)</f>
        <v>0</v>
      </c>
      <c r="D94" s="672">
        <f t="shared" si="21"/>
        <v>0</v>
      </c>
      <c r="E94" s="673">
        <f t="shared" si="21"/>
        <v>619660412</v>
      </c>
      <c r="F94" s="671">
        <f t="shared" si="21"/>
        <v>773511818</v>
      </c>
      <c r="G94" s="672">
        <f t="shared" si="21"/>
        <v>0</v>
      </c>
      <c r="H94" s="673">
        <f t="shared" si="21"/>
        <v>0</v>
      </c>
      <c r="I94" s="325"/>
      <c r="J94" s="324"/>
      <c r="K94" s="36"/>
    </row>
    <row r="95" spans="1:11" s="7" customFormat="1" ht="15">
      <c r="A95" s="8" t="s">
        <v>171</v>
      </c>
      <c r="B95" s="14" t="s">
        <v>172</v>
      </c>
      <c r="C95" s="699"/>
      <c r="D95" s="700"/>
      <c r="E95" s="701">
        <v>619660412</v>
      </c>
      <c r="F95" s="699">
        <v>773511818</v>
      </c>
      <c r="G95" s="700"/>
      <c r="H95" s="701"/>
      <c r="I95" s="325"/>
      <c r="J95" s="324"/>
      <c r="K95" s="36"/>
    </row>
    <row r="96" spans="1:11" s="7" customFormat="1" ht="15">
      <c r="A96" s="8" t="s">
        <v>173</v>
      </c>
      <c r="B96" s="14" t="s">
        <v>174</v>
      </c>
      <c r="C96" s="699"/>
      <c r="D96" s="700"/>
      <c r="E96" s="701">
        <v>0</v>
      </c>
      <c r="F96" s="699">
        <v>0</v>
      </c>
      <c r="G96" s="700"/>
      <c r="H96" s="701"/>
      <c r="I96" s="325" t="s">
        <v>21</v>
      </c>
      <c r="J96" s="324"/>
      <c r="K96" s="36"/>
    </row>
    <row r="97" spans="1:11" s="7" customFormat="1" ht="15">
      <c r="A97" s="8" t="s">
        <v>175</v>
      </c>
      <c r="B97" s="14" t="s">
        <v>176</v>
      </c>
      <c r="C97" s="699"/>
      <c r="D97" s="700"/>
      <c r="E97" s="701">
        <v>0</v>
      </c>
      <c r="F97" s="699">
        <v>0</v>
      </c>
      <c r="G97" s="700"/>
      <c r="H97" s="701"/>
      <c r="I97" s="325"/>
      <c r="J97" s="324"/>
      <c r="K97" s="36"/>
    </row>
    <row r="98" spans="1:11" s="7" customFormat="1" ht="15">
      <c r="A98" s="8" t="s">
        <v>177</v>
      </c>
      <c r="B98" s="14" t="s">
        <v>178</v>
      </c>
      <c r="C98" s="699"/>
      <c r="D98" s="700"/>
      <c r="E98" s="701">
        <v>66121443</v>
      </c>
      <c r="F98" s="699">
        <v>127507577</v>
      </c>
      <c r="G98" s="700"/>
      <c r="H98" s="701"/>
      <c r="I98" s="325"/>
      <c r="J98" s="324"/>
      <c r="K98" s="36"/>
    </row>
    <row r="99" spans="1:11" s="7" customFormat="1" ht="15">
      <c r="A99" s="8" t="s">
        <v>179</v>
      </c>
      <c r="B99" s="14" t="s">
        <v>180</v>
      </c>
      <c r="C99" s="699"/>
      <c r="D99" s="700"/>
      <c r="E99" s="701">
        <v>250916691</v>
      </c>
      <c r="F99" s="702">
        <v>58402959</v>
      </c>
      <c r="G99" s="700"/>
      <c r="H99" s="701"/>
      <c r="I99" s="325"/>
      <c r="J99" s="324"/>
      <c r="K99" s="36"/>
    </row>
    <row r="100" spans="1:11" s="7" customFormat="1" ht="15">
      <c r="A100" s="8" t="s">
        <v>181</v>
      </c>
      <c r="B100" s="12" t="s">
        <v>182</v>
      </c>
      <c r="C100" s="699"/>
      <c r="D100" s="700"/>
      <c r="E100" s="701"/>
      <c r="F100" s="699">
        <v>367709081</v>
      </c>
      <c r="G100" s="700"/>
      <c r="H100" s="701"/>
      <c r="I100" s="325"/>
      <c r="J100" s="324"/>
      <c r="K100" s="36"/>
    </row>
    <row r="101" spans="1:11" s="7" customFormat="1" ht="15.75">
      <c r="A101" s="114" t="s">
        <v>183</v>
      </c>
      <c r="B101" s="113" t="s">
        <v>184</v>
      </c>
      <c r="C101" s="703">
        <f aca="true" t="shared" si="22" ref="C101:H101">SUM(C102:C103)</f>
        <v>0</v>
      </c>
      <c r="D101" s="704">
        <f t="shared" si="22"/>
        <v>0</v>
      </c>
      <c r="E101" s="705">
        <f t="shared" si="22"/>
        <v>286714918</v>
      </c>
      <c r="F101" s="703">
        <f t="shared" si="22"/>
        <v>129837224</v>
      </c>
      <c r="G101" s="704">
        <f t="shared" si="22"/>
        <v>0</v>
      </c>
      <c r="H101" s="705">
        <f t="shared" si="22"/>
        <v>0</v>
      </c>
      <c r="I101" s="325"/>
      <c r="J101" s="324"/>
      <c r="K101" s="36"/>
    </row>
    <row r="102" spans="1:11" s="7" customFormat="1" ht="15">
      <c r="A102" s="8" t="s">
        <v>185</v>
      </c>
      <c r="B102" s="14" t="s">
        <v>186</v>
      </c>
      <c r="C102" s="699"/>
      <c r="D102" s="700"/>
      <c r="E102" s="701">
        <v>112693160</v>
      </c>
      <c r="F102" s="699">
        <v>44500000</v>
      </c>
      <c r="G102" s="700"/>
      <c r="H102" s="701"/>
      <c r="I102" s="325"/>
      <c r="J102" s="324"/>
      <c r="K102" s="36"/>
    </row>
    <row r="103" spans="1:11" s="7" customFormat="1" ht="15">
      <c r="A103" s="8" t="s">
        <v>187</v>
      </c>
      <c r="B103" s="14" t="s">
        <v>188</v>
      </c>
      <c r="C103" s="699"/>
      <c r="D103" s="700"/>
      <c r="E103" s="701">
        <v>174021758</v>
      </c>
      <c r="F103" s="699">
        <v>85337224</v>
      </c>
      <c r="G103" s="700"/>
      <c r="H103" s="701"/>
      <c r="I103" s="325">
        <v>12294933</v>
      </c>
      <c r="J103" s="324"/>
      <c r="K103" s="36"/>
    </row>
    <row r="104" spans="1:11" s="7" customFormat="1" ht="15.75">
      <c r="A104" s="114" t="s">
        <v>189</v>
      </c>
      <c r="B104" s="113" t="s">
        <v>190</v>
      </c>
      <c r="C104" s="703">
        <f aca="true" t="shared" si="23" ref="C104:H104">+C105+C112</f>
        <v>0</v>
      </c>
      <c r="D104" s="704">
        <f t="shared" si="23"/>
        <v>0</v>
      </c>
      <c r="E104" s="705">
        <f t="shared" si="23"/>
        <v>11126413</v>
      </c>
      <c r="F104" s="703">
        <f t="shared" si="23"/>
        <v>197434844</v>
      </c>
      <c r="G104" s="704">
        <f t="shared" si="23"/>
        <v>0</v>
      </c>
      <c r="H104" s="705">
        <f t="shared" si="23"/>
        <v>0</v>
      </c>
      <c r="I104" s="325">
        <v>9221200</v>
      </c>
      <c r="J104" s="324"/>
      <c r="K104" s="36"/>
    </row>
    <row r="105" spans="1:11" s="7" customFormat="1" ht="15.75">
      <c r="A105" s="114" t="s">
        <v>191</v>
      </c>
      <c r="B105" s="113" t="s">
        <v>192</v>
      </c>
      <c r="C105" s="703">
        <f aca="true" t="shared" si="24" ref="C105:H105">+C106+C110+C111</f>
        <v>0</v>
      </c>
      <c r="D105" s="704">
        <f t="shared" si="24"/>
        <v>0</v>
      </c>
      <c r="E105" s="705">
        <f t="shared" si="24"/>
        <v>10582176</v>
      </c>
      <c r="F105" s="703">
        <f t="shared" si="24"/>
        <v>109464517</v>
      </c>
      <c r="G105" s="704">
        <f t="shared" si="24"/>
        <v>0</v>
      </c>
      <c r="H105" s="705">
        <f t="shared" si="24"/>
        <v>0</v>
      </c>
      <c r="I105" s="325">
        <v>1536867</v>
      </c>
      <c r="J105" s="324"/>
      <c r="K105" s="36"/>
    </row>
    <row r="106" spans="1:11" s="7" customFormat="1" ht="15.75">
      <c r="A106" s="114" t="s">
        <v>193</v>
      </c>
      <c r="B106" s="113" t="s">
        <v>168</v>
      </c>
      <c r="C106" s="703">
        <f aca="true" t="shared" si="25" ref="C106:H106">SUM(C107:C109)</f>
        <v>0</v>
      </c>
      <c r="D106" s="704">
        <f t="shared" si="25"/>
        <v>0</v>
      </c>
      <c r="E106" s="705">
        <f t="shared" si="25"/>
        <v>10582176</v>
      </c>
      <c r="F106" s="703">
        <f t="shared" si="25"/>
        <v>31084318</v>
      </c>
      <c r="G106" s="704">
        <f t="shared" si="25"/>
        <v>0</v>
      </c>
      <c r="H106" s="705">
        <f t="shared" si="25"/>
        <v>0</v>
      </c>
      <c r="I106" s="325">
        <v>1536867</v>
      </c>
      <c r="J106" s="324"/>
      <c r="K106" s="36"/>
    </row>
    <row r="107" spans="1:11" s="7" customFormat="1" ht="15">
      <c r="A107" s="8" t="s">
        <v>194</v>
      </c>
      <c r="B107" s="14" t="s">
        <v>170</v>
      </c>
      <c r="C107" s="699"/>
      <c r="D107" s="700"/>
      <c r="E107" s="701">
        <v>0</v>
      </c>
      <c r="F107" s="699">
        <v>0</v>
      </c>
      <c r="G107" s="700"/>
      <c r="H107" s="701"/>
      <c r="I107" s="325">
        <v>1500000</v>
      </c>
      <c r="J107" s="324"/>
      <c r="K107" s="36"/>
    </row>
    <row r="108" spans="1:11" s="7" customFormat="1" ht="15">
      <c r="A108" s="8" t="s">
        <v>195</v>
      </c>
      <c r="B108" s="14" t="s">
        <v>178</v>
      </c>
      <c r="C108" s="699"/>
      <c r="D108" s="700"/>
      <c r="E108" s="701">
        <v>0</v>
      </c>
      <c r="F108" s="699">
        <v>20258901</v>
      </c>
      <c r="G108" s="700"/>
      <c r="H108" s="701"/>
      <c r="I108" s="325">
        <v>15000000</v>
      </c>
      <c r="J108" s="324"/>
      <c r="K108" s="36"/>
    </row>
    <row r="109" spans="1:11" s="7" customFormat="1" ht="15">
      <c r="A109" s="8" t="s">
        <v>196</v>
      </c>
      <c r="B109" s="14" t="s">
        <v>180</v>
      </c>
      <c r="C109" s="699"/>
      <c r="D109" s="700"/>
      <c r="E109" s="701">
        <v>10582176</v>
      </c>
      <c r="F109" s="702">
        <v>10825417</v>
      </c>
      <c r="G109" s="700"/>
      <c r="H109" s="701"/>
      <c r="I109" s="325">
        <v>15000000</v>
      </c>
      <c r="J109" s="324"/>
      <c r="K109" s="36"/>
    </row>
    <row r="110" spans="1:11" s="7" customFormat="1" ht="15">
      <c r="A110" s="8" t="s">
        <v>197</v>
      </c>
      <c r="B110" s="12" t="s">
        <v>186</v>
      </c>
      <c r="C110" s="699"/>
      <c r="D110" s="700"/>
      <c r="E110" s="701">
        <v>0</v>
      </c>
      <c r="F110" s="699">
        <v>0</v>
      </c>
      <c r="G110" s="700"/>
      <c r="H110" s="701"/>
      <c r="I110" s="325">
        <v>31880460</v>
      </c>
      <c r="J110" s="324"/>
      <c r="K110" s="36"/>
    </row>
    <row r="111" spans="1:11" s="7" customFormat="1" ht="15">
      <c r="A111" s="8" t="s">
        <v>198</v>
      </c>
      <c r="B111" s="12" t="s">
        <v>182</v>
      </c>
      <c r="C111" s="699"/>
      <c r="D111" s="700"/>
      <c r="E111" s="701">
        <v>0</v>
      </c>
      <c r="F111" s="699">
        <v>78380199</v>
      </c>
      <c r="G111" s="700"/>
      <c r="H111" s="701"/>
      <c r="I111" s="325">
        <f>SUM(I103:I110)</f>
        <v>87970327</v>
      </c>
      <c r="J111" s="324"/>
      <c r="K111" s="36"/>
    </row>
    <row r="112" spans="1:11" s="7" customFormat="1" ht="15">
      <c r="A112" s="8" t="s">
        <v>199</v>
      </c>
      <c r="B112" s="12" t="s">
        <v>200</v>
      </c>
      <c r="C112" s="699"/>
      <c r="D112" s="700"/>
      <c r="E112" s="701">
        <v>544237</v>
      </c>
      <c r="F112" s="699">
        <v>87970327</v>
      </c>
      <c r="G112" s="700"/>
      <c r="H112" s="701"/>
      <c r="I112" s="325"/>
      <c r="J112" s="324"/>
      <c r="K112" s="36"/>
    </row>
    <row r="113" spans="1:11" s="7" customFormat="1" ht="15">
      <c r="A113" s="8" t="s">
        <v>201</v>
      </c>
      <c r="B113" s="12" t="s">
        <v>202</v>
      </c>
      <c r="C113" s="699"/>
      <c r="D113" s="700"/>
      <c r="E113" s="701">
        <v>0</v>
      </c>
      <c r="F113" s="699"/>
      <c r="G113" s="700"/>
      <c r="H113" s="701"/>
      <c r="I113" s="325"/>
      <c r="J113" s="324"/>
      <c r="K113" s="36"/>
    </row>
    <row r="114" spans="1:11" s="7" customFormat="1" ht="15.75">
      <c r="A114" s="130" t="s">
        <v>203</v>
      </c>
      <c r="B114" s="113" t="s">
        <v>204</v>
      </c>
      <c r="C114" s="703">
        <f aca="true" t="shared" si="26" ref="C114:H114">SUM(C115:C117)</f>
        <v>0</v>
      </c>
      <c r="D114" s="704">
        <f t="shared" si="26"/>
        <v>0</v>
      </c>
      <c r="E114" s="705">
        <f t="shared" si="26"/>
        <v>251325822</v>
      </c>
      <c r="F114" s="703">
        <f t="shared" si="26"/>
        <v>198956553</v>
      </c>
      <c r="G114" s="704">
        <f t="shared" si="26"/>
        <v>0</v>
      </c>
      <c r="H114" s="705">
        <f t="shared" si="26"/>
        <v>0</v>
      </c>
      <c r="I114" s="325"/>
      <c r="J114" s="324"/>
      <c r="K114" s="36"/>
    </row>
    <row r="115" spans="1:11" s="7" customFormat="1" ht="15">
      <c r="A115" s="13" t="s">
        <v>205</v>
      </c>
      <c r="B115" s="14" t="s">
        <v>206</v>
      </c>
      <c r="C115" s="699"/>
      <c r="D115" s="700"/>
      <c r="E115" s="701">
        <v>150834435</v>
      </c>
      <c r="F115" s="699">
        <v>23000000</v>
      </c>
      <c r="G115" s="700"/>
      <c r="H115" s="701"/>
      <c r="I115" s="325"/>
      <c r="J115" s="324"/>
      <c r="K115" s="36"/>
    </row>
    <row r="116" spans="1:11" s="7" customFormat="1" ht="15">
      <c r="A116" s="13" t="s">
        <v>207</v>
      </c>
      <c r="B116" s="14" t="s">
        <v>208</v>
      </c>
      <c r="C116" s="699"/>
      <c r="D116" s="700"/>
      <c r="E116" s="701">
        <v>0</v>
      </c>
      <c r="F116" s="699">
        <v>0</v>
      </c>
      <c r="G116" s="700"/>
      <c r="H116" s="701"/>
      <c r="I116" s="325"/>
      <c r="J116" s="324"/>
      <c r="K116" s="36"/>
    </row>
    <row r="117" spans="1:11" s="7" customFormat="1" ht="15">
      <c r="A117" s="13" t="s">
        <v>209</v>
      </c>
      <c r="B117" s="14" t="s">
        <v>210</v>
      </c>
      <c r="C117" s="699"/>
      <c r="D117" s="700"/>
      <c r="E117" s="701">
        <v>100491387</v>
      </c>
      <c r="F117" s="702">
        <v>175956553</v>
      </c>
      <c r="G117" s="700"/>
      <c r="H117" s="701"/>
      <c r="I117" s="325"/>
      <c r="J117" s="324"/>
      <c r="K117" s="36"/>
    </row>
    <row r="118" spans="1:11" s="92" customFormat="1" ht="15.75">
      <c r="A118" s="126" t="s">
        <v>211</v>
      </c>
      <c r="B118" s="116" t="s">
        <v>212</v>
      </c>
      <c r="C118" s="703">
        <f aca="true" t="shared" si="27" ref="C118:H118">+C119+C125+C131+C137</f>
        <v>0</v>
      </c>
      <c r="D118" s="704">
        <f t="shared" si="27"/>
        <v>0</v>
      </c>
      <c r="E118" s="705">
        <f t="shared" si="27"/>
        <v>4213621</v>
      </c>
      <c r="F118" s="703">
        <f t="shared" si="27"/>
        <v>269296971</v>
      </c>
      <c r="G118" s="704">
        <f t="shared" si="27"/>
        <v>41169207</v>
      </c>
      <c r="H118" s="705">
        <f t="shared" si="27"/>
        <v>0</v>
      </c>
      <c r="I118" s="325"/>
      <c r="J118" s="324"/>
      <c r="K118" s="36"/>
    </row>
    <row r="119" spans="1:11" s="7" customFormat="1" ht="15.75">
      <c r="A119" s="130" t="s">
        <v>213</v>
      </c>
      <c r="B119" s="113" t="s">
        <v>214</v>
      </c>
      <c r="C119" s="703">
        <f aca="true" t="shared" si="28" ref="C119:H119">SUM(C120:C124)</f>
        <v>0</v>
      </c>
      <c r="D119" s="704">
        <f t="shared" si="28"/>
        <v>0</v>
      </c>
      <c r="E119" s="705">
        <f t="shared" si="28"/>
        <v>4213621</v>
      </c>
      <c r="F119" s="703">
        <f t="shared" si="28"/>
        <v>269296971</v>
      </c>
      <c r="G119" s="704">
        <f t="shared" si="28"/>
        <v>41169207</v>
      </c>
      <c r="H119" s="705">
        <f t="shared" si="28"/>
        <v>0</v>
      </c>
      <c r="I119" s="325"/>
      <c r="J119" s="324"/>
      <c r="K119" s="36"/>
    </row>
    <row r="120" spans="1:11" s="7" customFormat="1" ht="15">
      <c r="A120" s="13" t="s">
        <v>215</v>
      </c>
      <c r="B120" s="14" t="s">
        <v>216</v>
      </c>
      <c r="C120" s="699"/>
      <c r="D120" s="700"/>
      <c r="E120" s="701"/>
      <c r="F120" s="702">
        <v>181741496</v>
      </c>
      <c r="G120" s="700">
        <v>30290249</v>
      </c>
      <c r="H120" s="831"/>
      <c r="I120" s="325"/>
      <c r="J120" s="324"/>
      <c r="K120" s="36"/>
    </row>
    <row r="121" spans="1:11" s="7" customFormat="1" ht="15">
      <c r="A121" s="13" t="s">
        <v>217</v>
      </c>
      <c r="B121" s="14" t="s">
        <v>218</v>
      </c>
      <c r="C121" s="699"/>
      <c r="D121" s="700"/>
      <c r="E121" s="701"/>
      <c r="F121" s="702">
        <v>65273751</v>
      </c>
      <c r="G121" s="700">
        <v>10878958</v>
      </c>
      <c r="H121" s="831"/>
      <c r="I121" s="325"/>
      <c r="J121" s="324"/>
      <c r="K121" s="36"/>
    </row>
    <row r="122" spans="1:11" s="7" customFormat="1" ht="15">
      <c r="A122" s="13" t="s">
        <v>219</v>
      </c>
      <c r="B122" s="14" t="s">
        <v>220</v>
      </c>
      <c r="C122" s="699"/>
      <c r="D122" s="700"/>
      <c r="E122" s="701">
        <v>4213621</v>
      </c>
      <c r="F122" s="702">
        <v>22281724</v>
      </c>
      <c r="G122" s="700"/>
      <c r="H122" s="831"/>
      <c r="I122" s="325"/>
      <c r="J122" s="324"/>
      <c r="K122" s="36"/>
    </row>
    <row r="123" spans="1:11" s="7" customFormat="1" ht="15">
      <c r="A123" s="13" t="s">
        <v>221</v>
      </c>
      <c r="B123" s="14" t="s">
        <v>222</v>
      </c>
      <c r="C123" s="699"/>
      <c r="D123" s="700"/>
      <c r="E123" s="701"/>
      <c r="F123" s="702">
        <v>0</v>
      </c>
      <c r="G123" s="700"/>
      <c r="H123" s="831"/>
      <c r="I123" s="325"/>
      <c r="J123" s="324"/>
      <c r="K123" s="36"/>
    </row>
    <row r="124" spans="1:11" s="7" customFormat="1" ht="15">
      <c r="A124" s="13" t="s">
        <v>223</v>
      </c>
      <c r="B124" s="14" t="s">
        <v>224</v>
      </c>
      <c r="C124" s="699"/>
      <c r="D124" s="700"/>
      <c r="E124" s="701"/>
      <c r="F124" s="702"/>
      <c r="G124" s="700"/>
      <c r="H124" s="831"/>
      <c r="I124" s="325"/>
      <c r="J124" s="324"/>
      <c r="K124" s="36"/>
    </row>
    <row r="125" spans="1:11" s="7" customFormat="1" ht="15.75">
      <c r="A125" s="130" t="s">
        <v>225</v>
      </c>
      <c r="B125" s="113" t="s">
        <v>226</v>
      </c>
      <c r="C125" s="703">
        <f aca="true" t="shared" si="29" ref="C125:H125">+C126+C130</f>
        <v>0</v>
      </c>
      <c r="D125" s="704">
        <f t="shared" si="29"/>
        <v>0</v>
      </c>
      <c r="E125" s="705">
        <f t="shared" si="29"/>
        <v>0</v>
      </c>
      <c r="F125" s="703">
        <f t="shared" si="29"/>
        <v>0</v>
      </c>
      <c r="G125" s="704">
        <f t="shared" si="29"/>
        <v>0</v>
      </c>
      <c r="H125" s="705">
        <f t="shared" si="29"/>
        <v>0</v>
      </c>
      <c r="I125" s="325"/>
      <c r="J125" s="324"/>
      <c r="K125" s="36"/>
    </row>
    <row r="126" spans="1:11" s="7" customFormat="1" ht="15.75">
      <c r="A126" s="130" t="s">
        <v>227</v>
      </c>
      <c r="B126" s="113" t="s">
        <v>168</v>
      </c>
      <c r="C126" s="703">
        <f aca="true" t="shared" si="30" ref="C126:H126">SUM(C127:C129)</f>
        <v>0</v>
      </c>
      <c r="D126" s="704">
        <f t="shared" si="30"/>
        <v>0</v>
      </c>
      <c r="E126" s="705">
        <f t="shared" si="30"/>
        <v>0</v>
      </c>
      <c r="F126" s="703">
        <f t="shared" si="30"/>
        <v>0</v>
      </c>
      <c r="G126" s="704">
        <f t="shared" si="30"/>
        <v>0</v>
      </c>
      <c r="H126" s="705">
        <f t="shared" si="30"/>
        <v>0</v>
      </c>
      <c r="I126" s="325"/>
      <c r="J126" s="324"/>
      <c r="K126" s="36"/>
    </row>
    <row r="127" spans="1:11" s="7" customFormat="1" ht="15">
      <c r="A127" s="13" t="s">
        <v>228</v>
      </c>
      <c r="B127" s="14" t="s">
        <v>170</v>
      </c>
      <c r="C127" s="699"/>
      <c r="D127" s="700"/>
      <c r="E127" s="701">
        <v>0</v>
      </c>
      <c r="F127" s="699"/>
      <c r="G127" s="700"/>
      <c r="H127" s="701"/>
      <c r="I127" s="325"/>
      <c r="J127" s="324"/>
      <c r="K127" s="36"/>
    </row>
    <row r="128" spans="1:11" s="7" customFormat="1" ht="15">
      <c r="A128" s="13" t="s">
        <v>229</v>
      </c>
      <c r="B128" s="14" t="s">
        <v>178</v>
      </c>
      <c r="C128" s="699"/>
      <c r="D128" s="700"/>
      <c r="E128" s="701">
        <v>0</v>
      </c>
      <c r="F128" s="699">
        <v>0</v>
      </c>
      <c r="G128" s="700"/>
      <c r="H128" s="701"/>
      <c r="I128" s="325"/>
      <c r="J128" s="324"/>
      <c r="K128" s="36"/>
    </row>
    <row r="129" spans="1:11" s="7" customFormat="1" ht="15">
      <c r="A129" s="13" t="s">
        <v>230</v>
      </c>
      <c r="B129" s="14" t="s">
        <v>180</v>
      </c>
      <c r="C129" s="699"/>
      <c r="D129" s="700"/>
      <c r="E129" s="701">
        <v>0</v>
      </c>
      <c r="F129" s="699">
        <v>0</v>
      </c>
      <c r="G129" s="700"/>
      <c r="H129" s="701"/>
      <c r="I129" s="325"/>
      <c r="J129" s="324"/>
      <c r="K129" s="36"/>
    </row>
    <row r="130" spans="1:11" s="7" customFormat="1" ht="15">
      <c r="A130" s="13" t="s">
        <v>231</v>
      </c>
      <c r="B130" s="12" t="s">
        <v>182</v>
      </c>
      <c r="C130" s="699"/>
      <c r="D130" s="700"/>
      <c r="E130" s="701">
        <v>0</v>
      </c>
      <c r="F130" s="699">
        <v>0</v>
      </c>
      <c r="G130" s="700"/>
      <c r="H130" s="701"/>
      <c r="I130" s="325"/>
      <c r="J130" s="324"/>
      <c r="K130" s="36"/>
    </row>
    <row r="131" spans="1:11" s="7" customFormat="1" ht="15.75">
      <c r="A131" s="130" t="s">
        <v>219</v>
      </c>
      <c r="B131" s="113" t="s">
        <v>232</v>
      </c>
      <c r="C131" s="703">
        <f aca="true" t="shared" si="31" ref="C131:H131">+C132+C136</f>
        <v>0</v>
      </c>
      <c r="D131" s="704">
        <f t="shared" si="31"/>
        <v>0</v>
      </c>
      <c r="E131" s="705">
        <f t="shared" si="31"/>
        <v>0</v>
      </c>
      <c r="F131" s="703">
        <f t="shared" si="31"/>
        <v>0</v>
      </c>
      <c r="G131" s="704">
        <f t="shared" si="31"/>
        <v>0</v>
      </c>
      <c r="H131" s="705">
        <f t="shared" si="31"/>
        <v>0</v>
      </c>
      <c r="I131" s="325"/>
      <c r="J131" s="324"/>
      <c r="K131" s="36"/>
    </row>
    <row r="132" spans="1:11" s="7" customFormat="1" ht="15.75">
      <c r="A132" s="130" t="s">
        <v>233</v>
      </c>
      <c r="B132" s="113" t="s">
        <v>168</v>
      </c>
      <c r="C132" s="703">
        <f aca="true" t="shared" si="32" ref="C132:H132">SUM(C133:C135)</f>
        <v>0</v>
      </c>
      <c r="D132" s="704">
        <f t="shared" si="32"/>
        <v>0</v>
      </c>
      <c r="E132" s="705">
        <f t="shared" si="32"/>
        <v>0</v>
      </c>
      <c r="F132" s="703">
        <f t="shared" si="32"/>
        <v>0</v>
      </c>
      <c r="G132" s="704">
        <f t="shared" si="32"/>
        <v>0</v>
      </c>
      <c r="H132" s="705">
        <f t="shared" si="32"/>
        <v>0</v>
      </c>
      <c r="I132" s="325"/>
      <c r="J132" s="324"/>
      <c r="K132" s="36"/>
    </row>
    <row r="133" spans="1:11" s="7" customFormat="1" ht="15">
      <c r="A133" s="13" t="s">
        <v>234</v>
      </c>
      <c r="B133" s="14" t="s">
        <v>170</v>
      </c>
      <c r="C133" s="699"/>
      <c r="D133" s="700"/>
      <c r="E133" s="701">
        <v>0</v>
      </c>
      <c r="F133" s="699">
        <v>0</v>
      </c>
      <c r="G133" s="700"/>
      <c r="H133" s="701"/>
      <c r="I133" s="325"/>
      <c r="J133" s="324"/>
      <c r="K133" s="36"/>
    </row>
    <row r="134" spans="1:11" s="7" customFormat="1" ht="15">
      <c r="A134" s="13" t="s">
        <v>235</v>
      </c>
      <c r="B134" s="14" t="s">
        <v>178</v>
      </c>
      <c r="C134" s="699"/>
      <c r="D134" s="700"/>
      <c r="E134" s="701">
        <v>0</v>
      </c>
      <c r="F134" s="699">
        <v>0</v>
      </c>
      <c r="G134" s="700"/>
      <c r="H134" s="701"/>
      <c r="I134" s="325"/>
      <c r="J134" s="324"/>
      <c r="K134" s="36"/>
    </row>
    <row r="135" spans="1:11" s="7" customFormat="1" ht="15">
      <c r="A135" s="13" t="s">
        <v>236</v>
      </c>
      <c r="B135" s="14" t="s">
        <v>180</v>
      </c>
      <c r="C135" s="699"/>
      <c r="D135" s="700"/>
      <c r="E135" s="701">
        <v>0</v>
      </c>
      <c r="F135" s="699">
        <v>0</v>
      </c>
      <c r="G135" s="700"/>
      <c r="H135" s="701"/>
      <c r="I135" s="325"/>
      <c r="J135" s="324"/>
      <c r="K135" s="36"/>
    </row>
    <row r="136" spans="1:11" s="7" customFormat="1" ht="15">
      <c r="A136" s="13" t="s">
        <v>237</v>
      </c>
      <c r="B136" s="12" t="s">
        <v>182</v>
      </c>
      <c r="C136" s="699"/>
      <c r="D136" s="700"/>
      <c r="E136" s="701">
        <v>0</v>
      </c>
      <c r="F136" s="699">
        <v>0</v>
      </c>
      <c r="G136" s="700"/>
      <c r="H136" s="701"/>
      <c r="I136" s="325"/>
      <c r="J136" s="324"/>
      <c r="K136" s="36"/>
    </row>
    <row r="137" spans="1:11" s="7" customFormat="1" ht="15.75">
      <c r="A137" s="130" t="s">
        <v>217</v>
      </c>
      <c r="B137" s="113" t="s">
        <v>238</v>
      </c>
      <c r="C137" s="703">
        <f aca="true" t="shared" si="33" ref="C137:H137">SUM(C138:C141)</f>
        <v>0</v>
      </c>
      <c r="D137" s="704">
        <f t="shared" si="33"/>
        <v>0</v>
      </c>
      <c r="E137" s="705">
        <f t="shared" si="33"/>
        <v>0</v>
      </c>
      <c r="F137" s="703">
        <f t="shared" si="33"/>
        <v>0</v>
      </c>
      <c r="G137" s="704">
        <f t="shared" si="33"/>
        <v>0</v>
      </c>
      <c r="H137" s="705">
        <f t="shared" si="33"/>
        <v>0</v>
      </c>
      <c r="I137" s="325"/>
      <c r="J137" s="324"/>
      <c r="K137" s="36"/>
    </row>
    <row r="138" spans="1:11" s="7" customFormat="1" ht="15">
      <c r="A138" s="13" t="s">
        <v>239</v>
      </c>
      <c r="B138" s="14" t="s">
        <v>240</v>
      </c>
      <c r="C138" s="699"/>
      <c r="D138" s="700"/>
      <c r="E138" s="701">
        <v>0</v>
      </c>
      <c r="F138" s="699"/>
      <c r="G138" s="700"/>
      <c r="H138" s="701"/>
      <c r="I138" s="325"/>
      <c r="J138" s="324"/>
      <c r="K138" s="36"/>
    </row>
    <row r="139" spans="1:11" s="7" customFormat="1" ht="15">
      <c r="A139" s="13" t="s">
        <v>241</v>
      </c>
      <c r="B139" s="35"/>
      <c r="C139" s="699"/>
      <c r="D139" s="700"/>
      <c r="E139" s="701"/>
      <c r="F139" s="699"/>
      <c r="G139" s="700"/>
      <c r="H139" s="701"/>
      <c r="I139" s="325"/>
      <c r="J139" s="324"/>
      <c r="K139" s="36"/>
    </row>
    <row r="140" spans="1:11" s="7" customFormat="1" ht="15">
      <c r="A140" s="13" t="s">
        <v>242</v>
      </c>
      <c r="B140" s="35"/>
      <c r="C140" s="699"/>
      <c r="D140" s="700"/>
      <c r="E140" s="701"/>
      <c r="F140" s="699"/>
      <c r="G140" s="700"/>
      <c r="H140" s="701"/>
      <c r="I140" s="325"/>
      <c r="J140" s="324"/>
      <c r="K140" s="36"/>
    </row>
    <row r="141" spans="1:11" s="7" customFormat="1" ht="15">
      <c r="A141" s="13" t="s">
        <v>243</v>
      </c>
      <c r="B141" s="14" t="s">
        <v>105</v>
      </c>
      <c r="C141" s="699"/>
      <c r="D141" s="700"/>
      <c r="E141" s="701">
        <v>0</v>
      </c>
      <c r="F141" s="699"/>
      <c r="G141" s="700"/>
      <c r="H141" s="701"/>
      <c r="I141" s="325"/>
      <c r="J141" s="324"/>
      <c r="K141" s="36"/>
    </row>
    <row r="142" spans="1:11" s="7" customFormat="1" ht="15.75">
      <c r="A142" s="130">
        <v>2.2</v>
      </c>
      <c r="B142" s="134" t="s">
        <v>244</v>
      </c>
      <c r="C142" s="703">
        <f aca="true" t="shared" si="34" ref="C142:H142">+C143+C146</f>
        <v>0</v>
      </c>
      <c r="D142" s="704">
        <f t="shared" si="34"/>
        <v>0</v>
      </c>
      <c r="E142" s="705">
        <f t="shared" si="34"/>
        <v>731378966</v>
      </c>
      <c r="F142" s="703">
        <f t="shared" si="34"/>
        <v>732674400</v>
      </c>
      <c r="G142" s="704">
        <f t="shared" si="34"/>
        <v>0</v>
      </c>
      <c r="H142" s="705">
        <f t="shared" si="34"/>
        <v>0</v>
      </c>
      <c r="I142" s="325"/>
      <c r="J142" s="324"/>
      <c r="K142" s="36"/>
    </row>
    <row r="143" spans="1:11" s="7" customFormat="1" ht="15.75">
      <c r="A143" s="114" t="s">
        <v>245</v>
      </c>
      <c r="B143" s="113" t="s">
        <v>246</v>
      </c>
      <c r="C143" s="703">
        <f aca="true" t="shared" si="35" ref="C143:H143">SUM(C144:C145)</f>
        <v>0</v>
      </c>
      <c r="D143" s="704">
        <f t="shared" si="35"/>
        <v>0</v>
      </c>
      <c r="E143" s="705">
        <f t="shared" si="35"/>
        <v>292551586</v>
      </c>
      <c r="F143" s="703">
        <f t="shared" si="35"/>
        <v>293069760</v>
      </c>
      <c r="G143" s="704">
        <f t="shared" si="35"/>
        <v>0</v>
      </c>
      <c r="H143" s="705">
        <f t="shared" si="35"/>
        <v>0</v>
      </c>
      <c r="I143" s="325"/>
      <c r="J143" s="324"/>
      <c r="K143" s="36"/>
    </row>
    <row r="144" spans="1:15" s="7" customFormat="1" ht="15">
      <c r="A144" s="8" t="s">
        <v>247</v>
      </c>
      <c r="B144" s="14" t="s">
        <v>248</v>
      </c>
      <c r="C144" s="699"/>
      <c r="D144" s="700"/>
      <c r="E144" s="701">
        <v>292551586</v>
      </c>
      <c r="F144" s="702">
        <v>293069760</v>
      </c>
      <c r="G144" s="706"/>
      <c r="H144" s="707"/>
      <c r="J144" s="324"/>
      <c r="K144" s="36"/>
      <c r="L144" s="325"/>
      <c r="M144" s="334"/>
      <c r="N144" s="334"/>
      <c r="O144" s="334"/>
    </row>
    <row r="145" spans="1:11" s="7" customFormat="1" ht="15">
      <c r="A145" s="8" t="s">
        <v>249</v>
      </c>
      <c r="B145" s="14" t="s">
        <v>250</v>
      </c>
      <c r="C145" s="699"/>
      <c r="D145" s="700"/>
      <c r="E145" s="701">
        <v>0</v>
      </c>
      <c r="F145" s="699"/>
      <c r="G145" s="700" t="s">
        <v>21</v>
      </c>
      <c r="H145" s="701">
        <v>0</v>
      </c>
      <c r="I145" s="325"/>
      <c r="J145" s="324"/>
      <c r="K145" s="36"/>
    </row>
    <row r="146" spans="1:11" s="7" customFormat="1" ht="15.75">
      <c r="A146" s="114" t="s">
        <v>251</v>
      </c>
      <c r="B146" s="113" t="s">
        <v>252</v>
      </c>
      <c r="C146" s="703">
        <f aca="true" t="shared" si="36" ref="C146:H146">SUM(C147:C150)</f>
        <v>0</v>
      </c>
      <c r="D146" s="704">
        <f t="shared" si="36"/>
        <v>0</v>
      </c>
      <c r="E146" s="705">
        <f t="shared" si="36"/>
        <v>438827380</v>
      </c>
      <c r="F146" s="703">
        <f t="shared" si="36"/>
        <v>439604640</v>
      </c>
      <c r="G146" s="704">
        <f t="shared" si="36"/>
        <v>0</v>
      </c>
      <c r="H146" s="705">
        <f t="shared" si="36"/>
        <v>0</v>
      </c>
      <c r="I146" s="325"/>
      <c r="J146" s="324"/>
      <c r="K146" s="36"/>
    </row>
    <row r="147" spans="1:12" s="7" customFormat="1" ht="15">
      <c r="A147" s="9" t="s">
        <v>253</v>
      </c>
      <c r="B147" s="14" t="s">
        <v>254</v>
      </c>
      <c r="C147" s="699"/>
      <c r="D147" s="700"/>
      <c r="E147" s="701">
        <v>438827380</v>
      </c>
      <c r="F147" s="702">
        <v>439604640</v>
      </c>
      <c r="G147" s="706"/>
      <c r="H147" s="707">
        <v>0</v>
      </c>
      <c r="J147" s="324"/>
      <c r="K147" s="36"/>
      <c r="L147" s="325"/>
    </row>
    <row r="148" spans="1:12" s="7" customFormat="1" ht="15">
      <c r="A148" s="9" t="s">
        <v>255</v>
      </c>
      <c r="B148" s="14" t="s">
        <v>256</v>
      </c>
      <c r="C148" s="699"/>
      <c r="D148" s="700"/>
      <c r="E148" s="701">
        <v>0</v>
      </c>
      <c r="F148" s="702">
        <v>0</v>
      </c>
      <c r="G148" s="706"/>
      <c r="H148" s="707">
        <v>0</v>
      </c>
      <c r="J148" s="324"/>
      <c r="K148" s="36"/>
      <c r="L148" s="325"/>
    </row>
    <row r="149" spans="1:12" s="7" customFormat="1" ht="15">
      <c r="A149" s="9" t="s">
        <v>257</v>
      </c>
      <c r="B149" s="14" t="s">
        <v>258</v>
      </c>
      <c r="C149" s="699"/>
      <c r="D149" s="700"/>
      <c r="E149" s="701">
        <v>0</v>
      </c>
      <c r="F149" s="702">
        <v>0</v>
      </c>
      <c r="G149" s="706"/>
      <c r="H149" s="707">
        <v>0</v>
      </c>
      <c r="J149" s="324"/>
      <c r="K149" s="36"/>
      <c r="L149" s="325"/>
    </row>
    <row r="150" spans="1:11" s="7" customFormat="1" ht="15">
      <c r="A150" s="9" t="s">
        <v>259</v>
      </c>
      <c r="B150" s="14" t="s">
        <v>260</v>
      </c>
      <c r="C150" s="708"/>
      <c r="D150" s="709"/>
      <c r="E150" s="710">
        <v>0</v>
      </c>
      <c r="F150" s="699">
        <v>0</v>
      </c>
      <c r="G150" s="700"/>
      <c r="H150" s="701">
        <v>0</v>
      </c>
      <c r="I150" s="325"/>
      <c r="J150" s="324"/>
      <c r="K150" s="36"/>
    </row>
    <row r="151" spans="1:11" s="7" customFormat="1" ht="15.75">
      <c r="A151" s="112">
        <v>2.3</v>
      </c>
      <c r="B151" s="134" t="s">
        <v>261</v>
      </c>
      <c r="C151" s="703">
        <f aca="true" t="shared" si="37" ref="C151:H151">SUM(C152:C153)</f>
        <v>0</v>
      </c>
      <c r="D151" s="704">
        <f t="shared" si="37"/>
        <v>0</v>
      </c>
      <c r="E151" s="705">
        <f t="shared" si="37"/>
        <v>619253164</v>
      </c>
      <c r="F151" s="703">
        <f t="shared" si="37"/>
        <v>107000000</v>
      </c>
      <c r="G151" s="704">
        <f t="shared" si="37"/>
        <v>0</v>
      </c>
      <c r="H151" s="705">
        <f t="shared" si="37"/>
        <v>0</v>
      </c>
      <c r="I151" s="325"/>
      <c r="J151" s="324"/>
      <c r="K151" s="36"/>
    </row>
    <row r="152" spans="1:11" s="7" customFormat="1" ht="15">
      <c r="A152" s="9" t="s">
        <v>262</v>
      </c>
      <c r="B152" s="14" t="s">
        <v>263</v>
      </c>
      <c r="C152" s="708">
        <f aca="true" t="shared" si="38" ref="C152:H152">SUM(C159:C167)</f>
        <v>0</v>
      </c>
      <c r="D152" s="709">
        <f t="shared" si="38"/>
        <v>0</v>
      </c>
      <c r="E152" s="710">
        <f t="shared" si="38"/>
        <v>619253164</v>
      </c>
      <c r="F152" s="708">
        <f t="shared" si="38"/>
        <v>107000000</v>
      </c>
      <c r="G152" s="709">
        <f t="shared" si="38"/>
        <v>0</v>
      </c>
      <c r="H152" s="710">
        <f t="shared" si="38"/>
        <v>0</v>
      </c>
      <c r="I152" s="325"/>
      <c r="J152" s="324"/>
      <c r="K152" s="36"/>
    </row>
    <row r="153" spans="1:11" s="7" customFormat="1" ht="15">
      <c r="A153" s="9" t="s">
        <v>264</v>
      </c>
      <c r="B153" s="14" t="s">
        <v>265</v>
      </c>
      <c r="C153" s="699"/>
      <c r="D153" s="700"/>
      <c r="E153" s="701"/>
      <c r="F153" s="699"/>
      <c r="G153" s="700"/>
      <c r="H153" s="701"/>
      <c r="I153" s="325"/>
      <c r="J153" s="324"/>
      <c r="K153" s="36"/>
    </row>
    <row r="154" spans="1:11" s="7" customFormat="1" ht="15.75">
      <c r="A154" s="112">
        <v>2.4</v>
      </c>
      <c r="B154" s="113" t="s">
        <v>266</v>
      </c>
      <c r="C154" s="703">
        <f aca="true" t="shared" si="39" ref="C154:H154">SUM(C155:C156)</f>
        <v>0</v>
      </c>
      <c r="D154" s="704">
        <f t="shared" si="39"/>
        <v>0</v>
      </c>
      <c r="E154" s="705">
        <f t="shared" si="39"/>
        <v>193825420</v>
      </c>
      <c r="F154" s="703">
        <f t="shared" si="39"/>
        <v>0</v>
      </c>
      <c r="G154" s="704">
        <f t="shared" si="39"/>
        <v>0</v>
      </c>
      <c r="H154" s="705">
        <f t="shared" si="39"/>
        <v>0</v>
      </c>
      <c r="I154" s="325"/>
      <c r="J154" s="324"/>
      <c r="K154" s="36"/>
    </row>
    <row r="155" spans="1:11" s="7" customFormat="1" ht="15">
      <c r="A155" s="9" t="s">
        <v>267</v>
      </c>
      <c r="B155" s="14" t="s">
        <v>268</v>
      </c>
      <c r="C155" s="699"/>
      <c r="D155" s="700"/>
      <c r="E155" s="701">
        <v>93648713</v>
      </c>
      <c r="F155" s="699"/>
      <c r="G155" s="700"/>
      <c r="H155" s="701">
        <v>0</v>
      </c>
      <c r="I155" s="325"/>
      <c r="J155" s="324"/>
      <c r="K155" s="36"/>
    </row>
    <row r="156" spans="1:11" s="7" customFormat="1" ht="15.75" thickBot="1">
      <c r="A156" s="10" t="s">
        <v>269</v>
      </c>
      <c r="B156" s="38" t="s">
        <v>270</v>
      </c>
      <c r="C156" s="711"/>
      <c r="D156" s="712"/>
      <c r="E156" s="713">
        <v>100176707</v>
      </c>
      <c r="F156" s="711"/>
      <c r="G156" s="712"/>
      <c r="H156" s="713">
        <v>0</v>
      </c>
      <c r="I156" s="325"/>
      <c r="J156" s="324"/>
      <c r="K156" s="36"/>
    </row>
    <row r="157" spans="1:9" ht="8.25" customHeight="1" thickBot="1">
      <c r="A157" s="135"/>
      <c r="C157" s="714"/>
      <c r="D157" s="715"/>
      <c r="E157" s="716"/>
      <c r="F157" s="716"/>
      <c r="G157" s="716"/>
      <c r="H157" s="717"/>
      <c r="I157" s="147"/>
    </row>
    <row r="158" spans="1:10" s="358" customFormat="1" ht="30.75" thickBot="1">
      <c r="A158" s="353"/>
      <c r="B158" s="354" t="s">
        <v>271</v>
      </c>
      <c r="C158" s="718">
        <v>1996</v>
      </c>
      <c r="D158" s="719">
        <v>1997</v>
      </c>
      <c r="E158" s="718">
        <v>1998</v>
      </c>
      <c r="F158" s="719" t="s">
        <v>623</v>
      </c>
      <c r="G158" s="720" t="s">
        <v>628</v>
      </c>
      <c r="H158" s="719" t="s">
        <v>629</v>
      </c>
      <c r="J158" s="359"/>
    </row>
    <row r="159" spans="1:10" s="358" customFormat="1" ht="14.25">
      <c r="A159" s="353"/>
      <c r="B159" s="721" t="s">
        <v>274</v>
      </c>
      <c r="C159" s="699"/>
      <c r="D159" s="700"/>
      <c r="E159" s="701">
        <v>0</v>
      </c>
      <c r="F159" s="699">
        <v>107000000</v>
      </c>
      <c r="G159" s="700"/>
      <c r="H159" s="701"/>
      <c r="J159" s="359"/>
    </row>
    <row r="160" spans="1:10" s="358" customFormat="1" ht="14.25">
      <c r="A160" s="353"/>
      <c r="B160" s="722" t="s">
        <v>275</v>
      </c>
      <c r="C160" s="699"/>
      <c r="D160" s="700"/>
      <c r="E160" s="701">
        <v>48979724</v>
      </c>
      <c r="F160" s="699"/>
      <c r="G160" s="700"/>
      <c r="H160" s="701"/>
      <c r="J160" s="359"/>
    </row>
    <row r="161" spans="1:10" s="358" customFormat="1" ht="14.25">
      <c r="A161" s="353"/>
      <c r="B161" s="722" t="s">
        <v>276</v>
      </c>
      <c r="C161" s="699"/>
      <c r="D161" s="700"/>
      <c r="E161" s="701">
        <v>77284495</v>
      </c>
      <c r="F161" s="699"/>
      <c r="G161" s="700"/>
      <c r="H161" s="701"/>
      <c r="J161" s="359"/>
    </row>
    <row r="162" spans="1:10" s="358" customFormat="1" ht="14.25">
      <c r="A162" s="353"/>
      <c r="B162" s="722" t="s">
        <v>277</v>
      </c>
      <c r="C162" s="699"/>
      <c r="D162" s="700"/>
      <c r="E162" s="701">
        <v>93779026</v>
      </c>
      <c r="F162" s="699"/>
      <c r="G162" s="700"/>
      <c r="H162" s="701"/>
      <c r="J162" s="359"/>
    </row>
    <row r="163" spans="1:10" s="358" customFormat="1" ht="14.25">
      <c r="A163" s="353"/>
      <c r="B163" s="722" t="s">
        <v>278</v>
      </c>
      <c r="C163" s="699"/>
      <c r="D163" s="700"/>
      <c r="E163" s="701">
        <v>0</v>
      </c>
      <c r="F163" s="699"/>
      <c r="G163" s="700"/>
      <c r="H163" s="701"/>
      <c r="J163" s="359"/>
    </row>
    <row r="164" spans="1:10" s="358" customFormat="1" ht="14.25">
      <c r="A164" s="353"/>
      <c r="B164" s="722" t="s">
        <v>279</v>
      </c>
      <c r="C164" s="699"/>
      <c r="D164" s="700"/>
      <c r="E164" s="701">
        <v>80053240</v>
      </c>
      <c r="F164" s="699"/>
      <c r="G164" s="700"/>
      <c r="H164" s="701"/>
      <c r="J164" s="359"/>
    </row>
    <row r="165" spans="1:10" s="358" customFormat="1" ht="14.25">
      <c r="A165" s="353"/>
      <c r="B165" s="722" t="s">
        <v>280</v>
      </c>
      <c r="C165" s="699"/>
      <c r="D165" s="700"/>
      <c r="E165" s="701">
        <v>0</v>
      </c>
      <c r="F165" s="699"/>
      <c r="G165" s="700"/>
      <c r="H165" s="701"/>
      <c r="J165" s="359"/>
    </row>
    <row r="166" spans="1:10" s="358" customFormat="1" ht="14.25">
      <c r="A166" s="353"/>
      <c r="B166" s="722" t="s">
        <v>281</v>
      </c>
      <c r="C166" s="699"/>
      <c r="D166" s="700"/>
      <c r="E166" s="701">
        <v>202563569</v>
      </c>
      <c r="F166" s="699"/>
      <c r="G166" s="700"/>
      <c r="H166" s="701"/>
      <c r="J166" s="359"/>
    </row>
    <row r="167" spans="1:10" s="358" customFormat="1" ht="15" thickBot="1">
      <c r="A167" s="353"/>
      <c r="B167" s="723" t="s">
        <v>64</v>
      </c>
      <c r="C167" s="711"/>
      <c r="D167" s="712"/>
      <c r="E167" s="713">
        <v>116593110</v>
      </c>
      <c r="F167" s="711"/>
      <c r="G167" s="712"/>
      <c r="H167" s="713"/>
      <c r="J167" s="359"/>
    </row>
    <row r="168" spans="1:8" s="149" customFormat="1" ht="12.75">
      <c r="A168" s="374"/>
      <c r="B168" s="20"/>
      <c r="C168" s="21"/>
      <c r="D168" s="21"/>
      <c r="E168" s="21"/>
      <c r="F168" s="21"/>
      <c r="G168" s="21"/>
      <c r="H168" s="93"/>
    </row>
    <row r="170" spans="1:7" ht="18">
      <c r="A170" s="186" t="s">
        <v>630</v>
      </c>
      <c r="B170" s="7"/>
      <c r="C170" s="7"/>
      <c r="G170" s="180"/>
    </row>
  </sheetData>
  <printOptions horizontalCentered="1" verticalCentered="1"/>
  <pageMargins left="0.5905511811023623" right="0.3937007874015748" top="0.5511811023622047" bottom="0.7086614173228347" header="0.3" footer="0.31496062992125984"/>
  <pageSetup horizontalDpi="240" verticalDpi="240" orientation="portrait" scale="55" r:id="rId3"/>
  <headerFooter alignWithMargins="0">
    <oddFooter>&amp;L&amp;F / &amp;A &amp;D&amp;RPágina &amp;P de &amp;N</oddFooter>
  </headerFooter>
  <rowBreaks count="1" manualBreakCount="1">
    <brk id="82" max="655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3:O167"/>
  <sheetViews>
    <sheetView workbookViewId="0" topLeftCell="A83">
      <selection activeCell="A1" sqref="A1"/>
    </sheetView>
  </sheetViews>
  <sheetFormatPr defaultColWidth="11.5546875" defaultRowHeight="7.5" customHeight="1"/>
  <cols>
    <col min="2" max="2" width="53.4453125" style="0" customWidth="1"/>
  </cols>
  <sheetData>
    <row r="1" ht="7.5" customHeight="1" hidden="1"/>
    <row r="2" ht="7.5" customHeight="1" hidden="1"/>
    <row r="3" ht="7.5" customHeight="1" hidden="1"/>
    <row r="4" ht="7.5" customHeight="1" hidden="1"/>
    <row r="5" ht="7.5" customHeight="1" hidden="1"/>
    <row r="6" ht="7.5" customHeight="1" hidden="1"/>
    <row r="7" ht="7.5" customHeight="1" hidden="1"/>
    <row r="8" ht="7.5" customHeight="1" hidden="1"/>
    <row r="9" ht="7.5" customHeight="1" hidden="1"/>
    <row r="10" ht="7.5" customHeight="1" hidden="1"/>
    <row r="11" ht="7.5" customHeight="1" hidden="1"/>
    <row r="12" ht="7.5" customHeight="1" hidden="1"/>
    <row r="13" ht="7.5" customHeight="1" hidden="1"/>
    <row r="14" ht="7.5" customHeight="1" hidden="1"/>
    <row r="15" ht="7.5" customHeight="1" hidden="1"/>
    <row r="16" ht="7.5" customHeight="1" hidden="1"/>
    <row r="17" ht="7.5" customHeight="1" hidden="1"/>
    <row r="18" ht="7.5" customHeight="1" hidden="1"/>
    <row r="19" ht="7.5" customHeight="1" hidden="1"/>
    <row r="20" ht="7.5" customHeight="1" hidden="1"/>
    <row r="21" ht="7.5" customHeight="1" hidden="1"/>
    <row r="22" ht="7.5" customHeight="1" hidden="1"/>
    <row r="23" ht="7.5" customHeight="1" hidden="1"/>
    <row r="24" ht="7.5" customHeight="1" hidden="1"/>
    <row r="25" ht="7.5" customHeight="1" hidden="1"/>
    <row r="26" ht="7.5" customHeight="1" hidden="1"/>
    <row r="27" ht="7.5" customHeight="1" hidden="1"/>
    <row r="28" ht="7.5" customHeight="1" hidden="1"/>
    <row r="29" ht="7.5" customHeight="1" hidden="1"/>
    <row r="30" ht="7.5" customHeight="1" hidden="1"/>
    <row r="31" ht="7.5" customHeight="1" hidden="1"/>
    <row r="32" ht="7.5" customHeight="1" hidden="1"/>
    <row r="33" ht="7.5" customHeight="1" hidden="1"/>
    <row r="34" ht="7.5" customHeight="1" hidden="1"/>
    <row r="35" ht="7.5" customHeight="1" hidden="1"/>
    <row r="36" ht="7.5" customHeight="1" hidden="1"/>
    <row r="37" ht="7.5" customHeight="1" hidden="1"/>
    <row r="38" ht="7.5" customHeight="1" hidden="1"/>
    <row r="39" ht="7.5" customHeight="1" hidden="1"/>
    <row r="40" ht="7.5" customHeight="1" hidden="1"/>
    <row r="41" ht="7.5" customHeight="1" hidden="1"/>
    <row r="42" ht="7.5" customHeight="1" hidden="1"/>
    <row r="43" ht="7.5" customHeight="1" hidden="1"/>
    <row r="44" ht="7.5" customHeight="1" hidden="1"/>
    <row r="45" ht="7.5" customHeight="1" hidden="1"/>
    <row r="46" ht="7.5" customHeight="1" hidden="1"/>
    <row r="47" ht="7.5" customHeight="1" hidden="1"/>
    <row r="48" ht="7.5" customHeight="1" hidden="1"/>
    <row r="49" ht="7.5" customHeight="1" hidden="1"/>
    <row r="50" ht="7.5" customHeight="1" hidden="1"/>
    <row r="51" ht="7.5" customHeight="1" hidden="1"/>
    <row r="52" ht="7.5" customHeight="1" hidden="1"/>
    <row r="53" ht="7.5" customHeight="1" hidden="1"/>
    <row r="54" ht="7.5" customHeight="1" hidden="1"/>
    <row r="55" ht="7.5" customHeight="1" hidden="1"/>
    <row r="56" ht="7.5" customHeight="1" hidden="1"/>
    <row r="57" ht="7.5" customHeight="1" hidden="1"/>
    <row r="58" ht="7.5" customHeight="1" hidden="1"/>
    <row r="59" ht="7.5" customHeight="1" hidden="1"/>
    <row r="60" ht="7.5" customHeight="1" hidden="1"/>
    <row r="61" ht="7.5" customHeight="1" hidden="1"/>
    <row r="62" ht="7.5" customHeight="1" hidden="1"/>
    <row r="63" ht="7.5" customHeight="1" hidden="1"/>
    <row r="64" ht="7.5" customHeight="1" hidden="1"/>
    <row r="65" ht="7.5" customHeight="1" hidden="1"/>
    <row r="66" ht="7.5" customHeight="1" hidden="1"/>
    <row r="67" ht="7.5" customHeight="1" hidden="1"/>
    <row r="68" ht="7.5" customHeight="1" hidden="1"/>
    <row r="69" ht="7.5" customHeight="1" hidden="1"/>
    <row r="70" ht="7.5" customHeight="1" hidden="1"/>
    <row r="71" ht="7.5" customHeight="1" hidden="1"/>
    <row r="72" ht="7.5" customHeight="1" hidden="1"/>
    <row r="73" ht="7.5" customHeight="1" hidden="1"/>
    <row r="74" ht="7.5" customHeight="1" hidden="1"/>
    <row r="75" ht="7.5" customHeight="1" hidden="1"/>
    <row r="76" ht="7.5" customHeight="1" hidden="1"/>
    <row r="77" ht="7.5" customHeight="1" hidden="1"/>
    <row r="78" ht="7.5" customHeight="1" hidden="1"/>
    <row r="79" ht="7.5" customHeight="1" hidden="1"/>
    <row r="80" ht="14.25" customHeight="1" hidden="1"/>
    <row r="81" ht="14.25" customHeight="1" hidden="1"/>
    <row r="82" ht="15" customHeight="1" hidden="1"/>
    <row r="83" spans="1:10" s="36" customFormat="1" ht="15" customHeight="1">
      <c r="A83" s="95"/>
      <c r="B83" s="118"/>
      <c r="C83" s="118"/>
      <c r="D83" s="119"/>
      <c r="E83" s="119"/>
      <c r="F83" s="119"/>
      <c r="G83" s="120"/>
      <c r="H83" s="118"/>
      <c r="I83" s="325"/>
      <c r="J83" s="324"/>
    </row>
    <row r="84" spans="1:10" s="36" customFormat="1" ht="15" customHeight="1" thickBot="1">
      <c r="A84" s="94" t="s">
        <v>156</v>
      </c>
      <c r="B84" s="94"/>
      <c r="C84" s="94"/>
      <c r="D84" s="94"/>
      <c r="E84" s="94"/>
      <c r="F84" s="94"/>
      <c r="G84" s="94"/>
      <c r="H84" s="94"/>
      <c r="I84" s="325"/>
      <c r="J84" s="324"/>
    </row>
    <row r="85" spans="1:10" s="36" customFormat="1" ht="15" customHeight="1" thickBot="1">
      <c r="A85" s="95"/>
      <c r="B85" s="95" t="s">
        <v>157</v>
      </c>
      <c r="C85" s="234" t="str">
        <f>+'INGR. Y EGRE SEC CENT'!C2</f>
        <v>ARIGUANI</v>
      </c>
      <c r="D85" s="94"/>
      <c r="E85" s="120" t="s">
        <v>2</v>
      </c>
      <c r="F85" s="228">
        <f>+F2</f>
        <v>0</v>
      </c>
      <c r="G85" s="94"/>
      <c r="H85" s="94"/>
      <c r="I85" s="325"/>
      <c r="J85" s="324"/>
    </row>
    <row r="86" spans="1:10" s="36" customFormat="1" ht="15" customHeight="1" thickBot="1">
      <c r="A86" s="96" t="s">
        <v>158</v>
      </c>
      <c r="B86" s="96"/>
      <c r="C86" s="96"/>
      <c r="D86" s="96"/>
      <c r="E86" s="96"/>
      <c r="F86" s="96"/>
      <c r="G86" s="96"/>
      <c r="H86" s="96"/>
      <c r="I86" s="325"/>
      <c r="J86" s="324"/>
    </row>
    <row r="87" spans="1:10" s="36" customFormat="1" ht="15" customHeight="1" thickBot="1">
      <c r="A87" s="97" t="s">
        <v>4</v>
      </c>
      <c r="B87" s="98"/>
      <c r="C87" s="99" t="s">
        <v>24</v>
      </c>
      <c r="D87" s="100"/>
      <c r="E87" s="101"/>
      <c r="F87" s="99" t="s">
        <v>25</v>
      </c>
      <c r="G87" s="100"/>
      <c r="H87" s="101"/>
      <c r="I87" s="325"/>
      <c r="J87" s="324"/>
    </row>
    <row r="88" spans="1:10" s="36" customFormat="1" ht="27.75" customHeight="1" thickBot="1">
      <c r="A88" s="102" t="s">
        <v>159</v>
      </c>
      <c r="B88" s="103"/>
      <c r="C88" s="104">
        <v>1995</v>
      </c>
      <c r="D88" s="121">
        <v>1996</v>
      </c>
      <c r="E88" s="105">
        <v>1997</v>
      </c>
      <c r="F88" s="104" t="s">
        <v>26</v>
      </c>
      <c r="G88" s="106" t="s">
        <v>160</v>
      </c>
      <c r="H88" s="107" t="s">
        <v>27</v>
      </c>
      <c r="I88" s="331"/>
      <c r="J88" s="324"/>
    </row>
    <row r="89" spans="1:11" s="80" customFormat="1" ht="15" customHeight="1">
      <c r="A89" s="122">
        <f>+'INGR. Y EGRE SEC CENT'!A89</f>
        <v>2</v>
      </c>
      <c r="B89" s="123" t="str">
        <f>+'INGR. Y EGRE SEC CENT'!B89</f>
        <v>TOTAL GASTOS</v>
      </c>
      <c r="C89" s="124">
        <f aca="true" t="shared" si="0" ref="C89:H89">+C90+C142+C151+C154</f>
        <v>0</v>
      </c>
      <c r="D89" s="141">
        <f t="shared" si="0"/>
        <v>0</v>
      </c>
      <c r="E89" s="125">
        <f t="shared" si="0"/>
        <v>0</v>
      </c>
      <c r="F89" s="124">
        <f t="shared" si="0"/>
        <v>0</v>
      </c>
      <c r="G89" s="141">
        <f t="shared" si="0"/>
        <v>0</v>
      </c>
      <c r="H89" s="125">
        <f t="shared" si="0"/>
        <v>0</v>
      </c>
      <c r="I89" s="325"/>
      <c r="J89" s="324"/>
      <c r="K89" s="36"/>
    </row>
    <row r="90" spans="1:11" s="92" customFormat="1" ht="15" customHeight="1">
      <c r="A90" s="126">
        <f>+'INGR. Y EGRE SEC CENT'!A90</f>
        <v>2.1</v>
      </c>
      <c r="B90" s="127" t="str">
        <f>+'INGR. Y EGRE SEC CENT'!B90</f>
        <v>GASTOS DE FUNCIONAMIENTO</v>
      </c>
      <c r="C90" s="128">
        <f aca="true" t="shared" si="1" ref="C90:H90">+C91+C114+C118</f>
        <v>0</v>
      </c>
      <c r="D90" s="142">
        <f t="shared" si="1"/>
        <v>0</v>
      </c>
      <c r="E90" s="129">
        <f t="shared" si="1"/>
        <v>0</v>
      </c>
      <c r="F90" s="128">
        <f t="shared" si="1"/>
        <v>0</v>
      </c>
      <c r="G90" s="142">
        <f t="shared" si="1"/>
        <v>0</v>
      </c>
      <c r="H90" s="129">
        <f t="shared" si="1"/>
        <v>0</v>
      </c>
      <c r="I90" s="325"/>
      <c r="J90" s="324"/>
      <c r="K90" s="36"/>
    </row>
    <row r="91" spans="1:11" s="93" customFormat="1" ht="15" customHeight="1">
      <c r="A91" s="130" t="str">
        <f>+'INGR. Y EGRE SEC CENT'!A91</f>
        <v>2.1.1</v>
      </c>
      <c r="B91" s="131" t="str">
        <f>+'INGR. Y EGRE SEC CENT'!B91</f>
        <v>GASTOS DE PERSONAL</v>
      </c>
      <c r="C91" s="132">
        <f aca="true" t="shared" si="2" ref="C91:H91">+C92+C101+C104+C113</f>
        <v>0</v>
      </c>
      <c r="D91" s="143">
        <f t="shared" si="2"/>
        <v>0</v>
      </c>
      <c r="E91" s="133">
        <f t="shared" si="2"/>
        <v>0</v>
      </c>
      <c r="F91" s="132">
        <f t="shared" si="2"/>
        <v>0</v>
      </c>
      <c r="G91" s="143">
        <f t="shared" si="2"/>
        <v>0</v>
      </c>
      <c r="H91" s="133">
        <f t="shared" si="2"/>
        <v>0</v>
      </c>
      <c r="I91" s="325"/>
      <c r="J91" s="324"/>
      <c r="K91" s="36"/>
    </row>
    <row r="92" spans="1:11" s="7" customFormat="1" ht="15" customHeight="1">
      <c r="A92" s="114" t="str">
        <f>+'INGR. Y EGRE SEC CENT'!A92</f>
        <v>2.1.1.1</v>
      </c>
      <c r="B92" s="113" t="str">
        <f>+'INGR. Y EGRE SEC CENT'!B92</f>
        <v>Servicios Personales Asociados a la Nomina</v>
      </c>
      <c r="C92" s="132">
        <f aca="true" t="shared" si="3" ref="C92:H92">+C93+C100</f>
        <v>0</v>
      </c>
      <c r="D92" s="143">
        <f t="shared" si="3"/>
        <v>0</v>
      </c>
      <c r="E92" s="133">
        <f t="shared" si="3"/>
        <v>0</v>
      </c>
      <c r="F92" s="132">
        <f t="shared" si="3"/>
        <v>0</v>
      </c>
      <c r="G92" s="143">
        <f t="shared" si="3"/>
        <v>0</v>
      </c>
      <c r="H92" s="133">
        <f t="shared" si="3"/>
        <v>0</v>
      </c>
      <c r="I92" s="325"/>
      <c r="J92" s="324"/>
      <c r="K92" s="36"/>
    </row>
    <row r="93" spans="1:11" s="7" customFormat="1" ht="15" customHeight="1">
      <c r="A93" s="114" t="str">
        <f>+'INGR. Y EGRE SEC CENT'!A93</f>
        <v>2.1.1.1.1</v>
      </c>
      <c r="B93" s="113" t="str">
        <f>+'INGR. Y EGRE SEC CENT'!B93</f>
        <v>Empleados Públicos</v>
      </c>
      <c r="C93" s="132">
        <f aca="true" t="shared" si="4" ref="C93:H93">+C94+C98+C99</f>
        <v>0</v>
      </c>
      <c r="D93" s="143">
        <f t="shared" si="4"/>
        <v>0</v>
      </c>
      <c r="E93" s="133">
        <f t="shared" si="4"/>
        <v>0</v>
      </c>
      <c r="F93" s="132">
        <f t="shared" si="4"/>
        <v>0</v>
      </c>
      <c r="G93" s="143">
        <f t="shared" si="4"/>
        <v>0</v>
      </c>
      <c r="H93" s="133">
        <f t="shared" si="4"/>
        <v>0</v>
      </c>
      <c r="I93" s="325"/>
      <c r="J93" s="324"/>
      <c r="K93" s="36"/>
    </row>
    <row r="94" spans="1:11" s="7" customFormat="1" ht="15" customHeight="1">
      <c r="A94" s="114" t="str">
        <f>+'INGR. Y EGRE SEC CENT'!A94</f>
        <v>2.1.1.1.1.1</v>
      </c>
      <c r="B94" s="113" t="str">
        <f>+'INGR. Y EGRE SEC CENT'!B94</f>
        <v>Educadores</v>
      </c>
      <c r="C94" s="132">
        <f aca="true" t="shared" si="5" ref="C94:H94">SUM(C95:C97)</f>
        <v>0</v>
      </c>
      <c r="D94" s="143">
        <f t="shared" si="5"/>
        <v>0</v>
      </c>
      <c r="E94" s="133">
        <f t="shared" si="5"/>
        <v>0</v>
      </c>
      <c r="F94" s="132">
        <f t="shared" si="5"/>
        <v>0</v>
      </c>
      <c r="G94" s="143">
        <f t="shared" si="5"/>
        <v>0</v>
      </c>
      <c r="H94" s="133">
        <f t="shared" si="5"/>
        <v>0</v>
      </c>
      <c r="I94" s="325"/>
      <c r="J94" s="324"/>
      <c r="K94" s="36"/>
    </row>
    <row r="95" spans="1:11" s="7" customFormat="1" ht="15" customHeight="1">
      <c r="A95" s="8" t="str">
        <f>+'INGR. Y EGRE SEC CENT'!A95</f>
        <v>2.1.1.1.1.1.1</v>
      </c>
      <c r="B95" s="14" t="str">
        <f>+'INGR. Y EGRE SEC CENT'!B95</f>
        <v>Educadores Financiados con Ingresos Corrientes de la Nación</v>
      </c>
      <c r="C95" s="155"/>
      <c r="D95" s="156"/>
      <c r="E95" s="157"/>
      <c r="F95" s="155"/>
      <c r="G95" s="156"/>
      <c r="H95" s="157"/>
      <c r="I95" s="325"/>
      <c r="J95" s="324"/>
      <c r="K95" s="36"/>
    </row>
    <row r="96" spans="1:11" s="7" customFormat="1" ht="15" customHeight="1">
      <c r="A96" s="8" t="str">
        <f>+'INGR. Y EGRE SEC CENT'!A96</f>
        <v>2.1.1.1.1.1.2</v>
      </c>
      <c r="B96" s="14" t="str">
        <f>+'INGR. Y EGRE SEC CENT'!B96</f>
        <v>Educadores Financiados con Situado Fiscal</v>
      </c>
      <c r="C96" s="155"/>
      <c r="D96" s="156"/>
      <c r="E96" s="157"/>
      <c r="F96" s="155"/>
      <c r="G96" s="156"/>
      <c r="H96" s="157"/>
      <c r="I96" s="325"/>
      <c r="J96" s="324"/>
      <c r="K96" s="36"/>
    </row>
    <row r="97" spans="1:11" s="7" customFormat="1" ht="15" customHeight="1">
      <c r="A97" s="8" t="str">
        <f>+'INGR. Y EGRE SEC CENT'!A97</f>
        <v>2.1.1.1.1.1.3</v>
      </c>
      <c r="B97" s="14" t="str">
        <f>+'INGR. Y EGRE SEC CENT'!B97</f>
        <v>Educadores Financiados con Otros Recursos</v>
      </c>
      <c r="C97" s="15"/>
      <c r="D97" s="144"/>
      <c r="E97" s="16"/>
      <c r="F97" s="15"/>
      <c r="G97" s="144"/>
      <c r="H97" s="16"/>
      <c r="I97" s="325"/>
      <c r="J97" s="324"/>
      <c r="K97" s="36"/>
    </row>
    <row r="98" spans="1:11" s="7" customFormat="1" ht="15" customHeight="1">
      <c r="A98" s="8" t="str">
        <f>+'INGR. Y EGRE SEC CENT'!A98</f>
        <v>2.1.1.1.1.2</v>
      </c>
      <c r="B98" s="14" t="str">
        <f>+'INGR. Y EGRE SEC CENT'!B98</f>
        <v>Médicos, Enfermeros(as) y Promotores de la Salud</v>
      </c>
      <c r="C98" s="15"/>
      <c r="D98" s="144"/>
      <c r="E98" s="16"/>
      <c r="F98" s="15"/>
      <c r="G98" s="144"/>
      <c r="H98" s="16"/>
      <c r="I98" s="325"/>
      <c r="J98" s="324"/>
      <c r="K98" s="36"/>
    </row>
    <row r="99" spans="1:11" s="7" customFormat="1" ht="15" customHeight="1">
      <c r="A99" s="8" t="str">
        <f>+'INGR. Y EGRE SEC CENT'!A99</f>
        <v>2.1.1.1.1.3</v>
      </c>
      <c r="B99" s="14" t="str">
        <f>+'INGR. Y EGRE SEC CENT'!B99</f>
        <v>Resto de Empleados Públicos</v>
      </c>
      <c r="C99" s="15"/>
      <c r="D99" s="144"/>
      <c r="E99" s="16"/>
      <c r="F99" s="329"/>
      <c r="G99" s="144"/>
      <c r="H99" s="16"/>
      <c r="I99" s="325"/>
      <c r="J99" s="324"/>
      <c r="K99" s="36"/>
    </row>
    <row r="100" spans="1:11" s="7" customFormat="1" ht="15" customHeight="1">
      <c r="A100" s="8" t="str">
        <f>+'INGR. Y EGRE SEC CENT'!A100</f>
        <v>2.1.1.1.2</v>
      </c>
      <c r="B100" s="12" t="str">
        <f>+'INGR. Y EGRE SEC CENT'!B100</f>
        <v>Trabajadores Oficiales</v>
      </c>
      <c r="C100" s="15"/>
      <c r="D100" s="144"/>
      <c r="E100" s="16"/>
      <c r="F100" s="15"/>
      <c r="G100" s="144"/>
      <c r="H100" s="16"/>
      <c r="I100" s="325"/>
      <c r="J100" s="324"/>
      <c r="K100" s="36"/>
    </row>
    <row r="101" spans="1:11" s="7" customFormat="1" ht="15" customHeight="1">
      <c r="A101" s="114" t="str">
        <f>+'INGR. Y EGRE SEC CENT'!A101</f>
        <v>2.1.1.2</v>
      </c>
      <c r="B101" s="113" t="str">
        <f>+'INGR. Y EGRE SEC CENT'!B101</f>
        <v>Servicios Personales Indirectos </v>
      </c>
      <c r="C101" s="132">
        <f aca="true" t="shared" si="6" ref="C101:H101">SUM(C102:C103)</f>
        <v>0</v>
      </c>
      <c r="D101" s="143">
        <f t="shared" si="6"/>
        <v>0</v>
      </c>
      <c r="E101" s="133">
        <f t="shared" si="6"/>
        <v>0</v>
      </c>
      <c r="F101" s="132">
        <f t="shared" si="6"/>
        <v>0</v>
      </c>
      <c r="G101" s="143">
        <f t="shared" si="6"/>
        <v>0</v>
      </c>
      <c r="H101" s="133">
        <f t="shared" si="6"/>
        <v>0</v>
      </c>
      <c r="I101" s="325"/>
      <c r="J101" s="324"/>
      <c r="K101" s="36"/>
    </row>
    <row r="102" spans="1:11" s="7" customFormat="1" ht="15" customHeight="1">
      <c r="A102" s="8" t="str">
        <f>+'INGR. Y EGRE SEC CENT'!A102</f>
        <v>2.1.1.2.1</v>
      </c>
      <c r="B102" s="14" t="str">
        <f>+'INGR. Y EGRE SEC CENT'!B102</f>
        <v>Supernumerarios</v>
      </c>
      <c r="C102" s="15"/>
      <c r="D102" s="144"/>
      <c r="E102" s="16"/>
      <c r="F102" s="15"/>
      <c r="G102" s="144"/>
      <c r="H102" s="16"/>
      <c r="I102" s="325"/>
      <c r="J102" s="324"/>
      <c r="K102" s="36"/>
    </row>
    <row r="103" spans="1:11" s="7" customFormat="1" ht="15" customHeight="1">
      <c r="A103" s="8" t="str">
        <f>+'INGR. Y EGRE SEC CENT'!A103</f>
        <v>2.1.1.2.2</v>
      </c>
      <c r="B103" s="14" t="str">
        <f>+'INGR. Y EGRE SEC CENT'!B103</f>
        <v>Contratos de Prestación de Servicios</v>
      </c>
      <c r="C103" s="15"/>
      <c r="D103" s="144"/>
      <c r="E103" s="16"/>
      <c r="F103" s="15"/>
      <c r="G103" s="144"/>
      <c r="H103" s="16"/>
      <c r="I103" s="325"/>
      <c r="J103" s="324"/>
      <c r="K103" s="36"/>
    </row>
    <row r="104" spans="1:11" s="7" customFormat="1" ht="15" customHeight="1">
      <c r="A104" s="114" t="str">
        <f>+'INGR. Y EGRE SEC CENT'!A104</f>
        <v>2.1.1.3</v>
      </c>
      <c r="B104" s="113" t="str">
        <f>+'INGR. Y EGRE SEC CENT'!B104</f>
        <v>Contribuciones inherentes a la nomina :</v>
      </c>
      <c r="C104" s="132">
        <f aca="true" t="shared" si="7" ref="C104:H104">+C105+C112</f>
        <v>0</v>
      </c>
      <c r="D104" s="143">
        <f t="shared" si="7"/>
        <v>0</v>
      </c>
      <c r="E104" s="133">
        <f t="shared" si="7"/>
        <v>0</v>
      </c>
      <c r="F104" s="132">
        <f t="shared" si="7"/>
        <v>0</v>
      </c>
      <c r="G104" s="143">
        <f t="shared" si="7"/>
        <v>0</v>
      </c>
      <c r="H104" s="133">
        <f t="shared" si="7"/>
        <v>0</v>
      </c>
      <c r="I104" s="325"/>
      <c r="J104" s="324"/>
      <c r="K104" s="36"/>
    </row>
    <row r="105" spans="1:11" s="7" customFormat="1" ht="15" customHeight="1">
      <c r="A105" s="114" t="str">
        <f>+'INGR. Y EGRE SEC CENT'!A105</f>
        <v>2.1.1.3.1</v>
      </c>
      <c r="B105" s="113" t="str">
        <f>+'INGR. Y EGRE SEC CENT'!B105</f>
        <v>Previsión Social</v>
      </c>
      <c r="C105" s="132">
        <f aca="true" t="shared" si="8" ref="C105:H105">+C106+C110+C111</f>
        <v>0</v>
      </c>
      <c r="D105" s="143">
        <f t="shared" si="8"/>
        <v>0</v>
      </c>
      <c r="E105" s="133">
        <f t="shared" si="8"/>
        <v>0</v>
      </c>
      <c r="F105" s="132">
        <f t="shared" si="8"/>
        <v>0</v>
      </c>
      <c r="G105" s="143">
        <f t="shared" si="8"/>
        <v>0</v>
      </c>
      <c r="H105" s="133">
        <f t="shared" si="8"/>
        <v>0</v>
      </c>
      <c r="I105" s="325"/>
      <c r="J105" s="324"/>
      <c r="K105" s="36"/>
    </row>
    <row r="106" spans="1:11" s="7" customFormat="1" ht="15" customHeight="1">
      <c r="A106" s="114" t="str">
        <f>+'INGR. Y EGRE SEC CENT'!A106</f>
        <v>2.1.1.3.1.1</v>
      </c>
      <c r="B106" s="113" t="str">
        <f>+'INGR. Y EGRE SEC CENT'!B106</f>
        <v>Empleados Públicos</v>
      </c>
      <c r="C106" s="132">
        <f aca="true" t="shared" si="9" ref="C106:H106">SUM(C107:C109)</f>
        <v>0</v>
      </c>
      <c r="D106" s="143">
        <f t="shared" si="9"/>
        <v>0</v>
      </c>
      <c r="E106" s="133">
        <f t="shared" si="9"/>
        <v>0</v>
      </c>
      <c r="F106" s="132">
        <f t="shared" si="9"/>
        <v>0</v>
      </c>
      <c r="G106" s="143">
        <f t="shared" si="9"/>
        <v>0</v>
      </c>
      <c r="H106" s="133">
        <f t="shared" si="9"/>
        <v>0</v>
      </c>
      <c r="I106" s="325"/>
      <c r="J106" s="324"/>
      <c r="K106" s="36"/>
    </row>
    <row r="107" spans="1:11" s="7" customFormat="1" ht="15" customHeight="1">
      <c r="A107" s="8" t="str">
        <f>+'INGR. Y EGRE SEC CENT'!A107</f>
        <v>2.1.1.3.1.1.1</v>
      </c>
      <c r="B107" s="14" t="str">
        <f>+'INGR. Y EGRE SEC CENT'!B107</f>
        <v>Educadores</v>
      </c>
      <c r="C107" s="15"/>
      <c r="D107" s="144"/>
      <c r="E107" s="16"/>
      <c r="F107" s="15"/>
      <c r="G107" s="144"/>
      <c r="H107" s="16"/>
      <c r="I107" s="325"/>
      <c r="J107" s="324"/>
      <c r="K107" s="36"/>
    </row>
    <row r="108" spans="1:11" s="7" customFormat="1" ht="15" customHeight="1">
      <c r="A108" s="8" t="str">
        <f>+'INGR. Y EGRE SEC CENT'!A108</f>
        <v>2.1.1.3.1.1.2</v>
      </c>
      <c r="B108" s="14" t="str">
        <f>+'INGR. Y EGRE SEC CENT'!B108</f>
        <v>Médicos, Enfermeros(as) y Promotores de la Salud</v>
      </c>
      <c r="C108" s="15"/>
      <c r="D108" s="144"/>
      <c r="E108" s="16"/>
      <c r="F108" s="15"/>
      <c r="G108" s="144"/>
      <c r="H108" s="16"/>
      <c r="I108" s="325"/>
      <c r="J108" s="324"/>
      <c r="K108" s="36"/>
    </row>
    <row r="109" spans="1:11" s="7" customFormat="1" ht="15" customHeight="1">
      <c r="A109" s="8" t="str">
        <f>+'INGR. Y EGRE SEC CENT'!A109</f>
        <v>2.1.1.3.1.1.3</v>
      </c>
      <c r="B109" s="14" t="str">
        <f>+'INGR. Y EGRE SEC CENT'!B109</f>
        <v>Resto de Empleados Públicos</v>
      </c>
      <c r="C109" s="15"/>
      <c r="D109" s="144"/>
      <c r="E109" s="16"/>
      <c r="F109" s="329"/>
      <c r="G109" s="144"/>
      <c r="H109" s="16"/>
      <c r="I109" s="325"/>
      <c r="J109" s="324"/>
      <c r="K109" s="36"/>
    </row>
    <row r="110" spans="1:11" s="7" customFormat="1" ht="15" customHeight="1">
      <c r="A110" s="8" t="str">
        <f>+'INGR. Y EGRE SEC CENT'!A110</f>
        <v>2.1.1.3.1.2</v>
      </c>
      <c r="B110" s="12" t="str">
        <f>+'INGR. Y EGRE SEC CENT'!B110</f>
        <v>Supernumerarios</v>
      </c>
      <c r="C110" s="15"/>
      <c r="D110" s="144"/>
      <c r="E110" s="16"/>
      <c r="F110" s="15"/>
      <c r="G110" s="144"/>
      <c r="H110" s="16"/>
      <c r="I110" s="325"/>
      <c r="J110" s="324"/>
      <c r="K110" s="36"/>
    </row>
    <row r="111" spans="1:11" s="7" customFormat="1" ht="15" customHeight="1">
      <c r="A111" s="8" t="str">
        <f>+'INGR. Y EGRE SEC CENT'!A111</f>
        <v>2.1.1.3.1.3</v>
      </c>
      <c r="B111" s="12" t="str">
        <f>+'INGR. Y EGRE SEC CENT'!B111</f>
        <v>Trabajadores Oficiales</v>
      </c>
      <c r="C111" s="15"/>
      <c r="D111" s="144"/>
      <c r="E111" s="16"/>
      <c r="F111" s="15"/>
      <c r="G111" s="144"/>
      <c r="H111" s="16"/>
      <c r="I111" s="325"/>
      <c r="J111" s="324"/>
      <c r="K111" s="36"/>
    </row>
    <row r="112" spans="1:11" s="7" customFormat="1" ht="15" customHeight="1">
      <c r="A112" s="8" t="str">
        <f>+'INGR. Y EGRE SEC CENT'!A112</f>
        <v>2.1.1.3.2</v>
      </c>
      <c r="B112" s="12" t="str">
        <f>+'INGR. Y EGRE SEC CENT'!B112</f>
        <v>Aportes Legales (Sena, ICBF, Cajas Compensación, etc)</v>
      </c>
      <c r="C112" s="15"/>
      <c r="D112" s="144"/>
      <c r="E112" s="16"/>
      <c r="F112" s="15"/>
      <c r="G112" s="144"/>
      <c r="H112" s="16"/>
      <c r="I112" s="325"/>
      <c r="J112" s="324"/>
      <c r="K112" s="36"/>
    </row>
    <row r="113" spans="1:11" s="7" customFormat="1" ht="15" customHeight="1">
      <c r="A113" s="8" t="str">
        <f>+'INGR. Y EGRE SEC CENT'!A113</f>
        <v>2.1.1.4</v>
      </c>
      <c r="B113" s="12" t="str">
        <f>+'INGR. Y EGRE SEC CENT'!B113</f>
        <v>Planes de Retiro</v>
      </c>
      <c r="C113" s="15"/>
      <c r="D113" s="144"/>
      <c r="E113" s="16"/>
      <c r="F113" s="15"/>
      <c r="G113" s="144"/>
      <c r="H113" s="16"/>
      <c r="I113" s="325"/>
      <c r="J113" s="324"/>
      <c r="K113" s="36"/>
    </row>
    <row r="114" spans="1:11" s="7" customFormat="1" ht="15" customHeight="1">
      <c r="A114" s="130" t="str">
        <f>+'INGR. Y EGRE SEC CENT'!A114</f>
        <v>2.1.2</v>
      </c>
      <c r="B114" s="113" t="str">
        <f>+'INGR. Y EGRE SEC CENT'!B114</f>
        <v>GASTOS GENERALES</v>
      </c>
      <c r="C114" s="132">
        <f aca="true" t="shared" si="10" ref="C114:H114">SUM(C115:C117)</f>
        <v>0</v>
      </c>
      <c r="D114" s="143">
        <f t="shared" si="10"/>
        <v>0</v>
      </c>
      <c r="E114" s="133">
        <f t="shared" si="10"/>
        <v>0</v>
      </c>
      <c r="F114" s="132">
        <f t="shared" si="10"/>
        <v>0</v>
      </c>
      <c r="G114" s="143">
        <f t="shared" si="10"/>
        <v>0</v>
      </c>
      <c r="H114" s="133">
        <f t="shared" si="10"/>
        <v>0</v>
      </c>
      <c r="I114" s="325"/>
      <c r="J114" s="324"/>
      <c r="K114" s="36"/>
    </row>
    <row r="115" spans="1:11" s="7" customFormat="1" ht="15" customHeight="1">
      <c r="A115" s="13" t="str">
        <f>+'INGR. Y EGRE SEC CENT'!A115</f>
        <v>2.1.2.1</v>
      </c>
      <c r="B115" s="14" t="str">
        <f>+'INGR. Y EGRE SEC CENT'!B115</f>
        <v>Adquisición de Bienes y Servicios</v>
      </c>
      <c r="C115" s="15"/>
      <c r="D115" s="144"/>
      <c r="E115" s="16"/>
      <c r="F115" s="15"/>
      <c r="G115" s="144"/>
      <c r="H115" s="16"/>
      <c r="I115" s="325"/>
      <c r="J115" s="324"/>
      <c r="K115" s="36"/>
    </row>
    <row r="116" spans="1:11" s="7" customFormat="1" ht="15" customHeight="1">
      <c r="A116" s="13" t="str">
        <f>+'INGR. Y EGRE SEC CENT'!A116</f>
        <v>2.1.2.2</v>
      </c>
      <c r="B116" s="14" t="str">
        <f>+'INGR. Y EGRE SEC CENT'!B116</f>
        <v>Impuestos y  Multas </v>
      </c>
      <c r="C116" s="15"/>
      <c r="D116" s="144"/>
      <c r="E116" s="16"/>
      <c r="F116" s="15"/>
      <c r="G116" s="144"/>
      <c r="H116" s="16"/>
      <c r="I116" s="325"/>
      <c r="J116" s="324"/>
      <c r="K116" s="36"/>
    </row>
    <row r="117" spans="1:11" s="7" customFormat="1" ht="15" customHeight="1">
      <c r="A117" s="13" t="str">
        <f>+'INGR. Y EGRE SEC CENT'!A117</f>
        <v>2.1.2.3</v>
      </c>
      <c r="B117" s="14" t="str">
        <f>+'INGR. Y EGRE SEC CENT'!B117</f>
        <v>Otros Gastos Generales </v>
      </c>
      <c r="C117" s="15"/>
      <c r="D117" s="144"/>
      <c r="E117" s="16"/>
      <c r="F117" s="329"/>
      <c r="G117" s="144"/>
      <c r="H117" s="16"/>
      <c r="I117" s="325"/>
      <c r="J117" s="324"/>
      <c r="K117" s="36"/>
    </row>
    <row r="118" spans="1:11" s="92" customFormat="1" ht="15" customHeight="1">
      <c r="A118" s="126" t="str">
        <f>+'INGR. Y EGRE SEC CENT'!A118</f>
        <v>2.1.3</v>
      </c>
      <c r="B118" s="116" t="str">
        <f>+'INGR. Y EGRE SEC CENT'!B118</f>
        <v>TRANSFERENCIAS DEL MUNICIPIO</v>
      </c>
      <c r="C118" s="128">
        <f aca="true" t="shared" si="11" ref="C118:H118">+C119+C125+C131+C137</f>
        <v>0</v>
      </c>
      <c r="D118" s="142">
        <f t="shared" si="11"/>
        <v>0</v>
      </c>
      <c r="E118" s="129">
        <f t="shared" si="11"/>
        <v>0</v>
      </c>
      <c r="F118" s="128">
        <f t="shared" si="11"/>
        <v>0</v>
      </c>
      <c r="G118" s="142">
        <f t="shared" si="11"/>
        <v>0</v>
      </c>
      <c r="H118" s="129">
        <f t="shared" si="11"/>
        <v>0</v>
      </c>
      <c r="I118" s="325"/>
      <c r="J118" s="324"/>
      <c r="K118" s="36"/>
    </row>
    <row r="119" spans="1:11" s="7" customFormat="1" ht="15" customHeight="1">
      <c r="A119" s="130" t="str">
        <f>+'INGR. Y EGRE SEC CENT'!A119</f>
        <v>2.1.3.1</v>
      </c>
      <c r="B119" s="113" t="str">
        <f>+'INGR. Y EGRE SEC CENT'!B119</f>
        <v>Transferencias al Sector Público</v>
      </c>
      <c r="C119" s="132">
        <f aca="true" t="shared" si="12" ref="C119:H119">SUM(C120:C124)</f>
        <v>0</v>
      </c>
      <c r="D119" s="143">
        <f t="shared" si="12"/>
        <v>0</v>
      </c>
      <c r="E119" s="133">
        <f t="shared" si="12"/>
        <v>0</v>
      </c>
      <c r="F119" s="132">
        <f t="shared" si="12"/>
        <v>0</v>
      </c>
      <c r="G119" s="143">
        <f t="shared" si="12"/>
        <v>0</v>
      </c>
      <c r="H119" s="133">
        <f t="shared" si="12"/>
        <v>0</v>
      </c>
      <c r="I119" s="325"/>
      <c r="J119" s="324"/>
      <c r="K119" s="36"/>
    </row>
    <row r="120" spans="1:11" s="7" customFormat="1" ht="15" customHeight="1">
      <c r="A120" s="13" t="str">
        <f>+'INGR. Y EGRE SEC CENT'!A120</f>
        <v>2.1.3.1.1</v>
      </c>
      <c r="B120" s="14" t="str">
        <f>+'INGR. Y EGRE SEC CENT'!B120</f>
        <v>Concejo</v>
      </c>
      <c r="C120" s="236"/>
      <c r="D120" s="237"/>
      <c r="E120" s="238"/>
      <c r="F120" s="330"/>
      <c r="G120" s="156"/>
      <c r="H120" s="157"/>
      <c r="I120" s="325"/>
      <c r="J120" s="324"/>
      <c r="K120" s="36"/>
    </row>
    <row r="121" spans="1:11" s="7" customFormat="1" ht="15" customHeight="1">
      <c r="A121" s="13" t="str">
        <f>+'INGR. Y EGRE SEC CENT'!A121</f>
        <v>2.1.3.1.2</v>
      </c>
      <c r="B121" s="14" t="str">
        <f>+'INGR. Y EGRE SEC CENT'!B121</f>
        <v>Personería</v>
      </c>
      <c r="C121" s="15"/>
      <c r="D121" s="144"/>
      <c r="E121" s="16"/>
      <c r="F121" s="329"/>
      <c r="G121" s="144"/>
      <c r="H121" s="16"/>
      <c r="I121" s="325"/>
      <c r="J121" s="324"/>
      <c r="K121" s="36"/>
    </row>
    <row r="122" spans="1:11" s="7" customFormat="1" ht="15" customHeight="1">
      <c r="A122" s="13" t="str">
        <f>+'INGR. Y EGRE SEC CENT'!A122</f>
        <v>2.1.3.1.3</v>
      </c>
      <c r="B122" s="14" t="str">
        <f>+'INGR. Y EGRE SEC CENT'!B122</f>
        <v>Contraloría</v>
      </c>
      <c r="C122" s="15"/>
      <c r="D122" s="144"/>
      <c r="E122" s="16"/>
      <c r="F122" s="329"/>
      <c r="G122" s="144"/>
      <c r="H122" s="16"/>
      <c r="I122" s="325"/>
      <c r="J122" s="324"/>
      <c r="K122" s="36"/>
    </row>
    <row r="123" spans="1:11" s="7" customFormat="1" ht="15" customHeight="1">
      <c r="A123" s="13" t="str">
        <f>+'INGR. Y EGRE SEC CENT'!A123</f>
        <v>2.1.3.1.4</v>
      </c>
      <c r="B123" s="14" t="str">
        <f>+'INGR. Y EGRE SEC CENT'!B123</f>
        <v>Entidades Descentralizadas (Especificar en Anexo)</v>
      </c>
      <c r="C123" s="15"/>
      <c r="D123" s="144"/>
      <c r="E123" s="16"/>
      <c r="F123" s="329"/>
      <c r="G123" s="144"/>
      <c r="H123" s="16"/>
      <c r="I123" s="325"/>
      <c r="J123" s="324"/>
      <c r="K123" s="36"/>
    </row>
    <row r="124" spans="1:11" s="7" customFormat="1" ht="15" customHeight="1">
      <c r="A124" s="13" t="str">
        <f>+'INGR. Y EGRE SEC CENT'!A124</f>
        <v>2.1.3.1.5</v>
      </c>
      <c r="B124" s="14" t="str">
        <f>+'INGR. Y EGRE SEC CENT'!B124</f>
        <v>Otras Entidades (Especificar en Anexo)</v>
      </c>
      <c r="C124" s="15"/>
      <c r="D124" s="144"/>
      <c r="E124" s="16"/>
      <c r="F124" s="329"/>
      <c r="G124" s="144"/>
      <c r="H124" s="16"/>
      <c r="I124" s="325"/>
      <c r="J124" s="324"/>
      <c r="K124" s="36"/>
    </row>
    <row r="125" spans="1:11" s="7" customFormat="1" ht="15" customHeight="1">
      <c r="A125" s="130" t="str">
        <f>+'INGR. Y EGRE SEC CENT'!A125</f>
        <v>2.1.3.2</v>
      </c>
      <c r="B125" s="113" t="str">
        <f>+'INGR. Y EGRE SEC CENT'!B125</f>
        <v>Transferencias al Fondo Territorial de Pensiones</v>
      </c>
      <c r="C125" s="132">
        <f aca="true" t="shared" si="13" ref="C125:H125">+C126+C130</f>
        <v>0</v>
      </c>
      <c r="D125" s="143">
        <f t="shared" si="13"/>
        <v>0</v>
      </c>
      <c r="E125" s="133">
        <f t="shared" si="13"/>
        <v>0</v>
      </c>
      <c r="F125" s="132">
        <f t="shared" si="13"/>
        <v>0</v>
      </c>
      <c r="G125" s="143">
        <f t="shared" si="13"/>
        <v>0</v>
      </c>
      <c r="H125" s="133">
        <f t="shared" si="13"/>
        <v>0</v>
      </c>
      <c r="I125" s="325"/>
      <c r="J125" s="324"/>
      <c r="K125" s="36"/>
    </row>
    <row r="126" spans="1:11" s="7" customFormat="1" ht="15" customHeight="1">
      <c r="A126" s="130" t="str">
        <f>+'INGR. Y EGRE SEC CENT'!A126</f>
        <v>2.1.3.2.1</v>
      </c>
      <c r="B126" s="113" t="str">
        <f>+'INGR. Y EGRE SEC CENT'!B126</f>
        <v>Empleados Públicos</v>
      </c>
      <c r="C126" s="132">
        <f aca="true" t="shared" si="14" ref="C126:H126">SUM(C127:C129)</f>
        <v>0</v>
      </c>
      <c r="D126" s="143">
        <f t="shared" si="14"/>
        <v>0</v>
      </c>
      <c r="E126" s="133">
        <f t="shared" si="14"/>
        <v>0</v>
      </c>
      <c r="F126" s="132">
        <f t="shared" si="14"/>
        <v>0</v>
      </c>
      <c r="G126" s="143">
        <f t="shared" si="14"/>
        <v>0</v>
      </c>
      <c r="H126" s="133">
        <f t="shared" si="14"/>
        <v>0</v>
      </c>
      <c r="I126" s="325"/>
      <c r="J126" s="324"/>
      <c r="K126" s="36"/>
    </row>
    <row r="127" spans="1:11" s="7" customFormat="1" ht="15" customHeight="1">
      <c r="A127" s="13" t="str">
        <f>+'INGR. Y EGRE SEC CENT'!A127</f>
        <v>2.1.3.2.1.1</v>
      </c>
      <c r="B127" s="14" t="str">
        <f>+'INGR. Y EGRE SEC CENT'!B127</f>
        <v>Educadores</v>
      </c>
      <c r="C127" s="15"/>
      <c r="D127" s="144"/>
      <c r="E127" s="16"/>
      <c r="F127" s="15"/>
      <c r="G127" s="144"/>
      <c r="H127" s="16"/>
      <c r="I127" s="325"/>
      <c r="J127" s="324"/>
      <c r="K127" s="36"/>
    </row>
    <row r="128" spans="1:11" s="7" customFormat="1" ht="15" customHeight="1">
      <c r="A128" s="13" t="str">
        <f>+'INGR. Y EGRE SEC CENT'!A128</f>
        <v>2.1.3.2.1.2</v>
      </c>
      <c r="B128" s="14" t="str">
        <f>+'INGR. Y EGRE SEC CENT'!B128</f>
        <v>Médicos, Enfermeros(as) y Promotores de la Salud</v>
      </c>
      <c r="C128" s="15"/>
      <c r="D128" s="144"/>
      <c r="E128" s="16"/>
      <c r="F128" s="15"/>
      <c r="G128" s="144"/>
      <c r="H128" s="16"/>
      <c r="I128" s="325"/>
      <c r="J128" s="324"/>
      <c r="K128" s="36"/>
    </row>
    <row r="129" spans="1:11" s="7" customFormat="1" ht="15" customHeight="1">
      <c r="A129" s="13" t="str">
        <f>+'INGR. Y EGRE SEC CENT'!A129</f>
        <v>2.1.3.2.1.3</v>
      </c>
      <c r="B129" s="14" t="str">
        <f>+'INGR. Y EGRE SEC CENT'!B129</f>
        <v>Resto de Empleados Públicos</v>
      </c>
      <c r="C129" s="15"/>
      <c r="D129" s="144"/>
      <c r="E129" s="16"/>
      <c r="F129" s="15"/>
      <c r="G129" s="144"/>
      <c r="H129" s="16"/>
      <c r="I129" s="325"/>
      <c r="J129" s="324"/>
      <c r="K129" s="36"/>
    </row>
    <row r="130" spans="1:11" s="7" customFormat="1" ht="15" customHeight="1">
      <c r="A130" s="13" t="str">
        <f>+'INGR. Y EGRE SEC CENT'!A130</f>
        <v>2.1.3.2.2</v>
      </c>
      <c r="B130" s="12" t="str">
        <f>+'INGR. Y EGRE SEC CENT'!B130</f>
        <v>Trabajadores Oficiales</v>
      </c>
      <c r="C130" s="15"/>
      <c r="D130" s="144"/>
      <c r="E130" s="16"/>
      <c r="F130" s="15"/>
      <c r="G130" s="144"/>
      <c r="H130" s="16"/>
      <c r="I130" s="325"/>
      <c r="J130" s="324"/>
      <c r="K130" s="36"/>
    </row>
    <row r="131" spans="1:11" s="7" customFormat="1" ht="15" customHeight="1">
      <c r="A131" s="130" t="str">
        <f>+'INGR. Y EGRE SEC CENT'!A131</f>
        <v>2.1.3.1.3</v>
      </c>
      <c r="B131" s="113" t="str">
        <f>+'INGR. Y EGRE SEC CENT'!B131</f>
        <v>Transferencias al Fondo Territorial de Cesantías (Provisiones)</v>
      </c>
      <c r="C131" s="132">
        <f aca="true" t="shared" si="15" ref="C131:H131">+C132+C136</f>
        <v>0</v>
      </c>
      <c r="D131" s="143">
        <f t="shared" si="15"/>
        <v>0</v>
      </c>
      <c r="E131" s="133">
        <f t="shared" si="15"/>
        <v>0</v>
      </c>
      <c r="F131" s="132">
        <f t="shared" si="15"/>
        <v>0</v>
      </c>
      <c r="G131" s="143">
        <f t="shared" si="15"/>
        <v>0</v>
      </c>
      <c r="H131" s="133">
        <f t="shared" si="15"/>
        <v>0</v>
      </c>
      <c r="I131" s="325"/>
      <c r="J131" s="324"/>
      <c r="K131" s="36"/>
    </row>
    <row r="132" spans="1:11" s="7" customFormat="1" ht="15" customHeight="1">
      <c r="A132" s="130" t="str">
        <f>+'INGR. Y EGRE SEC CENT'!A132</f>
        <v>2.1.3.1.3.1</v>
      </c>
      <c r="B132" s="113" t="str">
        <f>+'INGR. Y EGRE SEC CENT'!B132</f>
        <v>Empleados Públicos</v>
      </c>
      <c r="C132" s="132">
        <f aca="true" t="shared" si="16" ref="C132:H132">SUM(C133:C135)</f>
        <v>0</v>
      </c>
      <c r="D132" s="143">
        <f t="shared" si="16"/>
        <v>0</v>
      </c>
      <c r="E132" s="133">
        <f t="shared" si="16"/>
        <v>0</v>
      </c>
      <c r="F132" s="132">
        <f t="shared" si="16"/>
        <v>0</v>
      </c>
      <c r="G132" s="143">
        <f t="shared" si="16"/>
        <v>0</v>
      </c>
      <c r="H132" s="133">
        <f t="shared" si="16"/>
        <v>0</v>
      </c>
      <c r="I132" s="325"/>
      <c r="J132" s="324"/>
      <c r="K132" s="36"/>
    </row>
    <row r="133" spans="1:11" s="7" customFormat="1" ht="15" customHeight="1">
      <c r="A133" s="13" t="str">
        <f>+'INGR. Y EGRE SEC CENT'!A133</f>
        <v>2.1.3.1.3.2</v>
      </c>
      <c r="B133" s="14" t="str">
        <f>+'INGR. Y EGRE SEC CENT'!B133</f>
        <v>Educadores</v>
      </c>
      <c r="C133" s="15"/>
      <c r="D133" s="144"/>
      <c r="E133" s="16"/>
      <c r="F133" s="15"/>
      <c r="G133" s="144"/>
      <c r="H133" s="16"/>
      <c r="I133" s="325"/>
      <c r="J133" s="324"/>
      <c r="K133" s="36"/>
    </row>
    <row r="134" spans="1:11" s="7" customFormat="1" ht="15" customHeight="1">
      <c r="A134" s="13" t="str">
        <f>+'INGR. Y EGRE SEC CENT'!A134</f>
        <v>2.1.3.1.3.3</v>
      </c>
      <c r="B134" s="14" t="str">
        <f>+'INGR. Y EGRE SEC CENT'!B134</f>
        <v>Médicos, Enfermeros(as) y Promotores de la Salud</v>
      </c>
      <c r="C134" s="15"/>
      <c r="D134" s="144"/>
      <c r="E134" s="16"/>
      <c r="F134" s="15"/>
      <c r="G134" s="144"/>
      <c r="H134" s="16"/>
      <c r="I134" s="325"/>
      <c r="J134" s="324"/>
      <c r="K134" s="36"/>
    </row>
    <row r="135" spans="1:11" s="7" customFormat="1" ht="15" customHeight="1">
      <c r="A135" s="13" t="str">
        <f>+'INGR. Y EGRE SEC CENT'!A135</f>
        <v>2.1.3.1.3.4</v>
      </c>
      <c r="B135" s="14" t="str">
        <f>+'INGR. Y EGRE SEC CENT'!B135</f>
        <v>Resto de Empleados Públicos</v>
      </c>
      <c r="C135" s="15"/>
      <c r="D135" s="144"/>
      <c r="E135" s="16"/>
      <c r="F135" s="15"/>
      <c r="G135" s="144"/>
      <c r="H135" s="16"/>
      <c r="I135" s="325"/>
      <c r="J135" s="324"/>
      <c r="K135" s="36"/>
    </row>
    <row r="136" spans="1:11" s="7" customFormat="1" ht="15" customHeight="1">
      <c r="A136" s="13" t="str">
        <f>+'INGR. Y EGRE SEC CENT'!A136</f>
        <v>2.1.3.1.3.5</v>
      </c>
      <c r="B136" s="12" t="str">
        <f>+'INGR. Y EGRE SEC CENT'!B136</f>
        <v>Trabajadores Oficiales</v>
      </c>
      <c r="C136" s="15"/>
      <c r="D136" s="144"/>
      <c r="E136" s="16"/>
      <c r="F136" s="15"/>
      <c r="G136" s="144"/>
      <c r="H136" s="16"/>
      <c r="I136" s="325"/>
      <c r="J136" s="324"/>
      <c r="K136" s="36"/>
    </row>
    <row r="137" spans="1:11" s="7" customFormat="1" ht="15" customHeight="1">
      <c r="A137" s="130" t="str">
        <f>+'INGR. Y EGRE SEC CENT'!A137</f>
        <v>2.1.3.1.2</v>
      </c>
      <c r="B137" s="113" t="str">
        <f>+'INGR. Y EGRE SEC CENT'!B137</f>
        <v>Otras Transferencias</v>
      </c>
      <c r="C137" s="132">
        <f aca="true" t="shared" si="17" ref="C137:H137">SUM(C138:C141)</f>
        <v>0</v>
      </c>
      <c r="D137" s="143">
        <f t="shared" si="17"/>
        <v>0</v>
      </c>
      <c r="E137" s="133">
        <f t="shared" si="17"/>
        <v>0</v>
      </c>
      <c r="F137" s="132">
        <f t="shared" si="17"/>
        <v>0</v>
      </c>
      <c r="G137" s="143">
        <f t="shared" si="17"/>
        <v>0</v>
      </c>
      <c r="H137" s="133">
        <f t="shared" si="17"/>
        <v>0</v>
      </c>
      <c r="I137" s="325"/>
      <c r="J137" s="324"/>
      <c r="K137" s="36"/>
    </row>
    <row r="138" spans="1:11" s="7" customFormat="1" ht="15" customHeight="1">
      <c r="A138" s="13" t="str">
        <f>+'INGR. Y EGRE SEC CENT'!A138</f>
        <v>2.1.3.1.2.1</v>
      </c>
      <c r="B138" s="14" t="str">
        <f>+'INGR. Y EGRE SEC CENT'!B138</f>
        <v>Conciliaciones y Sentencias</v>
      </c>
      <c r="C138" s="15"/>
      <c r="D138" s="144"/>
      <c r="E138" s="16"/>
      <c r="F138" s="15"/>
      <c r="G138" s="144"/>
      <c r="H138" s="16"/>
      <c r="I138" s="325"/>
      <c r="J138" s="324"/>
      <c r="K138" s="36"/>
    </row>
    <row r="139" spans="1:11" s="7" customFormat="1" ht="15" customHeight="1">
      <c r="A139" s="13" t="str">
        <f>+'INGR. Y EGRE SEC CENT'!A139</f>
        <v>2.1.3.1.2.2</v>
      </c>
      <c r="B139" s="35">
        <f>+'INGR. Y EGRE SEC CENT'!B139</f>
        <v>0</v>
      </c>
      <c r="C139" s="15"/>
      <c r="D139" s="144"/>
      <c r="E139" s="16"/>
      <c r="F139" s="15"/>
      <c r="G139" s="144"/>
      <c r="H139" s="16"/>
      <c r="I139" s="325"/>
      <c r="J139" s="324"/>
      <c r="K139" s="36"/>
    </row>
    <row r="140" spans="1:11" s="7" customFormat="1" ht="15" customHeight="1">
      <c r="A140" s="13" t="str">
        <f>+'INGR. Y EGRE SEC CENT'!A140</f>
        <v>2.1.3.1.2.3</v>
      </c>
      <c r="B140" s="35">
        <f>+'INGR. Y EGRE SEC CENT'!B140</f>
        <v>0</v>
      </c>
      <c r="C140" s="15"/>
      <c r="D140" s="144"/>
      <c r="E140" s="16"/>
      <c r="F140" s="15"/>
      <c r="G140" s="144"/>
      <c r="H140" s="16"/>
      <c r="I140" s="325"/>
      <c r="J140" s="324"/>
      <c r="K140" s="36"/>
    </row>
    <row r="141" spans="1:11" s="7" customFormat="1" ht="15" customHeight="1">
      <c r="A141" s="13" t="str">
        <f>+'INGR. Y EGRE SEC CENT'!A141</f>
        <v>2.1.3.1.2.4</v>
      </c>
      <c r="B141" s="14" t="str">
        <f>+'INGR. Y EGRE SEC CENT'!B141</f>
        <v>Otras</v>
      </c>
      <c r="C141" s="15"/>
      <c r="D141" s="144"/>
      <c r="E141" s="16"/>
      <c r="F141" s="15"/>
      <c r="G141" s="144"/>
      <c r="H141" s="16"/>
      <c r="I141" s="325"/>
      <c r="J141" s="324"/>
      <c r="K141" s="36"/>
    </row>
    <row r="142" spans="1:11" s="7" customFormat="1" ht="15" customHeight="1">
      <c r="A142" s="130">
        <f>+'INGR. Y EGRE SEC CENT'!A142</f>
        <v>2.2</v>
      </c>
      <c r="B142" s="134" t="str">
        <f>+'INGR. Y EGRE SEC CENT'!B142</f>
        <v>SERVICIO DE LA DEUDA</v>
      </c>
      <c r="C142" s="132">
        <f aca="true" t="shared" si="18" ref="C142:H142">+C143+C146</f>
        <v>0</v>
      </c>
      <c r="D142" s="143">
        <f t="shared" si="18"/>
        <v>0</v>
      </c>
      <c r="E142" s="133">
        <f t="shared" si="18"/>
        <v>0</v>
      </c>
      <c r="F142" s="132">
        <f t="shared" si="18"/>
        <v>0</v>
      </c>
      <c r="G142" s="143">
        <f t="shared" si="18"/>
        <v>0</v>
      </c>
      <c r="H142" s="133">
        <f t="shared" si="18"/>
        <v>0</v>
      </c>
      <c r="I142" s="325"/>
      <c r="J142" s="324"/>
      <c r="K142" s="36"/>
    </row>
    <row r="143" spans="1:11" s="7" customFormat="1" ht="15" customHeight="1">
      <c r="A143" s="114" t="str">
        <f>+'INGR. Y EGRE SEC CENT'!A143</f>
        <v>2.2.1 </v>
      </c>
      <c r="B143" s="113" t="str">
        <f>+'INGR. Y EGRE SEC CENT'!B143</f>
        <v>AMORTIZACIONES A CAPITAL</v>
      </c>
      <c r="C143" s="132">
        <f aca="true" t="shared" si="19" ref="C143:H143">SUM(C144:C145)</f>
        <v>0</v>
      </c>
      <c r="D143" s="143">
        <f t="shared" si="19"/>
        <v>0</v>
      </c>
      <c r="E143" s="133">
        <f t="shared" si="19"/>
        <v>0</v>
      </c>
      <c r="F143" s="132">
        <f t="shared" si="19"/>
        <v>0</v>
      </c>
      <c r="G143" s="143">
        <f t="shared" si="19"/>
        <v>0</v>
      </c>
      <c r="H143" s="133">
        <f t="shared" si="19"/>
        <v>0</v>
      </c>
      <c r="I143" s="325"/>
      <c r="J143" s="324"/>
      <c r="K143" s="36"/>
    </row>
    <row r="144" spans="1:15" s="7" customFormat="1" ht="15" customHeight="1">
      <c r="A144" s="8" t="str">
        <f>+'INGR. Y EGRE SEC CENT'!A144</f>
        <v>2.2.1.1 </v>
      </c>
      <c r="B144" s="14" t="str">
        <f>+'INGR. Y EGRE SEC CENT'!B144</f>
        <v>Amortización Deuda Interna</v>
      </c>
      <c r="C144" s="15"/>
      <c r="D144" s="144"/>
      <c r="E144" s="16"/>
      <c r="F144" s="329"/>
      <c r="G144" s="332"/>
      <c r="H144" s="333"/>
      <c r="J144" s="324"/>
      <c r="K144" s="36"/>
      <c r="L144" s="325"/>
      <c r="M144" s="334"/>
      <c r="N144" s="334"/>
      <c r="O144" s="334"/>
    </row>
    <row r="145" spans="1:11" s="7" customFormat="1" ht="15" customHeight="1">
      <c r="A145" s="8" t="str">
        <f>+'INGR. Y EGRE SEC CENT'!A145</f>
        <v>2.2.1.2</v>
      </c>
      <c r="B145" s="14" t="str">
        <f>+'INGR. Y EGRE SEC CENT'!B145</f>
        <v>Amortización Deuda Externa</v>
      </c>
      <c r="C145" s="15"/>
      <c r="D145" s="144"/>
      <c r="E145" s="16"/>
      <c r="F145" s="15"/>
      <c r="G145" s="144"/>
      <c r="H145" s="16"/>
      <c r="I145" s="325"/>
      <c r="J145" s="324"/>
      <c r="K145" s="36"/>
    </row>
    <row r="146" spans="1:11" s="7" customFormat="1" ht="15" customHeight="1">
      <c r="A146" s="114" t="str">
        <f>+'INGR. Y EGRE SEC CENT'!A146</f>
        <v>2.2.2 </v>
      </c>
      <c r="B146" s="113" t="str">
        <f>+'INGR. Y EGRE SEC CENT'!B146</f>
        <v>INTERESES  DE LA DEUDA</v>
      </c>
      <c r="C146" s="132">
        <f aca="true" t="shared" si="20" ref="C146:H146">SUM(C147:C150)</f>
        <v>0</v>
      </c>
      <c r="D146" s="143">
        <f t="shared" si="20"/>
        <v>0</v>
      </c>
      <c r="E146" s="133">
        <f t="shared" si="20"/>
        <v>0</v>
      </c>
      <c r="F146" s="132">
        <f t="shared" si="20"/>
        <v>0</v>
      </c>
      <c r="G146" s="143">
        <f t="shared" si="20"/>
        <v>0</v>
      </c>
      <c r="H146" s="133">
        <f t="shared" si="20"/>
        <v>0</v>
      </c>
      <c r="I146" s="325"/>
      <c r="J146" s="324"/>
      <c r="K146" s="36"/>
    </row>
    <row r="147" spans="1:12" s="7" customFormat="1" ht="15" customHeight="1">
      <c r="A147" s="9" t="str">
        <f>+'INGR. Y EGRE SEC CENT'!A147</f>
        <v>2.2.2.1</v>
      </c>
      <c r="B147" s="14" t="str">
        <f>+'INGR. Y EGRE SEC CENT'!B147</f>
        <v>Intereses  Deuda Interna Vigente</v>
      </c>
      <c r="C147" s="15"/>
      <c r="D147" s="144"/>
      <c r="E147" s="16"/>
      <c r="F147" s="329"/>
      <c r="G147" s="332"/>
      <c r="H147" s="333"/>
      <c r="J147" s="324"/>
      <c r="K147" s="36"/>
      <c r="L147" s="325"/>
    </row>
    <row r="148" spans="1:12" s="7" customFormat="1" ht="15" customHeight="1">
      <c r="A148" s="9" t="str">
        <f>+'INGR. Y EGRE SEC CENT'!A148</f>
        <v>2.2.2.2</v>
      </c>
      <c r="B148" s="14" t="str">
        <f>+'INGR. Y EGRE SEC CENT'!B148</f>
        <v>Intereses  Deuda Externa</v>
      </c>
      <c r="C148" s="15"/>
      <c r="D148" s="144"/>
      <c r="E148" s="16"/>
      <c r="F148" s="329"/>
      <c r="G148" s="332"/>
      <c r="H148" s="333"/>
      <c r="J148" s="324"/>
      <c r="K148" s="36"/>
      <c r="L148" s="325"/>
    </row>
    <row r="149" spans="1:12" s="7" customFormat="1" ht="15" customHeight="1">
      <c r="A149" s="9" t="str">
        <f>+'INGR. Y EGRE SEC CENT'!A149</f>
        <v>2.2.2.3</v>
      </c>
      <c r="B149" s="14" t="str">
        <f>+'INGR. Y EGRE SEC CENT'!B149</f>
        <v>Intereses  Deuda Corto Plazo, Sobregiros, Tesorería y otros</v>
      </c>
      <c r="C149" s="15"/>
      <c r="D149" s="144"/>
      <c r="E149" s="16"/>
      <c r="F149" s="329"/>
      <c r="G149" s="332"/>
      <c r="H149" s="333"/>
      <c r="J149" s="324"/>
      <c r="K149" s="36"/>
      <c r="L149" s="325"/>
    </row>
    <row r="150" spans="1:11" s="7" customFormat="1" ht="15" customHeight="1">
      <c r="A150" s="9" t="str">
        <f>+'INGR. Y EGRE SEC CENT'!A150</f>
        <v>2.2.2.4</v>
      </c>
      <c r="B150" s="14" t="str">
        <f>+'INGR. Y EGRE SEC CENT'!B150</f>
        <v>Intereses del nuevo crédito (Diligenciar sólo en el formato de proyecciones)</v>
      </c>
      <c r="C150" s="15"/>
      <c r="D150" s="144"/>
      <c r="E150" s="16"/>
      <c r="F150" s="15"/>
      <c r="G150" s="144"/>
      <c r="H150" s="16"/>
      <c r="I150" s="325"/>
      <c r="J150" s="324"/>
      <c r="K150" s="36"/>
    </row>
    <row r="151" spans="1:11" s="7" customFormat="1" ht="15" customHeight="1">
      <c r="A151" s="112">
        <f>+'INGR. Y EGRE SEC CENT'!A151</f>
        <v>2.3</v>
      </c>
      <c r="B151" s="134" t="str">
        <f>+'INGR. Y EGRE SEC CENT'!B151</f>
        <v>INVERSION </v>
      </c>
      <c r="C151" s="132">
        <f aca="true" t="shared" si="21" ref="C151:H151">SUM(C152:C153)</f>
        <v>0</v>
      </c>
      <c r="D151" s="143">
        <f t="shared" si="21"/>
        <v>0</v>
      </c>
      <c r="E151" s="133">
        <f t="shared" si="21"/>
        <v>0</v>
      </c>
      <c r="F151" s="132">
        <f t="shared" si="21"/>
        <v>0</v>
      </c>
      <c r="G151" s="143">
        <f t="shared" si="21"/>
        <v>0</v>
      </c>
      <c r="H151" s="133">
        <f t="shared" si="21"/>
        <v>0</v>
      </c>
      <c r="I151" s="325"/>
      <c r="J151" s="324"/>
      <c r="K151" s="36"/>
    </row>
    <row r="152" spans="1:11" s="7" customFormat="1" ht="15" customHeight="1">
      <c r="A152" s="9" t="str">
        <f>+'INGR. Y EGRE SEC CENT'!A152</f>
        <v>2.3.1</v>
      </c>
      <c r="B152" s="14" t="str">
        <f>+'INGR. Y EGRE SEC CENT'!B152</f>
        <v>Formación Bruta de Capital</v>
      </c>
      <c r="C152" s="369">
        <f aca="true" t="shared" si="22" ref="C152:H152">SUM(C159:C167)</f>
        <v>0</v>
      </c>
      <c r="D152" s="370">
        <f t="shared" si="22"/>
        <v>0</v>
      </c>
      <c r="E152" s="255">
        <f t="shared" si="22"/>
        <v>0</v>
      </c>
      <c r="F152" s="369">
        <f t="shared" si="22"/>
        <v>0</v>
      </c>
      <c r="G152" s="370">
        <f t="shared" si="22"/>
        <v>0</v>
      </c>
      <c r="H152" s="255">
        <f t="shared" si="22"/>
        <v>0</v>
      </c>
      <c r="I152" s="325"/>
      <c r="J152" s="324"/>
      <c r="K152" s="36"/>
    </row>
    <row r="153" spans="1:11" s="7" customFormat="1" ht="15" customHeight="1">
      <c r="A153" s="9" t="str">
        <f>+'INGR. Y EGRE SEC CENT'!A153</f>
        <v>2.3.2</v>
      </c>
      <c r="B153" s="14" t="str">
        <f>+'INGR. Y EGRE SEC CENT'!B153</f>
        <v>Gastos Operativos de Inversión</v>
      </c>
      <c r="C153" s="15"/>
      <c r="D153" s="144"/>
      <c r="E153" s="16"/>
      <c r="F153" s="15"/>
      <c r="G153" s="144"/>
      <c r="H153" s="16"/>
      <c r="I153" s="325"/>
      <c r="J153" s="324"/>
      <c r="K153" s="36"/>
    </row>
    <row r="154" spans="1:11" s="7" customFormat="1" ht="15" customHeight="1">
      <c r="A154" s="112">
        <f>+'INGR. Y EGRE SEC CENT'!A154</f>
        <v>2.4</v>
      </c>
      <c r="B154" s="113" t="str">
        <f>+'INGR. Y EGRE SEC CENT'!B154</f>
        <v>PAGO DEFICIT VIGENCIAS ANTERIORES</v>
      </c>
      <c r="C154" s="132">
        <f aca="true" t="shared" si="23" ref="C154:H154">SUM(C155:C156)</f>
        <v>0</v>
      </c>
      <c r="D154" s="143">
        <f t="shared" si="23"/>
        <v>0</v>
      </c>
      <c r="E154" s="133">
        <f t="shared" si="23"/>
        <v>0</v>
      </c>
      <c r="F154" s="132">
        <f t="shared" si="23"/>
        <v>0</v>
      </c>
      <c r="G154" s="143">
        <f t="shared" si="23"/>
        <v>0</v>
      </c>
      <c r="H154" s="133">
        <f t="shared" si="23"/>
        <v>0</v>
      </c>
      <c r="I154" s="325"/>
      <c r="J154" s="324"/>
      <c r="K154" s="36"/>
    </row>
    <row r="155" spans="1:11" s="7" customFormat="1" ht="15" customHeight="1">
      <c r="A155" s="9" t="str">
        <f>+'INGR. Y EGRE SEC CENT'!A155</f>
        <v>2.4.1</v>
      </c>
      <c r="B155" s="14" t="str">
        <f>+'INGR. Y EGRE SEC CENT'!B155</f>
        <v>Funcionamiento</v>
      </c>
      <c r="C155" s="15"/>
      <c r="D155" s="144"/>
      <c r="E155" s="16"/>
      <c r="F155" s="15"/>
      <c r="G155" s="144"/>
      <c r="H155" s="16"/>
      <c r="I155" s="325"/>
      <c r="J155" s="324"/>
      <c r="K155" s="36"/>
    </row>
    <row r="156" spans="1:11" s="7" customFormat="1" ht="15" customHeight="1" thickBot="1">
      <c r="A156" s="10" t="str">
        <f>+'INGR. Y EGRE SEC CENT'!A156</f>
        <v>2.4.2</v>
      </c>
      <c r="B156" s="38" t="str">
        <f>+'INGR. Y EGRE SEC CENT'!B156</f>
        <v>Inversión</v>
      </c>
      <c r="C156" s="17"/>
      <c r="D156" s="145"/>
      <c r="E156" s="18"/>
      <c r="F156" s="17"/>
      <c r="G156" s="145"/>
      <c r="H156" s="18"/>
      <c r="I156" s="325"/>
      <c r="J156" s="324"/>
      <c r="K156" s="36"/>
    </row>
    <row r="157" spans="1:9" s="36" customFormat="1" ht="7.5" customHeight="1" thickBot="1">
      <c r="A157" s="135"/>
      <c r="B157" s="20"/>
      <c r="C157" s="136"/>
      <c r="D157" s="137"/>
      <c r="E157" s="138"/>
      <c r="F157" s="138"/>
      <c r="G157" s="138"/>
      <c r="H157" s="80"/>
      <c r="I157" s="147"/>
    </row>
    <row r="158" spans="1:10" s="358" customFormat="1" ht="11.25" customHeight="1" thickBot="1">
      <c r="A158" s="353"/>
      <c r="B158" s="354" t="s">
        <v>271</v>
      </c>
      <c r="C158" s="355">
        <v>1995</v>
      </c>
      <c r="D158" s="356">
        <v>1996</v>
      </c>
      <c r="E158" s="355">
        <v>1997</v>
      </c>
      <c r="F158" s="356" t="s">
        <v>26</v>
      </c>
      <c r="G158" s="357" t="s">
        <v>272</v>
      </c>
      <c r="H158" s="356" t="s">
        <v>273</v>
      </c>
      <c r="J158" s="359"/>
    </row>
    <row r="159" spans="1:10" s="358" customFormat="1" ht="11.25" customHeight="1">
      <c r="A159" s="353"/>
      <c r="B159" s="371" t="str">
        <f>+'INGR. Y EGRE SEC CENT'!B159</f>
        <v>Educación</v>
      </c>
      <c r="C159" s="361"/>
      <c r="D159" s="360"/>
      <c r="E159" s="361"/>
      <c r="F159" s="360"/>
      <c r="G159" s="361"/>
      <c r="H159" s="362"/>
      <c r="J159" s="359"/>
    </row>
    <row r="160" spans="1:10" s="358" customFormat="1" ht="11.25" customHeight="1">
      <c r="A160" s="353"/>
      <c r="B160" s="372" t="str">
        <f>+'INGR. Y EGRE SEC CENT'!B160</f>
        <v>Salud</v>
      </c>
      <c r="C160" s="364"/>
      <c r="D160" s="363"/>
      <c r="E160" s="364"/>
      <c r="F160" s="363"/>
      <c r="G160" s="364"/>
      <c r="H160" s="365"/>
      <c r="J160" s="359"/>
    </row>
    <row r="161" spans="1:10" s="358" customFormat="1" ht="11.25" customHeight="1">
      <c r="A161" s="353"/>
      <c r="B161" s="372" t="str">
        <f>+'INGR. Y EGRE SEC CENT'!B161</f>
        <v>Agua Potable y Saneamiento básico</v>
      </c>
      <c r="C161" s="364"/>
      <c r="D161" s="363"/>
      <c r="E161" s="364"/>
      <c r="F161" s="363"/>
      <c r="G161" s="364"/>
      <c r="H161" s="365"/>
      <c r="J161" s="359"/>
    </row>
    <row r="162" spans="1:10" s="358" customFormat="1" ht="11.25" customHeight="1">
      <c r="A162" s="353"/>
      <c r="B162" s="372" t="str">
        <f>+'INGR. Y EGRE SEC CENT'!B162</f>
        <v>Deporte y Cultura</v>
      </c>
      <c r="C162" s="364"/>
      <c r="D162" s="363"/>
      <c r="E162" s="364"/>
      <c r="F162" s="363"/>
      <c r="G162" s="364"/>
      <c r="H162" s="365"/>
      <c r="J162" s="359"/>
    </row>
    <row r="163" spans="1:10" s="358" customFormat="1" ht="11.25" customHeight="1">
      <c r="A163" s="353"/>
      <c r="B163" s="372" t="str">
        <f>+'INGR. Y EGRE SEC CENT'!B163</f>
        <v>Sector Agropecuario </v>
      </c>
      <c r="C163" s="364"/>
      <c r="D163" s="363"/>
      <c r="E163" s="364"/>
      <c r="F163" s="363"/>
      <c r="G163" s="364"/>
      <c r="H163" s="365"/>
      <c r="J163" s="359"/>
    </row>
    <row r="164" spans="1:10" s="358" customFormat="1" ht="11.25" customHeight="1">
      <c r="A164" s="353"/>
      <c r="B164" s="372" t="str">
        <f>+'INGR. Y EGRE SEC CENT'!B164</f>
        <v>Infrestructura Vial</v>
      </c>
      <c r="C164" s="364"/>
      <c r="D164" s="363"/>
      <c r="E164" s="364"/>
      <c r="F164" s="363"/>
      <c r="G164" s="364"/>
      <c r="H164" s="365"/>
      <c r="J164" s="359"/>
    </row>
    <row r="165" spans="1:10" s="358" customFormat="1" ht="11.25" customHeight="1">
      <c r="A165" s="353"/>
      <c r="B165" s="372" t="str">
        <f>+'INGR. Y EGRE SEC CENT'!B165</f>
        <v>Infrestructura Energética</v>
      </c>
      <c r="C165" s="364"/>
      <c r="D165" s="363"/>
      <c r="E165" s="364"/>
      <c r="F165" s="363"/>
      <c r="G165" s="364"/>
      <c r="H165" s="365"/>
      <c r="J165" s="359"/>
    </row>
    <row r="166" spans="1:10" s="358" customFormat="1" ht="11.25" customHeight="1">
      <c r="A166" s="353"/>
      <c r="B166" s="372" t="str">
        <f>+'INGR. Y EGRE SEC CENT'!B166</f>
        <v>Vivienda</v>
      </c>
      <c r="C166" s="364"/>
      <c r="D166" s="363"/>
      <c r="E166" s="364"/>
      <c r="F166" s="363"/>
      <c r="G166" s="364"/>
      <c r="H166" s="365"/>
      <c r="J166" s="359"/>
    </row>
    <row r="167" spans="1:10" s="358" customFormat="1" ht="11.25" customHeight="1" thickBot="1">
      <c r="A167" s="353"/>
      <c r="B167" s="373" t="str">
        <f>+'INGR. Y EGRE SEC CENT'!B167</f>
        <v>Otros</v>
      </c>
      <c r="C167" s="367"/>
      <c r="D167" s="366"/>
      <c r="E167" s="367"/>
      <c r="F167" s="366"/>
      <c r="G167" s="367"/>
      <c r="H167" s="368"/>
      <c r="J167" s="359"/>
    </row>
  </sheetData>
  <printOptions horizontalCentered="1" verticalCentered="1"/>
  <pageMargins left="0.5905511811023623" right="0.5905511811023623" top="0.5118110236220472" bottom="0.5511811023622047" header="0" footer="0.31496062992125984"/>
  <pageSetup horizontalDpi="300" verticalDpi="300" orientation="portrait" scale="50" r:id="rId1"/>
  <headerFooter alignWithMargins="0">
    <oddHeader>&amp;L&amp;"Book Antiqua,Bold"&amp;10MINISTERIO DE HACIENDA Y CREDITO PUBLICO
       DIRECCION GENERAL DE APOYO FISCAL
                     SUBDIRECCION TECNICA</oddHeader>
    <oddFooter>&amp;L&amp;F / &amp;A &amp;D&amp;RPágina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G1">
      <selection activeCell="N6" sqref="N6"/>
    </sheetView>
  </sheetViews>
  <sheetFormatPr defaultColWidth="11.5546875" defaultRowHeight="15"/>
  <cols>
    <col min="1" max="1" width="11.5546875" style="235" customWidth="1"/>
    <col min="2" max="2" width="37.6640625" style="235" customWidth="1"/>
    <col min="3" max="3" width="9.99609375" style="235" customWidth="1"/>
    <col min="4" max="4" width="8.21484375" style="235" customWidth="1"/>
    <col min="5" max="5" width="10.10546875" style="235" customWidth="1"/>
    <col min="6" max="7" width="9.99609375" style="235" customWidth="1"/>
    <col min="8" max="8" width="9.3359375" style="235" customWidth="1"/>
    <col min="9" max="9" width="9.99609375" style="235" customWidth="1"/>
    <col min="10" max="10" width="8.4453125" style="235" customWidth="1"/>
    <col min="11" max="11" width="9.99609375" style="235" customWidth="1"/>
    <col min="12" max="13" width="9.88671875" style="235" customWidth="1"/>
    <col min="14" max="14" width="9.4453125" style="235" customWidth="1"/>
    <col min="15" max="16384" width="11.5546875" style="235" customWidth="1"/>
  </cols>
  <sheetData>
    <row r="1" spans="1:14" ht="15.75" thickBot="1">
      <c r="A1" s="94" t="s">
        <v>282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>
      <c r="A2" s="95"/>
      <c r="B2" s="95"/>
      <c r="C2" s="95"/>
      <c r="D2" s="95"/>
      <c r="E2" s="95" t="s">
        <v>1</v>
      </c>
      <c r="F2" s="219" t="str">
        <f>+'INGR. Y EGRE SEC CENT'!C2</f>
        <v>ARIGUANI</v>
      </c>
      <c r="G2" s="94"/>
      <c r="H2" s="95" t="s">
        <v>2</v>
      </c>
      <c r="I2" s="146" t="e">
        <f>+'INGR. Y EGRE SEC CENT'!#REF!</f>
        <v>#REF!</v>
      </c>
      <c r="J2" s="94"/>
      <c r="K2" s="94"/>
      <c r="L2" s="94"/>
      <c r="M2" s="94"/>
      <c r="N2" s="94"/>
    </row>
    <row r="3" spans="1:14" ht="15.75" thickBo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thickBot="1">
      <c r="A4" s="97" t="s">
        <v>4</v>
      </c>
      <c r="B4" s="98"/>
      <c r="C4" s="99" t="s">
        <v>5</v>
      </c>
      <c r="D4" s="99" t="s">
        <v>6</v>
      </c>
      <c r="E4" s="152" t="s">
        <v>7</v>
      </c>
      <c r="F4" s="100" t="s">
        <v>8</v>
      </c>
      <c r="G4" s="99" t="s">
        <v>9</v>
      </c>
      <c r="H4" s="99" t="s">
        <v>10</v>
      </c>
      <c r="I4" s="99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152" t="s">
        <v>16</v>
      </c>
    </row>
    <row r="5" spans="1:14" ht="15.75" thickBot="1">
      <c r="A5" s="102" t="s">
        <v>17</v>
      </c>
      <c r="B5" s="103"/>
      <c r="C5" s="104">
        <v>1998</v>
      </c>
      <c r="D5" s="104">
        <v>1998</v>
      </c>
      <c r="E5" s="104">
        <v>1998</v>
      </c>
      <c r="F5" s="104">
        <v>1998</v>
      </c>
      <c r="G5" s="104">
        <v>1998</v>
      </c>
      <c r="H5" s="104">
        <v>1998</v>
      </c>
      <c r="I5" s="104">
        <v>1998</v>
      </c>
      <c r="J5" s="104">
        <v>1998</v>
      </c>
      <c r="K5" s="104">
        <v>1998</v>
      </c>
      <c r="L5" s="104">
        <v>1998</v>
      </c>
      <c r="M5" s="104">
        <v>1998</v>
      </c>
      <c r="N5" s="104">
        <v>1998</v>
      </c>
    </row>
    <row r="6" spans="1:14" ht="15.75">
      <c r="A6" s="108">
        <f>+'INGR. Y EGRE SEC CENT'!A6</f>
        <v>1</v>
      </c>
      <c r="B6" s="109" t="str">
        <f>+'INGR. Y EGRE SEC CENT'!B6</f>
        <v>INGRESOS TOTALES</v>
      </c>
      <c r="C6" s="729">
        <f aca="true" t="shared" si="0" ref="C6:N6">+C7+C53</f>
        <v>524668659</v>
      </c>
      <c r="D6" s="832">
        <f t="shared" si="0"/>
        <v>25688406</v>
      </c>
      <c r="E6" s="730">
        <f t="shared" si="0"/>
        <v>565961551</v>
      </c>
      <c r="F6" s="622">
        <f t="shared" si="0"/>
        <v>331298708</v>
      </c>
      <c r="G6" s="730">
        <f t="shared" si="0"/>
        <v>550829092</v>
      </c>
      <c r="H6" s="625">
        <f t="shared" si="0"/>
        <v>136309960</v>
      </c>
      <c r="I6" s="622">
        <f t="shared" si="0"/>
        <v>595069510</v>
      </c>
      <c r="J6" s="625">
        <f t="shared" si="0"/>
        <v>11886591</v>
      </c>
      <c r="K6" s="622">
        <f t="shared" si="0"/>
        <v>584100216</v>
      </c>
      <c r="L6" s="622">
        <f t="shared" si="0"/>
        <v>100961432</v>
      </c>
      <c r="M6" s="622">
        <f t="shared" si="0"/>
        <v>557693834</v>
      </c>
      <c r="N6" s="623">
        <f t="shared" si="0"/>
        <v>14239428</v>
      </c>
    </row>
    <row r="7" spans="1:14" ht="15.75">
      <c r="A7" s="110">
        <f>+'INGR. Y EGRE SEC CENT'!A7</f>
        <v>1.1</v>
      </c>
      <c r="B7" s="111" t="str">
        <f>+'INGR. Y EGRE SEC CENT'!B7</f>
        <v>INGRESOS CORRIENTES</v>
      </c>
      <c r="C7" s="621">
        <f aca="true" t="shared" si="1" ref="C7:N7">+C8+C28+C41</f>
        <v>524668659</v>
      </c>
      <c r="D7" s="833">
        <f t="shared" si="1"/>
        <v>25688406</v>
      </c>
      <c r="E7" s="622">
        <f t="shared" si="1"/>
        <v>565961551</v>
      </c>
      <c r="F7" s="622">
        <f t="shared" si="1"/>
        <v>331298708</v>
      </c>
      <c r="G7" s="622">
        <f t="shared" si="1"/>
        <v>550829092</v>
      </c>
      <c r="H7" s="625">
        <f t="shared" si="1"/>
        <v>136309960</v>
      </c>
      <c r="I7" s="622">
        <f t="shared" si="1"/>
        <v>595069510</v>
      </c>
      <c r="J7" s="625">
        <f t="shared" si="1"/>
        <v>11886591</v>
      </c>
      <c r="K7" s="622">
        <f t="shared" si="1"/>
        <v>584100216</v>
      </c>
      <c r="L7" s="622">
        <f t="shared" si="1"/>
        <v>100961432</v>
      </c>
      <c r="M7" s="622">
        <f t="shared" si="1"/>
        <v>557693834</v>
      </c>
      <c r="N7" s="623">
        <f t="shared" si="1"/>
        <v>14239428</v>
      </c>
    </row>
    <row r="8" spans="1:14" ht="15">
      <c r="A8" s="112" t="str">
        <f>+'INGR. Y EGRE SEC CENT'!A8</f>
        <v>1.1.1</v>
      </c>
      <c r="B8" s="113" t="str">
        <f>+'INGR. Y EGRE SEC CENT'!B8</f>
        <v>INGRESOS TRIBUTARIOS</v>
      </c>
      <c r="C8" s="624">
        <f aca="true" t="shared" si="2" ref="C8:N8">SUM(C9:C23)+C24</f>
        <v>4484124</v>
      </c>
      <c r="D8" s="625">
        <f t="shared" si="2"/>
        <v>10897708</v>
      </c>
      <c r="E8" s="625">
        <f t="shared" si="2"/>
        <v>7910410</v>
      </c>
      <c r="F8" s="625">
        <f t="shared" si="2"/>
        <v>25738225</v>
      </c>
      <c r="G8" s="625">
        <f t="shared" si="2"/>
        <v>7416768</v>
      </c>
      <c r="H8" s="625">
        <f t="shared" si="2"/>
        <v>13553803</v>
      </c>
      <c r="I8" s="625">
        <f t="shared" si="2"/>
        <v>21169684</v>
      </c>
      <c r="J8" s="625">
        <f t="shared" si="2"/>
        <v>2305096</v>
      </c>
      <c r="K8" s="625">
        <f t="shared" si="2"/>
        <v>3551174</v>
      </c>
      <c r="L8" s="625">
        <f t="shared" si="2"/>
        <v>16639500</v>
      </c>
      <c r="M8" s="625">
        <f t="shared" si="2"/>
        <v>4544488</v>
      </c>
      <c r="N8" s="626">
        <f t="shared" si="2"/>
        <v>7900070</v>
      </c>
    </row>
    <row r="9" spans="1:14" ht="15">
      <c r="A9" s="8" t="str">
        <f>+'INGR. Y EGRE SEC CENT'!A9</f>
        <v>1.1.1.1</v>
      </c>
      <c r="B9" s="11" t="str">
        <f>+'INGR. Y EGRE SEC CENT'!B9</f>
        <v>Predial Unificado</v>
      </c>
      <c r="C9" s="627">
        <v>3539624</v>
      </c>
      <c r="D9" s="628">
        <v>9175008</v>
      </c>
      <c r="E9" s="628">
        <v>5553430</v>
      </c>
      <c r="F9" s="628">
        <v>24049045</v>
      </c>
      <c r="G9" s="628">
        <v>5619368</v>
      </c>
      <c r="H9" s="628">
        <v>11182496</v>
      </c>
      <c r="I9" s="725">
        <v>7565534</v>
      </c>
      <c r="J9" s="725">
        <v>629196</v>
      </c>
      <c r="K9" s="725">
        <f>68601897-67313701</f>
        <v>1288196</v>
      </c>
      <c r="L9" s="725">
        <v>5591004</v>
      </c>
      <c r="M9" s="725">
        <v>3370348</v>
      </c>
      <c r="N9" s="726">
        <v>601624</v>
      </c>
    </row>
    <row r="10" spans="1:14" ht="15">
      <c r="A10" s="8" t="str">
        <f>+'INGR. Y EGRE SEC CENT'!A10</f>
        <v>1.1.1.2</v>
      </c>
      <c r="B10" s="11" t="str">
        <f>+'INGR. Y EGRE SEC CENT'!B10</f>
        <v>Industria y comercio</v>
      </c>
      <c r="C10" s="627">
        <v>265000</v>
      </c>
      <c r="D10" s="628">
        <v>383700</v>
      </c>
      <c r="E10" s="628">
        <v>1241980</v>
      </c>
      <c r="F10" s="628">
        <v>349240</v>
      </c>
      <c r="G10" s="628">
        <v>249200</v>
      </c>
      <c r="H10" s="628">
        <v>212600</v>
      </c>
      <c r="I10" s="725">
        <v>12626350</v>
      </c>
      <c r="J10" s="725">
        <v>355000</v>
      </c>
      <c r="K10" s="725">
        <f>15893470-15683070</f>
        <v>210400</v>
      </c>
      <c r="L10" s="725">
        <v>10276646</v>
      </c>
      <c r="M10" s="725">
        <v>265490</v>
      </c>
      <c r="N10" s="726">
        <v>6963446</v>
      </c>
    </row>
    <row r="11" spans="1:14" ht="15">
      <c r="A11" s="8" t="str">
        <f>+'INGR. Y EGRE SEC CENT'!A11</f>
        <v>1.1.1.3</v>
      </c>
      <c r="B11" s="11" t="str">
        <f>+'INGR. Y EGRE SEC CENT'!B11</f>
        <v>Circulación y Transito</v>
      </c>
      <c r="C11" s="627"/>
      <c r="D11" s="628"/>
      <c r="E11" s="628">
        <v>80000</v>
      </c>
      <c r="F11" s="628"/>
      <c r="G11" s="628"/>
      <c r="H11" s="628"/>
      <c r="I11" s="725"/>
      <c r="J11" s="725"/>
      <c r="K11" s="725"/>
      <c r="L11" s="725"/>
      <c r="M11" s="725"/>
      <c r="N11" s="726"/>
    </row>
    <row r="12" spans="1:14" ht="15">
      <c r="A12" s="8" t="str">
        <f>+'INGR. Y EGRE SEC CENT'!A12</f>
        <v>1.1.1.4</v>
      </c>
      <c r="B12" s="11" t="str">
        <f>+'INGR. Y EGRE SEC CENT'!B12</f>
        <v>Avisos y Tableros </v>
      </c>
      <c r="C12" s="627"/>
      <c r="D12" s="628"/>
      <c r="E12" s="628"/>
      <c r="F12" s="628"/>
      <c r="G12" s="628"/>
      <c r="H12" s="628"/>
      <c r="I12" s="725"/>
      <c r="J12" s="725"/>
      <c r="K12" s="725"/>
      <c r="L12" s="725"/>
      <c r="M12" s="725"/>
      <c r="N12" s="726"/>
    </row>
    <row r="13" spans="1:14" ht="15">
      <c r="A13" s="8" t="str">
        <f>+'INGR. Y EGRE SEC CENT'!A13</f>
        <v>1.1.1.5</v>
      </c>
      <c r="B13" s="11" t="str">
        <f>+'INGR. Y EGRE SEC CENT'!B13</f>
        <v>Rifas, apuestas y Sorteos</v>
      </c>
      <c r="C13" s="627">
        <v>378000</v>
      </c>
      <c r="D13" s="628">
        <v>822500</v>
      </c>
      <c r="E13" s="628">
        <v>810300</v>
      </c>
      <c r="F13" s="628">
        <v>1034000</v>
      </c>
      <c r="G13" s="628">
        <v>1040000</v>
      </c>
      <c r="H13" s="628">
        <v>865500</v>
      </c>
      <c r="I13" s="725">
        <v>846000</v>
      </c>
      <c r="J13" s="725">
        <v>707000</v>
      </c>
      <c r="K13" s="725">
        <f>7590300-6503300</f>
        <v>1087000</v>
      </c>
      <c r="L13" s="725">
        <v>222000</v>
      </c>
      <c r="M13" s="725">
        <v>500000</v>
      </c>
      <c r="N13" s="726">
        <v>335000</v>
      </c>
    </row>
    <row r="14" spans="1:14" ht="15">
      <c r="A14" s="8" t="str">
        <f>+'INGR. Y EGRE SEC CENT'!A14</f>
        <v>1.1.1.6</v>
      </c>
      <c r="B14" s="11" t="str">
        <f>+'INGR. Y EGRE SEC CENT'!B14</f>
        <v>Espectáculos Públicos</v>
      </c>
      <c r="C14" s="627"/>
      <c r="D14" s="628"/>
      <c r="E14" s="628"/>
      <c r="F14" s="628">
        <v>10000</v>
      </c>
      <c r="G14" s="628"/>
      <c r="H14" s="628">
        <v>16000</v>
      </c>
      <c r="I14" s="725"/>
      <c r="J14" s="725">
        <v>10000</v>
      </c>
      <c r="K14" s="725"/>
      <c r="L14" s="725"/>
      <c r="M14" s="725"/>
      <c r="N14" s="726"/>
    </row>
    <row r="15" spans="1:14" ht="15">
      <c r="A15" s="8" t="str">
        <f>+'INGR. Y EGRE SEC CENT'!A15</f>
        <v>1.1.1.7</v>
      </c>
      <c r="B15" s="11" t="str">
        <f>+'INGR. Y EGRE SEC CENT'!B15</f>
        <v>Deguello ganado mayor</v>
      </c>
      <c r="C15" s="627">
        <v>116500</v>
      </c>
      <c r="D15" s="628">
        <v>187000</v>
      </c>
      <c r="E15" s="628">
        <v>60000</v>
      </c>
      <c r="F15" s="628">
        <v>30000</v>
      </c>
      <c r="G15" s="628">
        <v>175000</v>
      </c>
      <c r="H15" s="628">
        <v>322500</v>
      </c>
      <c r="I15" s="725">
        <v>37500</v>
      </c>
      <c r="J15" s="725">
        <v>190000</v>
      </c>
      <c r="K15" s="725">
        <f>1353500-1118500</f>
        <v>235000</v>
      </c>
      <c r="L15" s="725">
        <v>50000</v>
      </c>
      <c r="M15" s="725">
        <v>40000</v>
      </c>
      <c r="N15" s="726"/>
    </row>
    <row r="16" spans="1:14" ht="15">
      <c r="A16" s="8" t="str">
        <f>+'INGR. Y EGRE SEC CENT'!A16</f>
        <v>1.1.1.8</v>
      </c>
      <c r="B16" s="11" t="str">
        <f>+'INGR. Y EGRE SEC CENT'!B16</f>
        <v>Delineación Urbana</v>
      </c>
      <c r="C16" s="627"/>
      <c r="D16" s="628">
        <v>15000</v>
      </c>
      <c r="E16" s="628"/>
      <c r="F16" s="628">
        <v>103840</v>
      </c>
      <c r="G16" s="628">
        <v>50000</v>
      </c>
      <c r="H16" s="628">
        <v>94800</v>
      </c>
      <c r="I16" s="725"/>
      <c r="J16" s="725">
        <v>24600</v>
      </c>
      <c r="K16" s="725">
        <f>428240-288240</f>
        <v>140000</v>
      </c>
      <c r="L16" s="725"/>
      <c r="M16" s="725">
        <v>8500</v>
      </c>
      <c r="N16" s="726"/>
    </row>
    <row r="17" spans="1:14" ht="15">
      <c r="A17" s="8" t="str">
        <f>+'INGR. Y EGRE SEC CENT'!A17</f>
        <v>1.1.1.9</v>
      </c>
      <c r="B17" s="11" t="str">
        <f>+'INGR. Y EGRE SEC CENT'!B17</f>
        <v>Degüello de Ganado Menor</v>
      </c>
      <c r="C17" s="627">
        <v>2000</v>
      </c>
      <c r="D17" s="628">
        <v>2000</v>
      </c>
      <c r="E17" s="628"/>
      <c r="F17" s="628"/>
      <c r="G17" s="628"/>
      <c r="H17" s="628"/>
      <c r="I17" s="725"/>
      <c r="J17" s="725">
        <v>3000</v>
      </c>
      <c r="K17" s="725">
        <v>2000</v>
      </c>
      <c r="L17" s="725"/>
      <c r="M17" s="725"/>
      <c r="N17" s="726"/>
    </row>
    <row r="18" spans="1:14" ht="15">
      <c r="A18" s="8" t="str">
        <f>+'INGR. Y EGRE SEC CENT'!A18</f>
        <v>1.1.1.10</v>
      </c>
      <c r="B18" s="11" t="str">
        <f>+'INGR. Y EGRE SEC CENT'!B18</f>
        <v>Sobretasa a la Gasolina</v>
      </c>
      <c r="C18" s="627"/>
      <c r="D18" s="628"/>
      <c r="E18" s="628"/>
      <c r="F18" s="628"/>
      <c r="G18" s="628"/>
      <c r="H18" s="628"/>
      <c r="I18" s="725"/>
      <c r="J18" s="725"/>
      <c r="K18" s="725"/>
      <c r="L18" s="725"/>
      <c r="M18" s="725"/>
      <c r="N18" s="726"/>
    </row>
    <row r="19" spans="1:14" ht="15">
      <c r="A19" s="8" t="str">
        <f>+'INGR. Y EGRE SEC CENT'!A19</f>
        <v>1.1.1.11</v>
      </c>
      <c r="B19" s="11" t="str">
        <f>+'INGR. Y EGRE SEC CENT'!B19</f>
        <v>Ocupación de Vías</v>
      </c>
      <c r="C19" s="627"/>
      <c r="D19" s="628"/>
      <c r="E19" s="628"/>
      <c r="F19" s="628"/>
      <c r="G19" s="628"/>
      <c r="H19" s="628"/>
      <c r="I19" s="725"/>
      <c r="J19" s="725"/>
      <c r="K19" s="725"/>
      <c r="L19" s="725"/>
      <c r="M19" s="725"/>
      <c r="N19" s="726"/>
    </row>
    <row r="20" spans="1:14" ht="15">
      <c r="A20" s="8" t="str">
        <f>+'INGR. Y EGRE SEC CENT'!A20</f>
        <v>1.1.1.12</v>
      </c>
      <c r="B20" s="11" t="str">
        <f>+'INGR. Y EGRE SEC CENT'!B20</f>
        <v>Extracción de Arena Cascajo y Otros</v>
      </c>
      <c r="C20" s="627"/>
      <c r="D20" s="628"/>
      <c r="E20" s="628"/>
      <c r="F20" s="628"/>
      <c r="G20" s="628"/>
      <c r="H20" s="628"/>
      <c r="I20" s="725"/>
      <c r="J20" s="725"/>
      <c r="K20" s="725"/>
      <c r="L20" s="725"/>
      <c r="M20" s="725"/>
      <c r="N20" s="726"/>
    </row>
    <row r="21" spans="1:14" ht="15">
      <c r="A21" s="8" t="str">
        <f>+'INGR. Y EGRE SEC CENT'!A21</f>
        <v>1.1.1.13</v>
      </c>
      <c r="B21" s="11" t="str">
        <f>+'INGR. Y EGRE SEC CENT'!B21</f>
        <v>Juegos permitidos</v>
      </c>
      <c r="C21" s="627"/>
      <c r="D21" s="628"/>
      <c r="E21" s="628"/>
      <c r="F21" s="628"/>
      <c r="G21" s="628"/>
      <c r="H21" s="628"/>
      <c r="I21" s="725"/>
      <c r="J21" s="725"/>
      <c r="K21" s="725"/>
      <c r="L21" s="725"/>
      <c r="M21" s="725"/>
      <c r="N21" s="726"/>
    </row>
    <row r="22" spans="1:14" ht="15">
      <c r="A22" s="8" t="str">
        <f>+'INGR. Y EGRE SEC CENT'!A22</f>
        <v>1.1.1.14</v>
      </c>
      <c r="B22" s="11" t="str">
        <f>+'INGR. Y EGRE SEC CENT'!B22</f>
        <v>Otros Indirectos</v>
      </c>
      <c r="C22" s="627"/>
      <c r="D22" s="628">
        <v>1000</v>
      </c>
      <c r="E22" s="628">
        <v>7000</v>
      </c>
      <c r="F22" s="628"/>
      <c r="G22" s="628">
        <v>6000</v>
      </c>
      <c r="H22" s="628"/>
      <c r="I22" s="725"/>
      <c r="J22" s="725">
        <v>22700</v>
      </c>
      <c r="K22" s="725"/>
      <c r="L22" s="725"/>
      <c r="M22" s="725"/>
      <c r="N22" s="726"/>
    </row>
    <row r="23" spans="1:14" ht="15">
      <c r="A23" s="8" t="str">
        <f>+'INGR. Y EGRE SEC CENT'!A23</f>
        <v>1.1.1.15</v>
      </c>
      <c r="B23" s="11" t="str">
        <f>+'INGR. Y EGRE SEC CENT'!B23</f>
        <v>Registro de Patentes, Marcas y Herretes</v>
      </c>
      <c r="C23" s="627">
        <v>58000</v>
      </c>
      <c r="D23" s="628">
        <v>42000</v>
      </c>
      <c r="E23" s="628">
        <v>32000</v>
      </c>
      <c r="F23" s="628">
        <v>24000</v>
      </c>
      <c r="G23" s="628">
        <v>32000</v>
      </c>
      <c r="H23" s="628">
        <v>32000</v>
      </c>
      <c r="I23" s="725"/>
      <c r="J23" s="725">
        <v>56000</v>
      </c>
      <c r="K23" s="725">
        <f>309000-276000</f>
        <v>33000</v>
      </c>
      <c r="L23" s="725"/>
      <c r="M23" s="725">
        <v>8000</v>
      </c>
      <c r="N23" s="726"/>
    </row>
    <row r="24" spans="1:14" ht="15">
      <c r="A24" s="114" t="str">
        <f>+'INGR. Y EGRE SEC CENT'!A24</f>
        <v>1.1.1.16</v>
      </c>
      <c r="B24" s="115" t="str">
        <f>+'INGR. Y EGRE SEC CENT'!B24</f>
        <v>Otros Tributarios :</v>
      </c>
      <c r="C24" s="624">
        <f aca="true" t="shared" si="3" ref="C24:N24">SUM(C25:C27)</f>
        <v>125000</v>
      </c>
      <c r="D24" s="625">
        <f t="shared" si="3"/>
        <v>269500</v>
      </c>
      <c r="E24" s="625">
        <f t="shared" si="3"/>
        <v>125700</v>
      </c>
      <c r="F24" s="625">
        <f t="shared" si="3"/>
        <v>138100</v>
      </c>
      <c r="G24" s="625">
        <f t="shared" si="3"/>
        <v>245200</v>
      </c>
      <c r="H24" s="625">
        <f t="shared" si="3"/>
        <v>827907</v>
      </c>
      <c r="I24" s="625">
        <f t="shared" si="3"/>
        <v>94300</v>
      </c>
      <c r="J24" s="625">
        <f t="shared" si="3"/>
        <v>307600</v>
      </c>
      <c r="K24" s="625">
        <f t="shared" si="3"/>
        <v>555578</v>
      </c>
      <c r="L24" s="625">
        <f t="shared" si="3"/>
        <v>499850</v>
      </c>
      <c r="M24" s="625">
        <f t="shared" si="3"/>
        <v>352150</v>
      </c>
      <c r="N24" s="625">
        <f t="shared" si="3"/>
        <v>0</v>
      </c>
    </row>
    <row r="25" spans="1:14" ht="15">
      <c r="A25" s="8" t="str">
        <f>+'INGR. Y EGRE SEC CENT'!A25</f>
        <v>1.1.1.16.1</v>
      </c>
      <c r="B25" s="33" t="str">
        <f>+'INGR. Y EGRE SEC CENT'!B25</f>
        <v>Impuesto Nacional de Timbre</v>
      </c>
      <c r="C25" s="627"/>
      <c r="D25" s="628"/>
      <c r="E25" s="628"/>
      <c r="F25" s="628"/>
      <c r="G25" s="628"/>
      <c r="H25" s="628">
        <v>270707</v>
      </c>
      <c r="I25" s="628"/>
      <c r="J25" s="628"/>
      <c r="K25" s="628">
        <f>568085-270707</f>
        <v>297378</v>
      </c>
      <c r="L25" s="628">
        <v>425450</v>
      </c>
      <c r="M25" s="628">
        <v>281250</v>
      </c>
      <c r="N25" s="628"/>
    </row>
    <row r="26" spans="1:14" ht="15">
      <c r="A26" s="8" t="str">
        <f>+'INGR. Y EGRE SEC CENT'!A26</f>
        <v>1.1.1.16.2</v>
      </c>
      <c r="B26" s="33" t="str">
        <f>+'INGR. Y EGRE SEC CENT'!B26</f>
        <v>MOVILIZACION DE GANADO</v>
      </c>
      <c r="C26" s="627">
        <v>82500</v>
      </c>
      <c r="D26" s="628">
        <v>213000</v>
      </c>
      <c r="E26" s="628">
        <v>90600</v>
      </c>
      <c r="F26" s="628">
        <v>114100</v>
      </c>
      <c r="G26" s="628">
        <v>179200</v>
      </c>
      <c r="H26" s="628">
        <v>498700</v>
      </c>
      <c r="I26" s="628">
        <v>77800</v>
      </c>
      <c r="J26" s="628">
        <v>242100</v>
      </c>
      <c r="K26" s="628">
        <f>1701700-1498000</f>
        <v>203700</v>
      </c>
      <c r="L26" s="628">
        <v>56400</v>
      </c>
      <c r="M26" s="628">
        <v>70900</v>
      </c>
      <c r="N26" s="628"/>
    </row>
    <row r="27" spans="1:14" ht="15">
      <c r="A27" s="8" t="str">
        <f>+'INGR. Y EGRE SEC CENT'!A27</f>
        <v>1.1.1.16.3</v>
      </c>
      <c r="B27" s="33" t="str">
        <f>+'INGR. Y EGRE SEC CENT'!B27</f>
        <v>Extracción de queso</v>
      </c>
      <c r="C27" s="627">
        <v>42500</v>
      </c>
      <c r="D27" s="628">
        <v>56500</v>
      </c>
      <c r="E27" s="628">
        <v>35100</v>
      </c>
      <c r="F27" s="628">
        <v>24000</v>
      </c>
      <c r="G27" s="628">
        <v>66000</v>
      </c>
      <c r="H27" s="628">
        <v>58500</v>
      </c>
      <c r="I27" s="628">
        <v>16500</v>
      </c>
      <c r="J27" s="628">
        <v>65500</v>
      </c>
      <c r="K27" s="628">
        <f>419100-364600</f>
        <v>54500</v>
      </c>
      <c r="L27" s="628">
        <v>18000</v>
      </c>
      <c r="M27" s="628"/>
      <c r="N27" s="628"/>
    </row>
    <row r="28" spans="1:14" ht="15">
      <c r="A28" s="112" t="str">
        <f>+'INGR. Y EGRE SEC CENT'!A28</f>
        <v>1.1.2</v>
      </c>
      <c r="B28" s="113" t="str">
        <f>+'INGR. Y EGRE SEC CENT'!B28</f>
        <v>INGRESOS NO TRIBUTARIOS</v>
      </c>
      <c r="C28" s="624">
        <f>SUM(C29:C37)</f>
        <v>6372434</v>
      </c>
      <c r="D28" s="625">
        <f aca="true" t="shared" si="4" ref="D28:N28">SUM(D29:D37)</f>
        <v>7867957</v>
      </c>
      <c r="E28" s="625">
        <f t="shared" si="4"/>
        <v>5923607</v>
      </c>
      <c r="F28" s="625">
        <f t="shared" si="4"/>
        <v>13012882</v>
      </c>
      <c r="G28" s="625">
        <f t="shared" si="4"/>
        <v>11924824</v>
      </c>
      <c r="H28" s="625">
        <f t="shared" si="4"/>
        <v>9653694</v>
      </c>
      <c r="I28" s="625">
        <f t="shared" si="4"/>
        <v>13948931</v>
      </c>
      <c r="J28" s="625">
        <f t="shared" si="4"/>
        <v>9581495</v>
      </c>
      <c r="K28" s="625">
        <f t="shared" si="4"/>
        <v>9930438</v>
      </c>
      <c r="L28" s="625">
        <f t="shared" si="4"/>
        <v>13279832</v>
      </c>
      <c r="M28" s="625">
        <f t="shared" si="4"/>
        <v>11867593</v>
      </c>
      <c r="N28" s="625">
        <f t="shared" si="4"/>
        <v>6339358</v>
      </c>
    </row>
    <row r="29" spans="1:14" s="7" customFormat="1" ht="15">
      <c r="A29" s="8" t="str">
        <f>+'INGR. Y EGRE SEC CENT'!A29</f>
        <v>1.1.2.1</v>
      </c>
      <c r="B29" s="34" t="str">
        <f>+'INGR. Y EGRE SEC CENT'!B29</f>
        <v>Aseo</v>
      </c>
      <c r="C29" s="627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</row>
    <row r="30" spans="1:14" ht="15">
      <c r="A30" s="8" t="str">
        <f>+'INGR. Y EGRE SEC CENT'!A30</f>
        <v>1.1.2.2</v>
      </c>
      <c r="B30" s="14" t="str">
        <f>+'INGR. Y EGRE SEC CENT'!B30</f>
        <v>Pliego de Licitaciones</v>
      </c>
      <c r="C30" s="627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</row>
    <row r="31" spans="1:14" ht="15">
      <c r="A31" s="8" t="str">
        <f>+'INGR. Y EGRE SEC CENT'!A31</f>
        <v>1.1.2.3</v>
      </c>
      <c r="B31" s="34" t="str">
        <f>+'INGR. Y EGRE SEC CENT'!B31</f>
        <v>Gaceta Municipal</v>
      </c>
      <c r="C31" s="627"/>
      <c r="D31" s="628"/>
      <c r="E31" s="628"/>
      <c r="F31" s="628"/>
      <c r="G31" s="628"/>
      <c r="H31" s="628">
        <v>552980</v>
      </c>
      <c r="I31" s="628">
        <v>377363</v>
      </c>
      <c r="J31" s="628">
        <v>2588080</v>
      </c>
      <c r="K31" s="628">
        <f>1857186-1189151</f>
        <v>668035</v>
      </c>
      <c r="L31" s="628">
        <v>832034</v>
      </c>
      <c r="M31" s="628">
        <v>969863</v>
      </c>
      <c r="N31" s="628">
        <v>143534</v>
      </c>
    </row>
    <row r="32" spans="1:14" s="7" customFormat="1" ht="15">
      <c r="A32" s="8" t="str">
        <f>+'INGR. Y EGRE SEC CENT'!A32</f>
        <v>1.1.2.4</v>
      </c>
      <c r="B32" s="34" t="str">
        <f>+'INGR. Y EGRE SEC CENT'!B32</f>
        <v>Venta de formulario y placas</v>
      </c>
      <c r="C32" s="627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</row>
    <row r="33" spans="1:14" ht="15">
      <c r="A33" s="8" t="str">
        <f>+'INGR. Y EGRE SEC CENT'!A33</f>
        <v>1.1.2.5</v>
      </c>
      <c r="B33" s="34" t="str">
        <f>+'INGR. Y EGRE SEC CENT'!B33</f>
        <v>Arrendamientos o Alquileres</v>
      </c>
      <c r="C33" s="627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</row>
    <row r="34" spans="1:14" ht="15">
      <c r="A34" s="8" t="str">
        <f>+'INGR. Y EGRE SEC CENT'!A34</f>
        <v>1.1.2.6</v>
      </c>
      <c r="B34" s="34" t="str">
        <f>+'INGR. Y EGRE SEC CENT'!B34</f>
        <v>Multas,contravenciones y coso mpal.</v>
      </c>
      <c r="C34" s="627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</row>
    <row r="35" spans="1:14" ht="15">
      <c r="A35" s="8" t="str">
        <f>+'INGR. Y EGRE SEC CENT'!A35</f>
        <v>1.1.2.7</v>
      </c>
      <c r="B35" s="34" t="str">
        <f>+'INGR. Y EGRE SEC CENT'!B35</f>
        <v>Mercado y matadero Público</v>
      </c>
      <c r="C35" s="627">
        <v>7500</v>
      </c>
      <c r="D35" s="628">
        <v>113000</v>
      </c>
      <c r="E35" s="628">
        <v>42500</v>
      </c>
      <c r="F35" s="628">
        <v>31000</v>
      </c>
      <c r="G35" s="628">
        <v>37500</v>
      </c>
      <c r="H35" s="628">
        <v>44000</v>
      </c>
      <c r="I35" s="628">
        <v>9500</v>
      </c>
      <c r="J35" s="628">
        <v>58000</v>
      </c>
      <c r="K35" s="628">
        <f>391000-343000</f>
        <v>48000</v>
      </c>
      <c r="L35" s="628"/>
      <c r="M35" s="628">
        <v>3500</v>
      </c>
      <c r="N35" s="628"/>
    </row>
    <row r="36" spans="1:14" ht="15">
      <c r="A36" s="8" t="str">
        <f>+'INGR. Y EGRE SEC CENT'!A36</f>
        <v>1.1.2.8</v>
      </c>
      <c r="B36" s="34" t="str">
        <f>+'INGR. Y EGRE SEC CENT'!B36</f>
        <v>Acueducto</v>
      </c>
      <c r="C36" s="627">
        <v>4403082</v>
      </c>
      <c r="D36" s="628">
        <v>3734818</v>
      </c>
      <c r="E36" s="628">
        <v>3163140</v>
      </c>
      <c r="F36" s="628">
        <v>5037056</v>
      </c>
      <c r="G36" s="628">
        <v>5362600</v>
      </c>
      <c r="H36" s="628">
        <v>5897760</v>
      </c>
      <c r="I36" s="628">
        <v>7645604</v>
      </c>
      <c r="J36" s="628">
        <v>5862035</v>
      </c>
      <c r="K36" s="628">
        <f>45190692-41106095</f>
        <v>4084597</v>
      </c>
      <c r="L36" s="628">
        <v>8786760</v>
      </c>
      <c r="M36" s="628">
        <v>8483430</v>
      </c>
      <c r="N36" s="628">
        <v>5689480</v>
      </c>
    </row>
    <row r="37" spans="1:14" ht="15">
      <c r="A37" s="114" t="str">
        <f>+'INGR. Y EGRE SEC CENT'!A37</f>
        <v>1.1.2.9</v>
      </c>
      <c r="B37" s="115" t="str">
        <f>+'INGR. Y EGRE SEC CENT'!B37</f>
        <v>Otros Ingresos No Tributarios</v>
      </c>
      <c r="C37" s="624">
        <f>SUM(C38:C40)</f>
        <v>1961852</v>
      </c>
      <c r="D37" s="625">
        <f aca="true" t="shared" si="5" ref="D37:N37">SUM(D38:D40)</f>
        <v>4020139</v>
      </c>
      <c r="E37" s="625">
        <f t="shared" si="5"/>
        <v>2717967</v>
      </c>
      <c r="F37" s="625">
        <f t="shared" si="5"/>
        <v>7944826</v>
      </c>
      <c r="G37" s="625">
        <f t="shared" si="5"/>
        <v>6524724</v>
      </c>
      <c r="H37" s="625">
        <f t="shared" si="5"/>
        <v>3158954</v>
      </c>
      <c r="I37" s="625">
        <f t="shared" si="5"/>
        <v>5916464</v>
      </c>
      <c r="J37" s="625">
        <f t="shared" si="5"/>
        <v>1073380</v>
      </c>
      <c r="K37" s="625">
        <f t="shared" si="5"/>
        <v>5129806</v>
      </c>
      <c r="L37" s="625">
        <f t="shared" si="5"/>
        <v>3661038</v>
      </c>
      <c r="M37" s="625">
        <f t="shared" si="5"/>
        <v>2410800</v>
      </c>
      <c r="N37" s="625">
        <f t="shared" si="5"/>
        <v>506344</v>
      </c>
    </row>
    <row r="38" spans="1:14" ht="15">
      <c r="A38" s="8" t="str">
        <f>+'INGR. Y EGRE SEC CENT'!A38</f>
        <v>1.1.2.9.1</v>
      </c>
      <c r="B38" s="14" t="str">
        <f>+'INGR. Y EGRE SEC CENT'!B38</f>
        <v>CORPAMAG</v>
      </c>
      <c r="C38" s="627">
        <v>684882</v>
      </c>
      <c r="D38" s="628">
        <v>914542</v>
      </c>
      <c r="E38" s="628">
        <v>1403820</v>
      </c>
      <c r="F38" s="628">
        <v>7119814</v>
      </c>
      <c r="G38" s="628">
        <v>1579214</v>
      </c>
      <c r="H38" s="628">
        <v>2193042</v>
      </c>
      <c r="I38" s="628">
        <v>1270403</v>
      </c>
      <c r="J38" s="628">
        <v>301754</v>
      </c>
      <c r="K38" s="628">
        <f>15775275-15467471</f>
        <v>307804</v>
      </c>
      <c r="L38" s="628">
        <v>2035196</v>
      </c>
      <c r="M38" s="628">
        <v>397752</v>
      </c>
      <c r="N38" s="628">
        <v>201826</v>
      </c>
    </row>
    <row r="39" spans="1:14" ht="15">
      <c r="A39" s="8" t="str">
        <f>+'INGR. Y EGRE SEC CENT'!A39</f>
        <v>1.1.2.9.2</v>
      </c>
      <c r="B39" s="14" t="str">
        <f>+'INGR. Y EGRE SEC CENT'!B39</f>
        <v>Aporte empl. Seguro social y Pensión</v>
      </c>
      <c r="C39" s="627">
        <v>1241350</v>
      </c>
      <c r="D39" s="628">
        <v>2951351</v>
      </c>
      <c r="E39" s="628">
        <v>675787</v>
      </c>
      <c r="F39" s="628">
        <v>679643</v>
      </c>
      <c r="G39" s="628">
        <v>4225169</v>
      </c>
      <c r="H39" s="628"/>
      <c r="I39" s="628">
        <v>3967166</v>
      </c>
      <c r="J39" s="628"/>
      <c r="K39" s="628">
        <f>17326519-13740466</f>
        <v>3586053</v>
      </c>
      <c r="L39" s="628"/>
      <c r="M39" s="628">
        <v>591838</v>
      </c>
      <c r="N39" s="628"/>
    </row>
    <row r="40" spans="1:14" ht="15">
      <c r="A40" s="8" t="str">
        <f>+'INGR. Y EGRE SEC CENT'!A40</f>
        <v>1.1.2.9.3</v>
      </c>
      <c r="B40" s="14" t="str">
        <f>+'INGR. Y EGRE SEC CENT'!B40</f>
        <v>Impuesto Propalacio</v>
      </c>
      <c r="C40" s="627">
        <v>35620</v>
      </c>
      <c r="D40" s="628">
        <v>154246</v>
      </c>
      <c r="E40" s="628">
        <v>638360</v>
      </c>
      <c r="F40" s="628">
        <v>145369</v>
      </c>
      <c r="G40" s="628">
        <v>720341</v>
      </c>
      <c r="H40" s="628">
        <v>965912</v>
      </c>
      <c r="I40" s="628">
        <v>678895</v>
      </c>
      <c r="J40" s="628">
        <v>771626</v>
      </c>
      <c r="K40" s="628">
        <f>5346318-4110369</f>
        <v>1235949</v>
      </c>
      <c r="L40" s="628">
        <v>1625842</v>
      </c>
      <c r="M40" s="628">
        <v>1421210</v>
      </c>
      <c r="N40" s="628">
        <v>304518</v>
      </c>
    </row>
    <row r="41" spans="1:14" ht="15.75">
      <c r="A41" s="110" t="str">
        <f>+'INGR. Y EGRE SEC CENT'!A41</f>
        <v>1.1.3</v>
      </c>
      <c r="B41" s="116" t="str">
        <f>+'INGR. Y EGRE SEC CENT'!B41</f>
        <v>TRANSFERENCIAS</v>
      </c>
      <c r="C41" s="624">
        <f aca="true" t="shared" si="6" ref="C41:N41">+C42+C45+C48</f>
        <v>513812101</v>
      </c>
      <c r="D41" s="625">
        <f t="shared" si="6"/>
        <v>6922741</v>
      </c>
      <c r="E41" s="625">
        <f t="shared" si="6"/>
        <v>552127534</v>
      </c>
      <c r="F41" s="625">
        <f t="shared" si="6"/>
        <v>292547601</v>
      </c>
      <c r="G41" s="625">
        <f t="shared" si="6"/>
        <v>531487500</v>
      </c>
      <c r="H41" s="625">
        <f t="shared" si="6"/>
        <v>113102463</v>
      </c>
      <c r="I41" s="625">
        <f t="shared" si="6"/>
        <v>559950895</v>
      </c>
      <c r="J41" s="625">
        <f t="shared" si="6"/>
        <v>0</v>
      </c>
      <c r="K41" s="625">
        <f t="shared" si="6"/>
        <v>570618604</v>
      </c>
      <c r="L41" s="625">
        <f t="shared" si="6"/>
        <v>71042100</v>
      </c>
      <c r="M41" s="625">
        <f t="shared" si="6"/>
        <v>541281753</v>
      </c>
      <c r="N41" s="625">
        <f t="shared" si="6"/>
        <v>0</v>
      </c>
    </row>
    <row r="42" spans="1:14" ht="15">
      <c r="A42" s="114" t="str">
        <f>+'INGR. Y EGRE SEC CENT'!A42</f>
        <v>1.1.3.1</v>
      </c>
      <c r="B42" s="115" t="str">
        <f>+'INGR. Y EGRE SEC CENT'!B42</f>
        <v>Por Situado Fiscal</v>
      </c>
      <c r="C42" s="624">
        <f aca="true" t="shared" si="7" ref="C42:N42">SUM(C43:C44)</f>
        <v>0</v>
      </c>
      <c r="D42" s="625">
        <f t="shared" si="7"/>
        <v>0</v>
      </c>
      <c r="E42" s="625">
        <f t="shared" si="7"/>
        <v>0</v>
      </c>
      <c r="F42" s="625">
        <f t="shared" si="7"/>
        <v>0</v>
      </c>
      <c r="G42" s="625">
        <f t="shared" si="7"/>
        <v>0</v>
      </c>
      <c r="H42" s="625">
        <f t="shared" si="7"/>
        <v>0</v>
      </c>
      <c r="I42" s="625">
        <f t="shared" si="7"/>
        <v>0</v>
      </c>
      <c r="J42" s="625">
        <f t="shared" si="7"/>
        <v>0</v>
      </c>
      <c r="K42" s="625">
        <f t="shared" si="7"/>
        <v>0</v>
      </c>
      <c r="L42" s="625">
        <f t="shared" si="7"/>
        <v>0</v>
      </c>
      <c r="M42" s="625">
        <f t="shared" si="7"/>
        <v>0</v>
      </c>
      <c r="N42" s="625">
        <f t="shared" si="7"/>
        <v>0</v>
      </c>
    </row>
    <row r="43" spans="1:14" ht="15">
      <c r="A43" s="8" t="str">
        <f>+'INGR. Y EGRE SEC CENT'!A43</f>
        <v>1.1.3.1.1</v>
      </c>
      <c r="B43" s="14" t="str">
        <f>+'INGR. Y EGRE SEC CENT'!B43</f>
        <v>Situado Fiscal Educación</v>
      </c>
      <c r="C43" s="627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</row>
    <row r="44" spans="1:14" ht="15">
      <c r="A44" s="8" t="str">
        <f>+'INGR. Y EGRE SEC CENT'!A44</f>
        <v>1.1.3.1.2</v>
      </c>
      <c r="B44" s="14" t="str">
        <f>+'INGR. Y EGRE SEC CENT'!B44</f>
        <v>Situado Fiscal Salud</v>
      </c>
      <c r="C44" s="627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</row>
    <row r="45" spans="1:14" ht="15">
      <c r="A45" s="114" t="str">
        <f>+'INGR. Y EGRE SEC CENT'!A45</f>
        <v>1.1.3.2</v>
      </c>
      <c r="B45" s="113" t="str">
        <f>+'INGR. Y EGRE SEC CENT'!B45</f>
        <v>Por Participación en Ingresos Corrientes de la Nación</v>
      </c>
      <c r="C45" s="624">
        <f aca="true" t="shared" si="8" ref="C45:N45">SUM(C46:C47)</f>
        <v>438821402</v>
      </c>
      <c r="D45" s="625">
        <f t="shared" si="8"/>
        <v>0</v>
      </c>
      <c r="E45" s="625">
        <f t="shared" si="8"/>
        <v>531487500</v>
      </c>
      <c r="F45" s="625">
        <f t="shared" si="8"/>
        <v>292547601</v>
      </c>
      <c r="G45" s="625">
        <f t="shared" si="8"/>
        <v>531487500</v>
      </c>
      <c r="H45" s="625">
        <f t="shared" si="8"/>
        <v>0</v>
      </c>
      <c r="I45" s="625">
        <f t="shared" si="8"/>
        <v>531487500</v>
      </c>
      <c r="J45" s="625">
        <f t="shared" si="8"/>
        <v>0</v>
      </c>
      <c r="K45" s="625">
        <f t="shared" si="8"/>
        <v>531487500</v>
      </c>
      <c r="L45" s="625">
        <f t="shared" si="8"/>
        <v>0</v>
      </c>
      <c r="M45" s="625">
        <f t="shared" si="8"/>
        <v>531487500</v>
      </c>
      <c r="N45" s="625">
        <f t="shared" si="8"/>
        <v>0</v>
      </c>
    </row>
    <row r="46" spans="1:14" ht="15">
      <c r="A46" s="8" t="str">
        <f>+'INGR. Y EGRE SEC CENT'!A46</f>
        <v>1.1.3.2.1</v>
      </c>
      <c r="B46" s="14" t="str">
        <f>+'INGR. Y EGRE SEC CENT'!B46</f>
        <v>ICN. de Inversión Forzosa</v>
      </c>
      <c r="C46" s="627">
        <v>333504266</v>
      </c>
      <c r="D46" s="628"/>
      <c r="E46" s="628">
        <v>419875125</v>
      </c>
      <c r="F46" s="628">
        <v>170984808</v>
      </c>
      <c r="G46" s="628">
        <v>419875125</v>
      </c>
      <c r="H46" s="628"/>
      <c r="I46" s="628">
        <v>419875125</v>
      </c>
      <c r="J46" s="628"/>
      <c r="K46" s="628">
        <f>2183989574-1764114449</f>
        <v>419875125</v>
      </c>
      <c r="L46" s="628"/>
      <c r="M46" s="628">
        <v>419875125</v>
      </c>
      <c r="N46" s="628"/>
    </row>
    <row r="47" spans="1:14" ht="15">
      <c r="A47" s="8" t="str">
        <f>+'INGR. Y EGRE SEC CENT'!A47</f>
        <v>1.1.3.2.2</v>
      </c>
      <c r="B47" s="14" t="str">
        <f>+'INGR. Y EGRE SEC CENT'!B47</f>
        <v>ICN. de Libre Destinación</v>
      </c>
      <c r="C47" s="627">
        <v>105317136</v>
      </c>
      <c r="D47" s="628"/>
      <c r="E47" s="628">
        <v>111612375</v>
      </c>
      <c r="F47" s="628">
        <v>121562793</v>
      </c>
      <c r="G47" s="628">
        <v>111612375</v>
      </c>
      <c r="H47" s="628"/>
      <c r="I47" s="628">
        <v>111612375</v>
      </c>
      <c r="J47" s="628"/>
      <c r="K47" s="628">
        <f>673329429-561717054</f>
        <v>111612375</v>
      </c>
      <c r="L47" s="628"/>
      <c r="M47" s="628">
        <v>111612375</v>
      </c>
      <c r="N47" s="628"/>
    </row>
    <row r="48" spans="1:14" ht="15">
      <c r="A48" s="114" t="str">
        <f>+'INGR. Y EGRE SEC CENT'!A48</f>
        <v>1.1.3.3.3</v>
      </c>
      <c r="B48" s="115" t="str">
        <f>+'INGR. Y EGRE SEC CENT'!B48</f>
        <v>Otras Transferencias :</v>
      </c>
      <c r="C48" s="624">
        <f aca="true" t="shared" si="9" ref="C48:N48">SUM(C49:C52)</f>
        <v>74990699</v>
      </c>
      <c r="D48" s="625">
        <f t="shared" si="9"/>
        <v>6922741</v>
      </c>
      <c r="E48" s="625">
        <f t="shared" si="9"/>
        <v>20640034</v>
      </c>
      <c r="F48" s="625">
        <f t="shared" si="9"/>
        <v>0</v>
      </c>
      <c r="G48" s="625">
        <f t="shared" si="9"/>
        <v>0</v>
      </c>
      <c r="H48" s="625">
        <f t="shared" si="9"/>
        <v>113102463</v>
      </c>
      <c r="I48" s="625">
        <f t="shared" si="9"/>
        <v>28463395</v>
      </c>
      <c r="J48" s="625">
        <f t="shared" si="9"/>
        <v>0</v>
      </c>
      <c r="K48" s="625">
        <f t="shared" si="9"/>
        <v>39131104</v>
      </c>
      <c r="L48" s="625">
        <f t="shared" si="9"/>
        <v>71042100</v>
      </c>
      <c r="M48" s="625">
        <f t="shared" si="9"/>
        <v>9794253</v>
      </c>
      <c r="N48" s="625">
        <f t="shared" si="9"/>
        <v>0</v>
      </c>
    </row>
    <row r="49" spans="1:14" ht="15">
      <c r="A49" s="8" t="str">
        <f>+'INGR. Y EGRE SEC CENT'!A49</f>
        <v>1.1.3.3.3.1</v>
      </c>
      <c r="B49" s="34" t="str">
        <f>+'INGR. Y EGRE SEC CENT'!B49</f>
        <v>Recibidas De la Nación</v>
      </c>
      <c r="C49" s="627">
        <v>74990699</v>
      </c>
      <c r="D49" s="628">
        <v>6922741</v>
      </c>
      <c r="E49" s="628">
        <v>20640034</v>
      </c>
      <c r="F49" s="628"/>
      <c r="G49" s="628"/>
      <c r="H49" s="628">
        <v>113102463</v>
      </c>
      <c r="I49" s="628">
        <v>28463395</v>
      </c>
      <c r="J49" s="628"/>
      <c r="K49" s="628">
        <f>283250436-244119332</f>
        <v>39131104</v>
      </c>
      <c r="L49" s="628">
        <v>71042100</v>
      </c>
      <c r="M49" s="628">
        <v>9794253</v>
      </c>
      <c r="N49" s="628"/>
    </row>
    <row r="50" spans="1:14" ht="15">
      <c r="A50" s="8" t="str">
        <f>+'INGR. Y EGRE SEC CENT'!A50</f>
        <v>1.1.3.3.3.2</v>
      </c>
      <c r="B50" s="34" t="str">
        <f>+'INGR. Y EGRE SEC CENT'!B50</f>
        <v>Recibidas Del Departamento</v>
      </c>
      <c r="C50" s="627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</row>
    <row r="51" spans="1:14" ht="15">
      <c r="A51" s="8" t="str">
        <f>+'INGR. Y EGRE SEC CENT'!A51</f>
        <v>1.1.3.3.3.3</v>
      </c>
      <c r="B51" s="34" t="str">
        <f>+'INGR. Y EGRE SEC CENT'!B51</f>
        <v>Recibidas de Otras Entidades </v>
      </c>
      <c r="C51" s="627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</row>
    <row r="52" spans="1:14" ht="15">
      <c r="A52" s="8" t="str">
        <f>+'INGR. Y EGRE SEC CENT'!A52</f>
        <v>1.1.3.3.3.4</v>
      </c>
      <c r="B52" s="34" t="str">
        <f>+'INGR. Y EGRE SEC CENT'!B52</f>
        <v>Otras</v>
      </c>
      <c r="C52" s="627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</row>
    <row r="53" spans="1:14" ht="15.75">
      <c r="A53" s="110">
        <f>+'INGR. Y EGRE SEC CENT'!A53</f>
        <v>1.2</v>
      </c>
      <c r="B53" s="117" t="str">
        <f>+'INGR. Y EGRE SEC CENT'!B53</f>
        <v>RECURSOS  DE CAPITAL</v>
      </c>
      <c r="C53" s="727">
        <f>+C54+C58+C62+C63+C69+C72+C73+C74+C75</f>
        <v>0</v>
      </c>
      <c r="D53" s="728">
        <f aca="true" t="shared" si="10" ref="D53:N53">+D54+D58+D62+D63+D69+D72+D73+D74+D75</f>
        <v>0</v>
      </c>
      <c r="E53" s="728">
        <f t="shared" si="10"/>
        <v>0</v>
      </c>
      <c r="F53" s="728">
        <f t="shared" si="10"/>
        <v>0</v>
      </c>
      <c r="G53" s="728">
        <f t="shared" si="10"/>
        <v>0</v>
      </c>
      <c r="H53" s="728">
        <f t="shared" si="10"/>
        <v>0</v>
      </c>
      <c r="I53" s="728">
        <f t="shared" si="10"/>
        <v>0</v>
      </c>
      <c r="J53" s="728">
        <f t="shared" si="10"/>
        <v>0</v>
      </c>
      <c r="K53" s="728">
        <f t="shared" si="10"/>
        <v>0</v>
      </c>
      <c r="L53" s="728">
        <f t="shared" si="10"/>
        <v>0</v>
      </c>
      <c r="M53" s="728">
        <f t="shared" si="10"/>
        <v>0</v>
      </c>
      <c r="N53" s="728">
        <f t="shared" si="10"/>
        <v>0</v>
      </c>
    </row>
    <row r="54" spans="1:14" ht="15">
      <c r="A54" s="112" t="str">
        <f>+'INGR. Y EGRE SEC CENT'!A54</f>
        <v>1.2.1</v>
      </c>
      <c r="B54" s="113" t="str">
        <f>+'INGR. Y EGRE SEC CENT'!B54</f>
        <v>Recursos del Balance</v>
      </c>
      <c r="C54" s="624">
        <f>SUM(C55:C57)</f>
        <v>0</v>
      </c>
      <c r="D54" s="625">
        <f>SUM(D55:D57)</f>
        <v>0</v>
      </c>
      <c r="E54" s="625">
        <f aca="true" t="shared" si="11" ref="E54:N54">SUM(E55:E57)</f>
        <v>0</v>
      </c>
      <c r="F54" s="625">
        <f t="shared" si="11"/>
        <v>0</v>
      </c>
      <c r="G54" s="625">
        <f t="shared" si="11"/>
        <v>0</v>
      </c>
      <c r="H54" s="625">
        <f t="shared" si="11"/>
        <v>0</v>
      </c>
      <c r="I54" s="625">
        <f t="shared" si="11"/>
        <v>0</v>
      </c>
      <c r="J54" s="625">
        <f t="shared" si="11"/>
        <v>0</v>
      </c>
      <c r="K54" s="625">
        <f t="shared" si="11"/>
        <v>0</v>
      </c>
      <c r="L54" s="625">
        <f t="shared" si="11"/>
        <v>0</v>
      </c>
      <c r="M54" s="625">
        <f t="shared" si="11"/>
        <v>0</v>
      </c>
      <c r="N54" s="625">
        <f t="shared" si="11"/>
        <v>0</v>
      </c>
    </row>
    <row r="55" spans="1:14" ht="15">
      <c r="A55" s="9" t="str">
        <f>+'INGR. Y EGRE SEC CENT'!A55</f>
        <v>1.2.1.1</v>
      </c>
      <c r="B55" s="14" t="str">
        <f>+'INGR. Y EGRE SEC CENT'!B55</f>
        <v>Superávit</v>
      </c>
      <c r="C55" s="627"/>
      <c r="D55" s="628"/>
      <c r="E55" s="628"/>
      <c r="F55" s="628"/>
      <c r="G55" s="628"/>
      <c r="H55" s="628"/>
      <c r="I55" s="628"/>
      <c r="J55" s="628"/>
      <c r="K55" s="628"/>
      <c r="L55" s="628"/>
      <c r="M55" s="628"/>
      <c r="N55" s="628"/>
    </row>
    <row r="56" spans="1:14" ht="15">
      <c r="A56" s="9" t="str">
        <f>+'INGR. Y EGRE SEC CENT'!A56</f>
        <v>1.2.1.2</v>
      </c>
      <c r="B56" s="14" t="str">
        <f>+'INGR. Y EGRE SEC CENT'!B56</f>
        <v>Cancelación de Reservas</v>
      </c>
      <c r="C56" s="627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</row>
    <row r="57" spans="1:14" ht="15">
      <c r="A57" s="9" t="str">
        <f>+'INGR. Y EGRE SEC CENT'!A57</f>
        <v>1.2.1.3</v>
      </c>
      <c r="B57" s="14" t="str">
        <f>+'INGR. Y EGRE SEC CENT'!B57</f>
        <v>Venta de Activos</v>
      </c>
      <c r="C57" s="627"/>
      <c r="D57" s="628"/>
      <c r="E57" s="628"/>
      <c r="F57" s="628"/>
      <c r="G57" s="628"/>
      <c r="H57" s="628"/>
      <c r="I57" s="628"/>
      <c r="J57" s="628"/>
      <c r="K57" s="628"/>
      <c r="L57" s="628"/>
      <c r="M57" s="628"/>
      <c r="N57" s="628"/>
    </row>
    <row r="58" spans="1:14" ht="15">
      <c r="A58" s="112" t="str">
        <f>+'INGR. Y EGRE SEC CENT'!A58</f>
        <v>1.2.2</v>
      </c>
      <c r="B58" s="113" t="str">
        <f>+'INGR. Y EGRE SEC CENT'!B58</f>
        <v>Recursos de Cofinanciación</v>
      </c>
      <c r="C58" s="624">
        <f>SUM(C59:C61)</f>
        <v>0</v>
      </c>
      <c r="D58" s="625">
        <f aca="true" t="shared" si="12" ref="D58:N58">SUM(D59:D61)</f>
        <v>0</v>
      </c>
      <c r="E58" s="625">
        <f t="shared" si="12"/>
        <v>0</v>
      </c>
      <c r="F58" s="625">
        <f t="shared" si="12"/>
        <v>0</v>
      </c>
      <c r="G58" s="625">
        <f t="shared" si="12"/>
        <v>0</v>
      </c>
      <c r="H58" s="625">
        <f t="shared" si="12"/>
        <v>0</v>
      </c>
      <c r="I58" s="625">
        <f t="shared" si="12"/>
        <v>0</v>
      </c>
      <c r="J58" s="625">
        <f t="shared" si="12"/>
        <v>0</v>
      </c>
      <c r="K58" s="625">
        <f t="shared" si="12"/>
        <v>0</v>
      </c>
      <c r="L58" s="625">
        <f t="shared" si="12"/>
        <v>0</v>
      </c>
      <c r="M58" s="625">
        <f t="shared" si="12"/>
        <v>0</v>
      </c>
      <c r="N58" s="625">
        <f t="shared" si="12"/>
        <v>0</v>
      </c>
    </row>
    <row r="59" spans="1:14" ht="15">
      <c r="A59" s="9" t="str">
        <f>+'INGR. Y EGRE SEC CENT'!A59</f>
        <v>1.2.2.1</v>
      </c>
      <c r="B59" s="151" t="str">
        <f>+'INGR. Y EGRE SEC CENT'!B59</f>
        <v>Recursos del FIS, DRI, FIU y FCV.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</row>
    <row r="60" spans="1:14" ht="15">
      <c r="A60" s="9" t="str">
        <f>+'INGR. Y EGRE SEC CENT'!A60</f>
        <v>1.2.2.2</v>
      </c>
      <c r="B60" s="151" t="str">
        <f>+'INGR. Y EGRE SEC CENT'!B60</f>
        <v>Fondo Nacional de Regalías</v>
      </c>
      <c r="C60" s="627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</row>
    <row r="61" spans="1:14" ht="15">
      <c r="A61" s="9" t="str">
        <f>+'INGR. Y EGRE SEC CENT'!A61</f>
        <v>1.2.2.3</v>
      </c>
      <c r="B61" s="151" t="str">
        <f>+'INGR. Y EGRE SEC CENT'!B61</f>
        <v>Otros recursos de Cofinanciación</v>
      </c>
      <c r="C61" s="627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</row>
    <row r="62" spans="1:14" ht="15">
      <c r="A62" s="9" t="str">
        <f>+'INGR. Y EGRE SEC CENT'!A62</f>
        <v>1.2.3</v>
      </c>
      <c r="B62" s="12" t="str">
        <f>+'INGR. Y EGRE SEC CENT'!B62</f>
        <v>Donaciones</v>
      </c>
      <c r="C62" s="627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</row>
    <row r="63" spans="1:14" ht="15">
      <c r="A63" s="112" t="s">
        <v>18</v>
      </c>
      <c r="B63" s="113" t="str">
        <f>+'INGR. Y EGRE SEC CENT'!B63</f>
        <v>Regalías</v>
      </c>
      <c r="C63" s="624">
        <f>SUM(C64:C68)</f>
        <v>0</v>
      </c>
      <c r="D63" s="625">
        <f aca="true" t="shared" si="13" ref="D63:N63">SUM(D64:D68)</f>
        <v>0</v>
      </c>
      <c r="E63" s="625">
        <f t="shared" si="13"/>
        <v>0</v>
      </c>
      <c r="F63" s="625">
        <f t="shared" si="13"/>
        <v>0</v>
      </c>
      <c r="G63" s="625">
        <f t="shared" si="13"/>
        <v>0</v>
      </c>
      <c r="H63" s="625">
        <f t="shared" si="13"/>
        <v>0</v>
      </c>
      <c r="I63" s="625">
        <f t="shared" si="13"/>
        <v>0</v>
      </c>
      <c r="J63" s="625">
        <f t="shared" si="13"/>
        <v>0</v>
      </c>
      <c r="K63" s="625">
        <f t="shared" si="13"/>
        <v>0</v>
      </c>
      <c r="L63" s="625">
        <f t="shared" si="13"/>
        <v>0</v>
      </c>
      <c r="M63" s="625">
        <f t="shared" si="13"/>
        <v>0</v>
      </c>
      <c r="N63" s="625">
        <f t="shared" si="13"/>
        <v>0</v>
      </c>
    </row>
    <row r="64" spans="1:14" ht="15">
      <c r="A64" s="9" t="str">
        <f>+'INGR. Y EGRE SEC CENT'!A64</f>
        <v>1.2.4.1</v>
      </c>
      <c r="B64" s="151" t="str">
        <f>+'INGR. Y EGRE SEC CENT'!B64</f>
        <v>Anticipos de Regalías</v>
      </c>
      <c r="C64" s="627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/>
    </row>
    <row r="65" spans="1:14" ht="15">
      <c r="A65" s="9" t="str">
        <f>+'INGR. Y EGRE SEC CENT'!A65</f>
        <v>1.2.4.2</v>
      </c>
      <c r="B65" s="14" t="str">
        <f>+'INGR. Y EGRE SEC CENT'!B65</f>
        <v>Regalías Petroleras</v>
      </c>
      <c r="C65" s="627"/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</row>
    <row r="66" spans="1:14" ht="15">
      <c r="A66" s="9" t="str">
        <f>+'INGR. Y EGRE SEC CENT'!A66</f>
        <v>1.2.4.3</v>
      </c>
      <c r="B66" s="14" t="str">
        <f>+'INGR. Y EGRE SEC CENT'!B66</f>
        <v>Regalías Carboníferas</v>
      </c>
      <c r="C66" s="627"/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628"/>
    </row>
    <row r="67" spans="1:14" ht="15">
      <c r="A67" s="9" t="str">
        <f>+'INGR. Y EGRE SEC CENT'!A67</f>
        <v>1.2.4.4</v>
      </c>
      <c r="B67" s="14" t="str">
        <f>+'INGR. Y EGRE SEC CENT'!B67</f>
        <v>Regalías por Gas</v>
      </c>
      <c r="C67" s="627"/>
      <c r="D67" s="628"/>
      <c r="E67" s="628"/>
      <c r="F67" s="628"/>
      <c r="G67" s="628"/>
      <c r="H67" s="628"/>
      <c r="I67" s="628"/>
      <c r="J67" s="628"/>
      <c r="K67" s="628"/>
      <c r="L67" s="628"/>
      <c r="M67" s="628"/>
      <c r="N67" s="628"/>
    </row>
    <row r="68" spans="1:14" ht="15">
      <c r="A68" s="9" t="str">
        <f>+'INGR. Y EGRE SEC CENT'!A68</f>
        <v>1.2.4.5</v>
      </c>
      <c r="B68" s="14" t="str">
        <f>+'INGR. Y EGRE SEC CENT'!B68</f>
        <v>Otras Regalías :</v>
      </c>
      <c r="C68" s="627"/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</row>
    <row r="69" spans="1:14" ht="15">
      <c r="A69" s="112" t="str">
        <f>+'INGR. Y EGRE SEC CENT'!A69</f>
        <v>1.2.5</v>
      </c>
      <c r="B69" s="113" t="str">
        <f>+'INGR. Y EGRE SEC CENT'!B69</f>
        <v>Recursos del Crédito (DESEMBOLSOS)</v>
      </c>
      <c r="C69" s="624">
        <f aca="true" t="shared" si="14" ref="C69:N69">SUM(C70:C71)</f>
        <v>0</v>
      </c>
      <c r="D69" s="625">
        <f t="shared" si="14"/>
        <v>0</v>
      </c>
      <c r="E69" s="625">
        <f t="shared" si="14"/>
        <v>0</v>
      </c>
      <c r="F69" s="625">
        <f t="shared" si="14"/>
        <v>0</v>
      </c>
      <c r="G69" s="625">
        <f t="shared" si="14"/>
        <v>0</v>
      </c>
      <c r="H69" s="625">
        <f t="shared" si="14"/>
        <v>0</v>
      </c>
      <c r="I69" s="625">
        <f t="shared" si="14"/>
        <v>0</v>
      </c>
      <c r="J69" s="625">
        <f t="shared" si="14"/>
        <v>0</v>
      </c>
      <c r="K69" s="625">
        <f t="shared" si="14"/>
        <v>0</v>
      </c>
      <c r="L69" s="625">
        <f t="shared" si="14"/>
        <v>0</v>
      </c>
      <c r="M69" s="625">
        <f t="shared" si="14"/>
        <v>0</v>
      </c>
      <c r="N69" s="625">
        <f t="shared" si="14"/>
        <v>0</v>
      </c>
    </row>
    <row r="70" spans="1:14" ht="15">
      <c r="A70" s="9" t="str">
        <f>+'INGR. Y EGRE SEC CENT'!A70</f>
        <v>1.2.5.1</v>
      </c>
      <c r="B70" s="14" t="str">
        <f>+'INGR. Y EGRE SEC CENT'!B70</f>
        <v>Desembolsos Crédito Interno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8"/>
    </row>
    <row r="71" spans="1:14" ht="15">
      <c r="A71" s="9" t="str">
        <f>+'INGR. Y EGRE SEC CENT'!A71</f>
        <v>1.2.5.2</v>
      </c>
      <c r="B71" s="14" t="str">
        <f>+'INGR. Y EGRE SEC CENT'!B71</f>
        <v>Desembolsos Crédito Externo</v>
      </c>
      <c r="C71" s="627"/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</row>
    <row r="72" spans="1:14" ht="15">
      <c r="A72" s="9" t="str">
        <f>+'INGR. Y EGRE SEC CENT'!A72</f>
        <v>1.2.6</v>
      </c>
      <c r="B72" s="12" t="str">
        <f>+'INGR. Y EGRE SEC CENT'!B72</f>
        <v>Rendimientos Financieros</v>
      </c>
      <c r="C72" s="627"/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</row>
    <row r="73" spans="1:14" ht="15">
      <c r="A73" s="9" t="str">
        <f>+'INGR. Y EGRE SEC CENT'!A73</f>
        <v>1.2.7</v>
      </c>
      <c r="B73" s="12" t="str">
        <f>+'INGR. Y EGRE SEC CENT'!B73</f>
        <v>Excedentes Financieros Ent. Descentralizadas</v>
      </c>
      <c r="C73" s="627"/>
      <c r="D73" s="628"/>
      <c r="E73" s="628"/>
      <c r="F73" s="628"/>
      <c r="G73" s="628"/>
      <c r="H73" s="628"/>
      <c r="I73" s="628"/>
      <c r="J73" s="628"/>
      <c r="K73" s="628"/>
      <c r="L73" s="628"/>
      <c r="M73" s="628"/>
      <c r="N73" s="628"/>
    </row>
    <row r="74" spans="1:14" ht="15">
      <c r="A74" s="9" t="str">
        <f>+'INGR. Y EGRE SEC CENT'!A74</f>
        <v>1.2.8</v>
      </c>
      <c r="B74" s="12" t="str">
        <f>+'INGR. Y EGRE SEC CENT'!B74</f>
        <v>Venta de Activos</v>
      </c>
      <c r="C74" s="627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</row>
    <row r="75" spans="1:14" ht="15">
      <c r="A75" s="112" t="str">
        <f>+'INGR. Y EGRE SEC CENT'!A75</f>
        <v>1.2.9</v>
      </c>
      <c r="B75" s="113" t="str">
        <f>+'INGR. Y EGRE SEC CENT'!B75</f>
        <v>Otros Recursos de Capital</v>
      </c>
      <c r="C75" s="624">
        <f aca="true" t="shared" si="15" ref="C75:N75">SUM(C76:C78)</f>
        <v>0</v>
      </c>
      <c r="D75" s="625">
        <f t="shared" si="15"/>
        <v>0</v>
      </c>
      <c r="E75" s="625">
        <f t="shared" si="15"/>
        <v>0</v>
      </c>
      <c r="F75" s="625">
        <f t="shared" si="15"/>
        <v>0</v>
      </c>
      <c r="G75" s="625">
        <f t="shared" si="15"/>
        <v>0</v>
      </c>
      <c r="H75" s="625">
        <f t="shared" si="15"/>
        <v>0</v>
      </c>
      <c r="I75" s="625">
        <f t="shared" si="15"/>
        <v>0</v>
      </c>
      <c r="J75" s="625">
        <f t="shared" si="15"/>
        <v>0</v>
      </c>
      <c r="K75" s="625">
        <f t="shared" si="15"/>
        <v>0</v>
      </c>
      <c r="L75" s="625">
        <f t="shared" si="15"/>
        <v>0</v>
      </c>
      <c r="M75" s="625">
        <f t="shared" si="15"/>
        <v>0</v>
      </c>
      <c r="N75" s="625">
        <f t="shared" si="15"/>
        <v>0</v>
      </c>
    </row>
    <row r="76" spans="1:14" ht="15">
      <c r="A76" s="9" t="str">
        <f>+'INGR. Y EGRE SEC CENT'!A76</f>
        <v>1.2.9.1</v>
      </c>
      <c r="B76" s="35" t="str">
        <f>+'INGR. Y EGRE SEC CENT'!B76</f>
        <v>Recurso de Capital</v>
      </c>
      <c r="C76" s="627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</row>
    <row r="77" spans="1:14" ht="15">
      <c r="A77" s="9" t="str">
        <f>+'INGR. Y EGRE SEC CENT'!A77</f>
        <v>1.2.9.2</v>
      </c>
      <c r="B77" s="351">
        <f>+'INGR. Y EGRE SEC CENT'!B77</f>
        <v>0</v>
      </c>
      <c r="C77" s="627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</row>
    <row r="78" spans="1:14" ht="15.75" thickBot="1">
      <c r="A78" s="10" t="str">
        <f>+'INGR. Y EGRE SEC CENT'!A78</f>
        <v>1.2.9.3</v>
      </c>
      <c r="B78" s="78" t="str">
        <f>+'INGR. Y EGRE SEC CENT'!B78</f>
        <v>Otros</v>
      </c>
      <c r="C78" s="635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</row>
    <row r="79" spans="1:14" ht="15">
      <c r="A79" s="77" t="s">
        <v>19</v>
      </c>
      <c r="B79" s="20" t="s">
        <v>20</v>
      </c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</row>
    <row r="80" spans="1:14" ht="15">
      <c r="A80" s="178"/>
      <c r="B80" s="36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</row>
    <row r="81" spans="1:14" ht="15">
      <c r="A81" s="178"/>
      <c r="B81" s="36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</row>
    <row r="82" spans="1:3" ht="18">
      <c r="A82" s="177" t="s">
        <v>154</v>
      </c>
      <c r="B82" s="186"/>
      <c r="C82" s="731" t="s">
        <v>631</v>
      </c>
    </row>
  </sheetData>
  <printOptions horizontalCentered="1" verticalCentered="1"/>
  <pageMargins left="0.3937007874015748" right="0.3937007874015748" top="0.3937007874015748" bottom="0.3937007874015748" header="0.31496062992125984" footer="0.35433070866141736"/>
  <pageSetup horizontalDpi="200" verticalDpi="200" orientation="portrait" scale="51" r:id="rId1"/>
  <headerFooter alignWithMargins="0">
    <oddHeader>&amp;L&amp;"Arial Narrow,Regular"&amp;10CONSULTER  LTDA&amp;"Arial,Normal"&amp;12
&amp;8VALLEDUPAR  -  CESAR</oddHeader>
    <oddFooter>&amp;L&amp;F / &amp;A &amp;D&amp;RPágina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68"/>
  <sheetViews>
    <sheetView workbookViewId="0" topLeftCell="A32">
      <selection activeCell="F8" sqref="F8"/>
    </sheetView>
  </sheetViews>
  <sheetFormatPr defaultColWidth="11.5546875" defaultRowHeight="15"/>
  <cols>
    <col min="1" max="1" width="36.6640625" style="0" customWidth="1"/>
    <col min="2" max="2" width="5.21484375" style="0" customWidth="1"/>
    <col min="3" max="3" width="4.99609375" style="0" customWidth="1"/>
    <col min="4" max="4" width="3.88671875" style="0" customWidth="1"/>
    <col min="5" max="5" width="11.4453125" style="0" customWidth="1"/>
    <col min="6" max="6" width="3.88671875" style="0" customWidth="1"/>
    <col min="7" max="7" width="9.77734375" style="0" customWidth="1"/>
    <col min="8" max="30" width="5.21484375" style="0" customWidth="1"/>
    <col min="31" max="31" width="6.10546875" style="0" customWidth="1"/>
    <col min="32" max="36" width="5.21484375" style="239" customWidth="1"/>
    <col min="37" max="37" width="7.10546875" style="239" customWidth="1"/>
    <col min="38" max="16384" width="11.5546875" style="239" customWidth="1"/>
  </cols>
  <sheetData>
    <row r="2" spans="1:37" ht="16.5" thickBot="1">
      <c r="A2" s="6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05"/>
      <c r="AG2" s="405"/>
      <c r="AH2" s="405"/>
      <c r="AI2" s="405"/>
      <c r="AJ2" s="405"/>
      <c r="AK2" s="405"/>
    </row>
    <row r="3" spans="2:37" ht="21" customHeight="1" thickBot="1">
      <c r="B3" s="6"/>
      <c r="C3" s="6"/>
      <c r="H3" s="6"/>
      <c r="I3" s="6"/>
      <c r="J3" s="6"/>
      <c r="K3" s="6"/>
      <c r="L3" s="6"/>
      <c r="M3" s="22" t="s">
        <v>283</v>
      </c>
      <c r="N3" s="6"/>
      <c r="O3" s="81" t="str">
        <f>+'INGRESOS MENSUALES VIG. 1.998'!F2</f>
        <v>ARIGUANI</v>
      </c>
      <c r="P3" s="82"/>
      <c r="V3" s="6"/>
      <c r="W3" s="6"/>
      <c r="X3" s="218" t="s">
        <v>2</v>
      </c>
      <c r="Y3" s="6"/>
      <c r="Z3" s="81" t="e">
        <f>+'INGRESOS MENSUALES VIG. 1.998'!I2</f>
        <v>#REF!</v>
      </c>
      <c r="AA3" s="82"/>
      <c r="AD3" s="6"/>
      <c r="AE3" s="6"/>
      <c r="AF3" s="406"/>
      <c r="AG3" s="406"/>
      <c r="AH3" s="406"/>
      <c r="AI3" s="406"/>
      <c r="AJ3" s="406"/>
      <c r="AK3" s="406"/>
    </row>
    <row r="4" spans="1:37" ht="16.5" thickBot="1">
      <c r="A4" s="6" t="s">
        <v>284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05"/>
      <c r="AG4" s="405"/>
      <c r="AH4" s="405"/>
      <c r="AI4" s="405"/>
      <c r="AJ4" s="405"/>
      <c r="AK4" s="405"/>
    </row>
    <row r="5" spans="1:31" ht="16.5" thickBot="1">
      <c r="A5" s="864"/>
      <c r="B5" s="865">
        <v>1996</v>
      </c>
      <c r="C5" s="865">
        <v>1997</v>
      </c>
      <c r="D5" s="865">
        <v>1998</v>
      </c>
      <c r="E5" s="866"/>
      <c r="F5" s="867" t="s">
        <v>285</v>
      </c>
      <c r="G5" s="868"/>
      <c r="H5" s="39" t="s">
        <v>662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39" t="s">
        <v>286</v>
      </c>
      <c r="AA5" s="40"/>
      <c r="AB5" s="40"/>
      <c r="AC5" s="40"/>
      <c r="AD5" s="40"/>
      <c r="AE5" s="87"/>
    </row>
    <row r="6" spans="1:31" ht="15.75">
      <c r="A6" s="869" t="s">
        <v>4</v>
      </c>
      <c r="B6" s="870"/>
      <c r="C6" s="870"/>
      <c r="D6" s="870"/>
      <c r="E6" s="871"/>
      <c r="F6" s="872">
        <v>1999</v>
      </c>
      <c r="G6" s="873"/>
      <c r="H6" s="41" t="s">
        <v>287</v>
      </c>
      <c r="I6" s="42"/>
      <c r="J6" s="46" t="s">
        <v>288</v>
      </c>
      <c r="K6" s="47"/>
      <c r="L6" s="42" t="s">
        <v>289</v>
      </c>
      <c r="M6" s="42"/>
      <c r="N6" s="46" t="s">
        <v>290</v>
      </c>
      <c r="O6" s="47"/>
      <c r="P6" s="42" t="s">
        <v>291</v>
      </c>
      <c r="Q6" s="42"/>
      <c r="R6" s="46" t="s">
        <v>292</v>
      </c>
      <c r="S6" s="47"/>
      <c r="T6" s="42" t="s">
        <v>293</v>
      </c>
      <c r="U6" s="42"/>
      <c r="V6" s="46" t="s">
        <v>294</v>
      </c>
      <c r="W6" s="47"/>
      <c r="X6" s="46" t="s">
        <v>295</v>
      </c>
      <c r="Y6" s="47"/>
      <c r="Z6" s="4" t="s">
        <v>296</v>
      </c>
      <c r="AA6" s="89" t="s">
        <v>297</v>
      </c>
      <c r="AB6" s="90" t="s">
        <v>298</v>
      </c>
      <c r="AC6" s="88" t="s">
        <v>299</v>
      </c>
      <c r="AD6" s="88" t="s">
        <v>300</v>
      </c>
      <c r="AE6" s="158" t="s">
        <v>301</v>
      </c>
    </row>
    <row r="7" spans="1:31" ht="16.5" thickBot="1">
      <c r="A7" s="874"/>
      <c r="B7" s="875" t="s">
        <v>302</v>
      </c>
      <c r="C7" s="875" t="s">
        <v>302</v>
      </c>
      <c r="D7" s="875" t="s">
        <v>302</v>
      </c>
      <c r="E7" s="875" t="s">
        <v>303</v>
      </c>
      <c r="F7" s="875" t="s">
        <v>302</v>
      </c>
      <c r="G7" s="876" t="s">
        <v>303</v>
      </c>
      <c r="H7" s="43" t="s">
        <v>304</v>
      </c>
      <c r="I7" s="44" t="s">
        <v>305</v>
      </c>
      <c r="J7" s="48" t="s">
        <v>304</v>
      </c>
      <c r="K7" s="49" t="s">
        <v>305</v>
      </c>
      <c r="L7" s="45" t="s">
        <v>304</v>
      </c>
      <c r="M7" s="44" t="s">
        <v>305</v>
      </c>
      <c r="N7" s="48" t="s">
        <v>304</v>
      </c>
      <c r="O7" s="49" t="s">
        <v>305</v>
      </c>
      <c r="P7" s="45" t="s">
        <v>304</v>
      </c>
      <c r="Q7" s="44" t="s">
        <v>305</v>
      </c>
      <c r="R7" s="48" t="s">
        <v>304</v>
      </c>
      <c r="S7" s="49" t="s">
        <v>305</v>
      </c>
      <c r="T7" s="45" t="s">
        <v>304</v>
      </c>
      <c r="U7" s="44" t="s">
        <v>305</v>
      </c>
      <c r="V7" s="48" t="s">
        <v>304</v>
      </c>
      <c r="W7" s="49" t="s">
        <v>305</v>
      </c>
      <c r="X7" s="48" t="s">
        <v>304</v>
      </c>
      <c r="Y7" s="49" t="s">
        <v>305</v>
      </c>
      <c r="Z7" s="83"/>
      <c r="AA7" s="85"/>
      <c r="AB7" s="159"/>
      <c r="AC7" s="84"/>
      <c r="AD7" s="159"/>
      <c r="AE7" s="86"/>
    </row>
    <row r="8" spans="1:31" ht="16.5" thickTop="1">
      <c r="A8" s="879" t="s">
        <v>306</v>
      </c>
      <c r="B8" s="877">
        <f aca="true" t="shared" si="0" ref="B8:AE8">+B9+B35+B42</f>
        <v>417</v>
      </c>
      <c r="C8" s="877">
        <f t="shared" si="0"/>
        <v>584</v>
      </c>
      <c r="D8" s="877">
        <f t="shared" si="0"/>
        <v>628</v>
      </c>
      <c r="E8" s="851">
        <f t="shared" si="0"/>
        <v>1673083100</v>
      </c>
      <c r="F8" s="877">
        <f t="shared" si="0"/>
        <v>677</v>
      </c>
      <c r="G8" s="878">
        <f t="shared" si="0"/>
        <v>2223544800</v>
      </c>
      <c r="H8" s="160">
        <f t="shared" si="0"/>
        <v>19</v>
      </c>
      <c r="I8" s="161">
        <f t="shared" si="0"/>
        <v>0</v>
      </c>
      <c r="J8" s="162">
        <f t="shared" si="0"/>
        <v>3</v>
      </c>
      <c r="K8" s="163">
        <f t="shared" si="0"/>
        <v>0</v>
      </c>
      <c r="L8" s="160">
        <f t="shared" si="0"/>
        <v>3</v>
      </c>
      <c r="M8" s="164">
        <f t="shared" si="0"/>
        <v>0</v>
      </c>
      <c r="N8" s="162">
        <f t="shared" si="0"/>
        <v>2</v>
      </c>
      <c r="O8" s="163">
        <f t="shared" si="0"/>
        <v>0</v>
      </c>
      <c r="P8" s="160">
        <f t="shared" si="0"/>
        <v>6</v>
      </c>
      <c r="Q8" s="164">
        <f t="shared" si="0"/>
        <v>1</v>
      </c>
      <c r="R8" s="162">
        <f t="shared" si="0"/>
        <v>54</v>
      </c>
      <c r="S8" s="161">
        <f t="shared" si="0"/>
        <v>13</v>
      </c>
      <c r="T8" s="160">
        <f t="shared" si="0"/>
        <v>348</v>
      </c>
      <c r="U8" s="161">
        <f t="shared" si="0"/>
        <v>0</v>
      </c>
      <c r="V8" s="162">
        <f t="shared" si="0"/>
        <v>12</v>
      </c>
      <c r="W8" s="163">
        <f t="shared" si="0"/>
        <v>0</v>
      </c>
      <c r="X8" s="162">
        <f t="shared" si="0"/>
        <v>0</v>
      </c>
      <c r="Y8" s="163">
        <f t="shared" si="0"/>
        <v>0</v>
      </c>
      <c r="Z8" s="165">
        <f t="shared" si="0"/>
        <v>0</v>
      </c>
      <c r="AA8" s="166">
        <f t="shared" si="0"/>
        <v>0</v>
      </c>
      <c r="AB8" s="167">
        <f t="shared" si="0"/>
        <v>0</v>
      </c>
      <c r="AC8" s="168">
        <f t="shared" si="0"/>
        <v>0</v>
      </c>
      <c r="AD8" s="169">
        <f t="shared" si="0"/>
        <v>0</v>
      </c>
      <c r="AE8" s="170">
        <f t="shared" si="0"/>
        <v>0</v>
      </c>
    </row>
    <row r="9" spans="1:31" s="407" customFormat="1" ht="18.75" customHeight="1">
      <c r="A9" s="879" t="s">
        <v>307</v>
      </c>
      <c r="B9" s="877">
        <f aca="true" t="shared" si="1" ref="B9:AE9">(SUM(B10:B12)+B13+B16+B33+(SUM(B19:B25)+B48+B49))</f>
        <v>381</v>
      </c>
      <c r="C9" s="880">
        <f t="shared" si="1"/>
        <v>552</v>
      </c>
      <c r="D9" s="880">
        <f t="shared" si="1"/>
        <v>596</v>
      </c>
      <c r="E9" s="852">
        <f t="shared" si="1"/>
        <v>1626511100</v>
      </c>
      <c r="F9" s="880">
        <f t="shared" si="1"/>
        <v>642</v>
      </c>
      <c r="G9" s="882">
        <f t="shared" si="1"/>
        <v>2153136800</v>
      </c>
      <c r="H9" s="62">
        <f t="shared" si="1"/>
        <v>17</v>
      </c>
      <c r="I9" s="66">
        <f t="shared" si="1"/>
        <v>0</v>
      </c>
      <c r="J9" s="63">
        <f t="shared" si="1"/>
        <v>3</v>
      </c>
      <c r="K9" s="64">
        <f t="shared" si="1"/>
        <v>0</v>
      </c>
      <c r="L9" s="65">
        <f t="shared" si="1"/>
        <v>3</v>
      </c>
      <c r="M9" s="66">
        <f t="shared" si="1"/>
        <v>0</v>
      </c>
      <c r="N9" s="63">
        <f t="shared" si="1"/>
        <v>2</v>
      </c>
      <c r="O9" s="64">
        <f t="shared" si="1"/>
        <v>0</v>
      </c>
      <c r="P9" s="65">
        <f t="shared" si="1"/>
        <v>4</v>
      </c>
      <c r="Q9" s="66">
        <f t="shared" si="1"/>
        <v>1</v>
      </c>
      <c r="R9" s="63">
        <f t="shared" si="1"/>
        <v>40</v>
      </c>
      <c r="S9" s="67">
        <f t="shared" si="1"/>
        <v>13</v>
      </c>
      <c r="T9" s="65">
        <f t="shared" si="1"/>
        <v>348</v>
      </c>
      <c r="U9" s="62">
        <f t="shared" si="1"/>
        <v>0</v>
      </c>
      <c r="V9" s="68">
        <f t="shared" si="1"/>
        <v>12</v>
      </c>
      <c r="W9" s="64">
        <f t="shared" si="1"/>
        <v>0</v>
      </c>
      <c r="X9" s="68">
        <f t="shared" si="1"/>
        <v>0</v>
      </c>
      <c r="Y9" s="64">
        <f t="shared" si="1"/>
        <v>0</v>
      </c>
      <c r="Z9" s="53">
        <f t="shared" si="1"/>
        <v>0</v>
      </c>
      <c r="AA9" s="62">
        <f t="shared" si="1"/>
        <v>0</v>
      </c>
      <c r="AB9" s="172">
        <f t="shared" si="1"/>
        <v>0</v>
      </c>
      <c r="AC9" s="173">
        <f t="shared" si="1"/>
        <v>0</v>
      </c>
      <c r="AD9" s="62">
        <f t="shared" si="1"/>
        <v>0</v>
      </c>
      <c r="AE9" s="64">
        <f t="shared" si="1"/>
        <v>0</v>
      </c>
    </row>
    <row r="10" spans="1:31" s="408" customFormat="1" ht="18.75" customHeight="1">
      <c r="A10" s="883" t="s">
        <v>308</v>
      </c>
      <c r="B10" s="884">
        <v>13</v>
      </c>
      <c r="C10" s="884">
        <v>12</v>
      </c>
      <c r="D10" s="884">
        <v>12</v>
      </c>
      <c r="E10" s="853">
        <v>61937200</v>
      </c>
      <c r="F10" s="884">
        <v>15</v>
      </c>
      <c r="G10" s="886">
        <v>77190000</v>
      </c>
      <c r="H10" s="55">
        <v>3</v>
      </c>
      <c r="I10" s="56">
        <v>0</v>
      </c>
      <c r="J10" s="57">
        <v>0</v>
      </c>
      <c r="K10" s="58">
        <v>0</v>
      </c>
      <c r="L10" s="59">
        <v>2</v>
      </c>
      <c r="M10" s="56">
        <v>0</v>
      </c>
      <c r="N10" s="57">
        <v>0</v>
      </c>
      <c r="O10" s="58">
        <v>0</v>
      </c>
      <c r="P10" s="59">
        <v>2</v>
      </c>
      <c r="Q10" s="56">
        <v>0</v>
      </c>
      <c r="R10" s="57">
        <v>8</v>
      </c>
      <c r="S10" s="60">
        <v>1</v>
      </c>
      <c r="T10" s="59"/>
      <c r="U10" s="55"/>
      <c r="V10" s="61"/>
      <c r="W10" s="58"/>
      <c r="X10" s="61"/>
      <c r="Y10" s="58"/>
      <c r="Z10" s="52"/>
      <c r="AA10" s="55"/>
      <c r="AB10" s="174"/>
      <c r="AC10" s="174"/>
      <c r="AD10" s="55"/>
      <c r="AE10" s="58"/>
    </row>
    <row r="11" spans="1:31" s="408" customFormat="1" ht="18.75" customHeight="1">
      <c r="A11" s="883" t="s">
        <v>309</v>
      </c>
      <c r="B11" s="884"/>
      <c r="C11" s="884"/>
      <c r="D11" s="884"/>
      <c r="E11" s="853"/>
      <c r="F11" s="884"/>
      <c r="G11" s="886"/>
      <c r="H11" s="55"/>
      <c r="I11" s="56"/>
      <c r="J11" s="57"/>
      <c r="K11" s="58"/>
      <c r="L11" s="59"/>
      <c r="M11" s="56"/>
      <c r="N11" s="57"/>
      <c r="O11" s="58"/>
      <c r="P11" s="59"/>
      <c r="Q11" s="56"/>
      <c r="R11" s="57"/>
      <c r="S11" s="60"/>
      <c r="T11" s="59"/>
      <c r="U11" s="55"/>
      <c r="V11" s="61"/>
      <c r="W11" s="58"/>
      <c r="X11" s="61"/>
      <c r="Y11" s="58"/>
      <c r="Z11" s="52"/>
      <c r="AA11" s="55"/>
      <c r="AB11" s="174"/>
      <c r="AC11" s="174"/>
      <c r="AD11" s="55"/>
      <c r="AE11" s="58"/>
    </row>
    <row r="12" spans="1:31" s="408" customFormat="1" ht="18.75" customHeight="1">
      <c r="A12" s="883" t="s">
        <v>310</v>
      </c>
      <c r="B12" s="884">
        <v>18</v>
      </c>
      <c r="C12" s="884">
        <v>17</v>
      </c>
      <c r="D12" s="884">
        <v>15</v>
      </c>
      <c r="E12" s="853">
        <v>46688200</v>
      </c>
      <c r="F12" s="884">
        <v>15</v>
      </c>
      <c r="G12" s="886">
        <v>53756000</v>
      </c>
      <c r="H12" s="55">
        <v>8</v>
      </c>
      <c r="I12" s="56">
        <v>0</v>
      </c>
      <c r="J12" s="57">
        <v>0</v>
      </c>
      <c r="K12" s="58">
        <v>0</v>
      </c>
      <c r="L12" s="59">
        <v>0</v>
      </c>
      <c r="M12" s="56">
        <v>0</v>
      </c>
      <c r="N12" s="57">
        <v>0</v>
      </c>
      <c r="O12" s="58">
        <v>0</v>
      </c>
      <c r="P12" s="59">
        <v>0</v>
      </c>
      <c r="Q12" s="56">
        <v>0</v>
      </c>
      <c r="R12" s="57">
        <v>7</v>
      </c>
      <c r="S12" s="60">
        <v>11</v>
      </c>
      <c r="T12" s="59"/>
      <c r="U12" s="55"/>
      <c r="V12" s="61"/>
      <c r="W12" s="58"/>
      <c r="X12" s="61"/>
      <c r="Y12" s="58"/>
      <c r="Z12" s="52"/>
      <c r="AA12" s="55"/>
      <c r="AB12" s="174"/>
      <c r="AC12" s="174"/>
      <c r="AD12" s="55"/>
      <c r="AE12" s="58"/>
    </row>
    <row r="13" spans="1:31" s="407" customFormat="1" ht="18.75" customHeight="1">
      <c r="A13" s="887" t="s">
        <v>311</v>
      </c>
      <c r="B13" s="888">
        <f>SUM(B14:B15)</f>
        <v>168</v>
      </c>
      <c r="C13" s="888">
        <f aca="true" t="shared" si="2" ref="C13:R13">SUM(C14:C15)</f>
        <v>234</v>
      </c>
      <c r="D13" s="888">
        <f t="shared" si="2"/>
        <v>255</v>
      </c>
      <c r="E13" s="854">
        <f t="shared" si="2"/>
        <v>872652500</v>
      </c>
      <c r="F13" s="888">
        <f t="shared" si="2"/>
        <v>362</v>
      </c>
      <c r="G13" s="889">
        <f t="shared" si="2"/>
        <v>1209959000</v>
      </c>
      <c r="H13" s="69">
        <f t="shared" si="2"/>
        <v>1</v>
      </c>
      <c r="I13" s="70">
        <f t="shared" si="2"/>
        <v>0</v>
      </c>
      <c r="J13" s="71">
        <f t="shared" si="2"/>
        <v>0</v>
      </c>
      <c r="K13" s="72">
        <f t="shared" si="2"/>
        <v>0</v>
      </c>
      <c r="L13" s="73">
        <f t="shared" si="2"/>
        <v>0</v>
      </c>
      <c r="M13" s="70">
        <f t="shared" si="2"/>
        <v>0</v>
      </c>
      <c r="N13" s="71">
        <f t="shared" si="2"/>
        <v>0</v>
      </c>
      <c r="O13" s="72">
        <f t="shared" si="2"/>
        <v>0</v>
      </c>
      <c r="P13" s="73">
        <f t="shared" si="2"/>
        <v>0</v>
      </c>
      <c r="Q13" s="70">
        <f t="shared" si="2"/>
        <v>0</v>
      </c>
      <c r="R13" s="71">
        <f t="shared" si="2"/>
        <v>13</v>
      </c>
      <c r="S13" s="74">
        <f aca="true" t="shared" si="3" ref="S13:AE13">SUM(S14:S15)</f>
        <v>0</v>
      </c>
      <c r="T13" s="73">
        <f t="shared" si="3"/>
        <v>348</v>
      </c>
      <c r="U13" s="69">
        <f t="shared" si="3"/>
        <v>0</v>
      </c>
      <c r="V13" s="75">
        <f t="shared" si="3"/>
        <v>0</v>
      </c>
      <c r="W13" s="72">
        <f t="shared" si="3"/>
        <v>0</v>
      </c>
      <c r="X13" s="75">
        <f t="shared" si="3"/>
        <v>0</v>
      </c>
      <c r="Y13" s="72">
        <f t="shared" si="3"/>
        <v>0</v>
      </c>
      <c r="Z13" s="76">
        <f t="shared" si="3"/>
        <v>0</v>
      </c>
      <c r="AA13" s="69">
        <f t="shared" si="3"/>
        <v>0</v>
      </c>
      <c r="AB13" s="175">
        <f t="shared" si="3"/>
        <v>0</v>
      </c>
      <c r="AC13" s="175">
        <f t="shared" si="3"/>
        <v>0</v>
      </c>
      <c r="AD13" s="69">
        <f>SUM(AD14:AD15)</f>
        <v>0</v>
      </c>
      <c r="AE13" s="72">
        <f t="shared" si="3"/>
        <v>0</v>
      </c>
    </row>
    <row r="14" spans="1:31" s="408" customFormat="1" ht="18.75" customHeight="1">
      <c r="A14" s="890" t="s">
        <v>312</v>
      </c>
      <c r="B14" s="891">
        <v>163</v>
      </c>
      <c r="C14" s="891">
        <v>230</v>
      </c>
      <c r="D14" s="891">
        <v>248</v>
      </c>
      <c r="E14" s="855">
        <v>851200000</v>
      </c>
      <c r="F14" s="891">
        <v>348</v>
      </c>
      <c r="G14" s="886">
        <v>1162850000</v>
      </c>
      <c r="H14" s="55">
        <v>0</v>
      </c>
      <c r="I14" s="56">
        <v>0</v>
      </c>
      <c r="J14" s="57">
        <v>0</v>
      </c>
      <c r="K14" s="58">
        <v>0</v>
      </c>
      <c r="L14" s="59">
        <v>0</v>
      </c>
      <c r="M14" s="56">
        <v>0</v>
      </c>
      <c r="N14" s="57">
        <v>0</v>
      </c>
      <c r="O14" s="58">
        <v>0</v>
      </c>
      <c r="P14" s="59">
        <v>0</v>
      </c>
      <c r="Q14" s="56">
        <v>0</v>
      </c>
      <c r="R14" s="57">
        <v>0</v>
      </c>
      <c r="S14" s="60">
        <v>0</v>
      </c>
      <c r="T14" s="59">
        <v>348</v>
      </c>
      <c r="U14" s="55"/>
      <c r="V14" s="61"/>
      <c r="W14" s="58"/>
      <c r="X14" s="61"/>
      <c r="Y14" s="58"/>
      <c r="Z14" s="52"/>
      <c r="AA14" s="55"/>
      <c r="AB14" s="174"/>
      <c r="AC14" s="174"/>
      <c r="AD14" s="55"/>
      <c r="AE14" s="58"/>
    </row>
    <row r="15" spans="1:31" s="408" customFormat="1" ht="18.75" customHeight="1">
      <c r="A15" s="890" t="s">
        <v>313</v>
      </c>
      <c r="B15" s="891">
        <v>5</v>
      </c>
      <c r="C15" s="891">
        <v>4</v>
      </c>
      <c r="D15" s="891">
        <v>7</v>
      </c>
      <c r="E15" s="855">
        <v>21452500</v>
      </c>
      <c r="F15" s="891">
        <v>14</v>
      </c>
      <c r="G15" s="886">
        <v>47109000</v>
      </c>
      <c r="H15" s="55">
        <v>1</v>
      </c>
      <c r="I15" s="56">
        <v>0</v>
      </c>
      <c r="J15" s="57">
        <v>0</v>
      </c>
      <c r="K15" s="58">
        <v>0</v>
      </c>
      <c r="L15" s="59">
        <v>0</v>
      </c>
      <c r="M15" s="56">
        <v>0</v>
      </c>
      <c r="N15" s="57">
        <v>0</v>
      </c>
      <c r="O15" s="58">
        <v>0</v>
      </c>
      <c r="P15" s="59">
        <v>0</v>
      </c>
      <c r="Q15" s="56">
        <v>0</v>
      </c>
      <c r="R15" s="57">
        <v>13</v>
      </c>
      <c r="S15" s="60">
        <v>0</v>
      </c>
      <c r="T15" s="59"/>
      <c r="U15" s="55"/>
      <c r="V15" s="61"/>
      <c r="W15" s="58"/>
      <c r="X15" s="61"/>
      <c r="Y15" s="58"/>
      <c r="Z15" s="52"/>
      <c r="AA15" s="55"/>
      <c r="AB15" s="174"/>
      <c r="AC15" s="174"/>
      <c r="AD15" s="55"/>
      <c r="AE15" s="58"/>
    </row>
    <row r="16" spans="1:31" s="407" customFormat="1" ht="18.75" customHeight="1">
      <c r="A16" s="887" t="s">
        <v>314</v>
      </c>
      <c r="B16" s="888">
        <f>SUM(B17:B18)</f>
        <v>16</v>
      </c>
      <c r="C16" s="888">
        <f aca="true" t="shared" si="4" ref="C16:R16">SUM(C17:C18)</f>
        <v>16</v>
      </c>
      <c r="D16" s="888">
        <f t="shared" si="4"/>
        <v>20</v>
      </c>
      <c r="E16" s="854">
        <f t="shared" si="4"/>
        <v>79285500</v>
      </c>
      <c r="F16" s="888">
        <f t="shared" si="4"/>
        <v>16</v>
      </c>
      <c r="G16" s="889">
        <f t="shared" si="4"/>
        <v>276904000</v>
      </c>
      <c r="H16" s="69">
        <f t="shared" si="4"/>
        <v>0</v>
      </c>
      <c r="I16" s="70">
        <f t="shared" si="4"/>
        <v>0</v>
      </c>
      <c r="J16" s="71">
        <f t="shared" si="4"/>
        <v>1</v>
      </c>
      <c r="K16" s="72">
        <f t="shared" si="4"/>
        <v>0</v>
      </c>
      <c r="L16" s="73">
        <f t="shared" si="4"/>
        <v>0</v>
      </c>
      <c r="M16" s="70">
        <f t="shared" si="4"/>
        <v>0</v>
      </c>
      <c r="N16" s="71">
        <f t="shared" si="4"/>
        <v>1</v>
      </c>
      <c r="O16" s="72">
        <f t="shared" si="4"/>
        <v>0</v>
      </c>
      <c r="P16" s="73">
        <f t="shared" si="4"/>
        <v>0</v>
      </c>
      <c r="Q16" s="70">
        <f t="shared" si="4"/>
        <v>0</v>
      </c>
      <c r="R16" s="71">
        <f t="shared" si="4"/>
        <v>2</v>
      </c>
      <c r="S16" s="74">
        <f aca="true" t="shared" si="5" ref="S16:AE16">SUM(S17:S18)</f>
        <v>0</v>
      </c>
      <c r="T16" s="73">
        <f t="shared" si="5"/>
        <v>0</v>
      </c>
      <c r="U16" s="69">
        <f t="shared" si="5"/>
        <v>0</v>
      </c>
      <c r="V16" s="75">
        <f t="shared" si="5"/>
        <v>12</v>
      </c>
      <c r="W16" s="72">
        <f t="shared" si="5"/>
        <v>0</v>
      </c>
      <c r="X16" s="75">
        <f t="shared" si="5"/>
        <v>0</v>
      </c>
      <c r="Y16" s="72">
        <f t="shared" si="5"/>
        <v>0</v>
      </c>
      <c r="Z16" s="76">
        <f t="shared" si="5"/>
        <v>0</v>
      </c>
      <c r="AA16" s="69">
        <f t="shared" si="5"/>
        <v>0</v>
      </c>
      <c r="AB16" s="175">
        <f t="shared" si="5"/>
        <v>0</v>
      </c>
      <c r="AC16" s="175">
        <f t="shared" si="5"/>
        <v>0</v>
      </c>
      <c r="AD16" s="69">
        <f>SUM(AD17:AD18)</f>
        <v>0</v>
      </c>
      <c r="AE16" s="72">
        <f t="shared" si="5"/>
        <v>0</v>
      </c>
    </row>
    <row r="17" spans="1:31" s="408" customFormat="1" ht="18.75" customHeight="1">
      <c r="A17" s="890" t="s">
        <v>315</v>
      </c>
      <c r="B17" s="891">
        <v>6</v>
      </c>
      <c r="C17" s="891">
        <v>6</v>
      </c>
      <c r="D17" s="891">
        <v>16</v>
      </c>
      <c r="E17" s="855">
        <v>53485500</v>
      </c>
      <c r="F17" s="891">
        <v>12</v>
      </c>
      <c r="G17" s="886">
        <v>31104000</v>
      </c>
      <c r="H17" s="55">
        <v>0</v>
      </c>
      <c r="I17" s="56">
        <v>0</v>
      </c>
      <c r="J17" s="57">
        <v>0</v>
      </c>
      <c r="K17" s="58">
        <v>0</v>
      </c>
      <c r="L17" s="59">
        <v>0</v>
      </c>
      <c r="M17" s="56">
        <v>0</v>
      </c>
      <c r="N17" s="57">
        <v>0</v>
      </c>
      <c r="O17" s="58">
        <v>0</v>
      </c>
      <c r="P17" s="59">
        <v>0</v>
      </c>
      <c r="Q17" s="56">
        <v>0</v>
      </c>
      <c r="R17" s="57">
        <v>0</v>
      </c>
      <c r="S17" s="60">
        <v>0</v>
      </c>
      <c r="T17" s="59">
        <v>0</v>
      </c>
      <c r="U17" s="55">
        <v>0</v>
      </c>
      <c r="V17" s="61">
        <v>12</v>
      </c>
      <c r="W17" s="58"/>
      <c r="X17" s="61"/>
      <c r="Y17" s="58"/>
      <c r="Z17" s="52"/>
      <c r="AA17" s="55"/>
      <c r="AB17" s="174"/>
      <c r="AC17" s="174"/>
      <c r="AD17" s="55"/>
      <c r="AE17" s="58"/>
    </row>
    <row r="18" spans="1:31" s="408" customFormat="1" ht="18.75" customHeight="1">
      <c r="A18" s="890" t="s">
        <v>313</v>
      </c>
      <c r="B18" s="891">
        <v>10</v>
      </c>
      <c r="C18" s="891">
        <v>10</v>
      </c>
      <c r="D18" s="891">
        <v>4</v>
      </c>
      <c r="E18" s="855">
        <v>25800000</v>
      </c>
      <c r="F18" s="891">
        <v>4</v>
      </c>
      <c r="G18" s="886">
        <v>245800000</v>
      </c>
      <c r="H18" s="55">
        <v>0</v>
      </c>
      <c r="I18" s="56">
        <v>0</v>
      </c>
      <c r="J18" s="57">
        <v>1</v>
      </c>
      <c r="K18" s="58">
        <v>0</v>
      </c>
      <c r="L18" s="59">
        <v>0</v>
      </c>
      <c r="M18" s="56">
        <v>0</v>
      </c>
      <c r="N18" s="57">
        <v>1</v>
      </c>
      <c r="O18" s="58">
        <v>0</v>
      </c>
      <c r="P18" s="59">
        <v>0</v>
      </c>
      <c r="Q18" s="56">
        <v>0</v>
      </c>
      <c r="R18" s="57">
        <v>2</v>
      </c>
      <c r="S18" s="60">
        <v>0</v>
      </c>
      <c r="T18" s="59"/>
      <c r="U18" s="55"/>
      <c r="V18" s="61"/>
      <c r="W18" s="58"/>
      <c r="X18" s="61"/>
      <c r="Y18" s="58"/>
      <c r="Z18" s="52"/>
      <c r="AA18" s="55"/>
      <c r="AB18" s="174"/>
      <c r="AC18" s="174"/>
      <c r="AD18" s="55"/>
      <c r="AE18" s="58"/>
    </row>
    <row r="19" spans="1:31" s="408" customFormat="1" ht="18.75" customHeight="1">
      <c r="A19" s="893" t="s">
        <v>316</v>
      </c>
      <c r="B19" s="891">
        <v>2</v>
      </c>
      <c r="C19" s="891">
        <v>2</v>
      </c>
      <c r="D19" s="891">
        <v>2</v>
      </c>
      <c r="E19" s="855">
        <v>13841400</v>
      </c>
      <c r="F19" s="891">
        <v>2</v>
      </c>
      <c r="G19" s="886">
        <v>15917600</v>
      </c>
      <c r="H19" s="55">
        <v>1</v>
      </c>
      <c r="I19" s="56">
        <v>0</v>
      </c>
      <c r="J19" s="57">
        <v>0</v>
      </c>
      <c r="K19" s="58">
        <v>0</v>
      </c>
      <c r="L19" s="59">
        <v>0</v>
      </c>
      <c r="M19" s="56">
        <v>0</v>
      </c>
      <c r="N19" s="57">
        <v>0</v>
      </c>
      <c r="O19" s="58">
        <v>0</v>
      </c>
      <c r="P19" s="59">
        <v>1</v>
      </c>
      <c r="Q19" s="56">
        <v>0</v>
      </c>
      <c r="R19" s="57">
        <v>0</v>
      </c>
      <c r="S19" s="60">
        <v>0</v>
      </c>
      <c r="T19" s="59"/>
      <c r="U19" s="55"/>
      <c r="V19" s="61"/>
      <c r="W19" s="58"/>
      <c r="X19" s="61"/>
      <c r="Y19" s="58"/>
      <c r="Z19" s="52"/>
      <c r="AA19" s="55"/>
      <c r="AB19" s="174"/>
      <c r="AC19" s="174"/>
      <c r="AD19" s="55"/>
      <c r="AE19" s="58"/>
    </row>
    <row r="20" spans="1:31" s="408" customFormat="1" ht="18.75" customHeight="1">
      <c r="A20" s="893" t="s">
        <v>317</v>
      </c>
      <c r="B20" s="891">
        <v>8</v>
      </c>
      <c r="C20" s="891">
        <v>8</v>
      </c>
      <c r="D20" s="891">
        <v>9</v>
      </c>
      <c r="E20" s="855">
        <v>32079900</v>
      </c>
      <c r="F20" s="891">
        <v>9</v>
      </c>
      <c r="G20" s="886">
        <v>40189000</v>
      </c>
      <c r="H20" s="55">
        <v>1</v>
      </c>
      <c r="I20" s="56">
        <v>0</v>
      </c>
      <c r="J20" s="57">
        <v>0</v>
      </c>
      <c r="K20" s="58">
        <v>0</v>
      </c>
      <c r="L20" s="59">
        <v>1</v>
      </c>
      <c r="M20" s="56">
        <v>0</v>
      </c>
      <c r="N20" s="57">
        <v>0</v>
      </c>
      <c r="O20" s="58">
        <v>0</v>
      </c>
      <c r="P20" s="59">
        <v>0</v>
      </c>
      <c r="Q20" s="56">
        <v>1</v>
      </c>
      <c r="R20" s="57">
        <v>6</v>
      </c>
      <c r="S20" s="60">
        <v>1</v>
      </c>
      <c r="T20" s="59"/>
      <c r="U20" s="55"/>
      <c r="V20" s="61"/>
      <c r="W20" s="58"/>
      <c r="X20" s="61"/>
      <c r="Y20" s="58"/>
      <c r="Z20" s="52"/>
      <c r="AA20" s="55"/>
      <c r="AB20" s="174"/>
      <c r="AC20" s="174"/>
      <c r="AD20" s="55"/>
      <c r="AE20" s="58"/>
    </row>
    <row r="21" spans="1:31" s="408" customFormat="1" ht="18.75" customHeight="1">
      <c r="A21" s="893" t="s">
        <v>318</v>
      </c>
      <c r="B21" s="891">
        <v>4</v>
      </c>
      <c r="C21" s="891">
        <v>4</v>
      </c>
      <c r="D21" s="891">
        <v>9</v>
      </c>
      <c r="E21" s="855">
        <v>17749500</v>
      </c>
      <c r="F21" s="891"/>
      <c r="G21" s="886"/>
      <c r="H21" s="55"/>
      <c r="I21" s="56"/>
      <c r="J21" s="57"/>
      <c r="K21" s="58"/>
      <c r="L21" s="59"/>
      <c r="M21" s="56"/>
      <c r="N21" s="57"/>
      <c r="O21" s="58"/>
      <c r="P21" s="59"/>
      <c r="Q21" s="56"/>
      <c r="R21" s="57"/>
      <c r="S21" s="60"/>
      <c r="T21" s="59"/>
      <c r="U21" s="55"/>
      <c r="V21" s="61"/>
      <c r="W21" s="58"/>
      <c r="X21" s="61"/>
      <c r="Y21" s="58"/>
      <c r="Z21" s="52"/>
      <c r="AA21" s="55"/>
      <c r="AB21" s="174"/>
      <c r="AC21" s="174"/>
      <c r="AD21" s="55"/>
      <c r="AE21" s="58"/>
    </row>
    <row r="22" spans="1:31" s="408" customFormat="1" ht="18.75" customHeight="1">
      <c r="A22" s="893" t="s">
        <v>657</v>
      </c>
      <c r="B22" s="891">
        <v>5</v>
      </c>
      <c r="C22" s="891">
        <v>6</v>
      </c>
      <c r="D22" s="891">
        <v>4</v>
      </c>
      <c r="E22" s="855">
        <v>22549800</v>
      </c>
      <c r="F22" s="891">
        <v>5</v>
      </c>
      <c r="G22" s="886">
        <v>26067000</v>
      </c>
      <c r="H22" s="55">
        <v>1</v>
      </c>
      <c r="I22" s="56">
        <v>0</v>
      </c>
      <c r="J22" s="57">
        <v>0</v>
      </c>
      <c r="K22" s="58">
        <v>0</v>
      </c>
      <c r="L22" s="59">
        <v>0</v>
      </c>
      <c r="M22" s="56">
        <v>0</v>
      </c>
      <c r="N22" s="57">
        <v>1</v>
      </c>
      <c r="O22" s="58">
        <v>0</v>
      </c>
      <c r="P22" s="59">
        <v>1</v>
      </c>
      <c r="Q22" s="56">
        <v>0</v>
      </c>
      <c r="R22" s="57">
        <v>2</v>
      </c>
      <c r="S22" s="60">
        <v>0</v>
      </c>
      <c r="T22" s="59"/>
      <c r="U22" s="55"/>
      <c r="V22" s="61"/>
      <c r="W22" s="58"/>
      <c r="X22" s="61"/>
      <c r="Y22" s="58"/>
      <c r="Z22" s="52"/>
      <c r="AA22" s="55"/>
      <c r="AB22" s="174"/>
      <c r="AC22" s="174"/>
      <c r="AD22" s="55"/>
      <c r="AE22" s="58"/>
    </row>
    <row r="23" spans="1:31" s="408" customFormat="1" ht="18.75" customHeight="1">
      <c r="A23" s="893" t="s">
        <v>319</v>
      </c>
      <c r="B23" s="891">
        <v>5</v>
      </c>
      <c r="C23" s="891">
        <v>2</v>
      </c>
      <c r="D23" s="891">
        <v>2</v>
      </c>
      <c r="E23" s="855">
        <v>11561600</v>
      </c>
      <c r="F23" s="891">
        <v>2</v>
      </c>
      <c r="G23" s="886">
        <v>13295000</v>
      </c>
      <c r="H23" s="55">
        <v>1</v>
      </c>
      <c r="I23" s="56">
        <v>0</v>
      </c>
      <c r="J23" s="57">
        <v>0</v>
      </c>
      <c r="K23" s="58">
        <v>0</v>
      </c>
      <c r="L23" s="59">
        <v>0</v>
      </c>
      <c r="M23" s="56">
        <v>0</v>
      </c>
      <c r="N23" s="57">
        <v>0</v>
      </c>
      <c r="O23" s="58">
        <v>0</v>
      </c>
      <c r="P23" s="59">
        <v>0</v>
      </c>
      <c r="Q23" s="56">
        <v>0</v>
      </c>
      <c r="R23" s="57">
        <v>1</v>
      </c>
      <c r="S23" s="60">
        <v>0</v>
      </c>
      <c r="T23" s="59"/>
      <c r="U23" s="55"/>
      <c r="V23" s="61"/>
      <c r="W23" s="58"/>
      <c r="X23" s="61"/>
      <c r="Y23" s="58"/>
      <c r="Z23" s="52"/>
      <c r="AA23" s="55"/>
      <c r="AB23" s="174"/>
      <c r="AC23" s="174"/>
      <c r="AD23" s="55"/>
      <c r="AE23" s="58"/>
    </row>
    <row r="24" spans="1:31" s="408" customFormat="1" ht="18.75" customHeight="1">
      <c r="A24" s="890" t="s">
        <v>658</v>
      </c>
      <c r="B24" s="891">
        <v>4</v>
      </c>
      <c r="C24" s="891">
        <v>4</v>
      </c>
      <c r="D24" s="891">
        <v>4</v>
      </c>
      <c r="E24" s="855">
        <v>23123200</v>
      </c>
      <c r="F24" s="891">
        <v>2</v>
      </c>
      <c r="G24" s="886">
        <v>13295000</v>
      </c>
      <c r="H24" s="55">
        <v>1</v>
      </c>
      <c r="I24" s="56">
        <v>0</v>
      </c>
      <c r="J24" s="57">
        <v>0</v>
      </c>
      <c r="K24" s="58">
        <v>0</v>
      </c>
      <c r="L24" s="59">
        <v>0</v>
      </c>
      <c r="M24" s="56">
        <v>0</v>
      </c>
      <c r="N24" s="57">
        <v>0</v>
      </c>
      <c r="O24" s="58">
        <v>0</v>
      </c>
      <c r="P24" s="59">
        <v>0</v>
      </c>
      <c r="Q24" s="56">
        <v>0</v>
      </c>
      <c r="R24" s="57">
        <v>1</v>
      </c>
      <c r="S24" s="60">
        <v>0</v>
      </c>
      <c r="T24" s="59"/>
      <c r="U24" s="55"/>
      <c r="V24" s="61"/>
      <c r="W24" s="58"/>
      <c r="X24" s="61"/>
      <c r="Y24" s="58"/>
      <c r="Z24" s="52"/>
      <c r="AA24" s="55"/>
      <c r="AB24" s="174"/>
      <c r="AC24" s="174"/>
      <c r="AD24" s="55"/>
      <c r="AE24" s="58"/>
    </row>
    <row r="25" spans="1:31" s="407" customFormat="1" ht="18.75" customHeight="1">
      <c r="A25" s="887" t="s">
        <v>320</v>
      </c>
      <c r="B25" s="888">
        <f aca="true" t="shared" si="6" ref="B25:AE25">SUM(B26:B26)</f>
        <v>0</v>
      </c>
      <c r="C25" s="888">
        <f t="shared" si="6"/>
        <v>0</v>
      </c>
      <c r="D25" s="888">
        <f t="shared" si="6"/>
        <v>0</v>
      </c>
      <c r="E25" s="854">
        <f t="shared" si="6"/>
        <v>0</v>
      </c>
      <c r="F25" s="888">
        <f t="shared" si="6"/>
        <v>0</v>
      </c>
      <c r="G25" s="889">
        <f t="shared" si="6"/>
        <v>0</v>
      </c>
      <c r="H25" s="69">
        <f t="shared" si="6"/>
        <v>0</v>
      </c>
      <c r="I25" s="70">
        <f t="shared" si="6"/>
        <v>0</v>
      </c>
      <c r="J25" s="71">
        <f t="shared" si="6"/>
        <v>0</v>
      </c>
      <c r="K25" s="72">
        <f t="shared" si="6"/>
        <v>0</v>
      </c>
      <c r="L25" s="73">
        <f t="shared" si="6"/>
        <v>0</v>
      </c>
      <c r="M25" s="70">
        <f t="shared" si="6"/>
        <v>0</v>
      </c>
      <c r="N25" s="71">
        <f t="shared" si="6"/>
        <v>0</v>
      </c>
      <c r="O25" s="72">
        <f t="shared" si="6"/>
        <v>0</v>
      </c>
      <c r="P25" s="73">
        <f t="shared" si="6"/>
        <v>0</v>
      </c>
      <c r="Q25" s="70">
        <f t="shared" si="6"/>
        <v>0</v>
      </c>
      <c r="R25" s="71">
        <f t="shared" si="6"/>
        <v>0</v>
      </c>
      <c r="S25" s="74">
        <f t="shared" si="6"/>
        <v>0</v>
      </c>
      <c r="T25" s="73">
        <f t="shared" si="6"/>
        <v>0</v>
      </c>
      <c r="U25" s="69">
        <f t="shared" si="6"/>
        <v>0</v>
      </c>
      <c r="V25" s="75">
        <f t="shared" si="6"/>
        <v>0</v>
      </c>
      <c r="W25" s="72">
        <v>0</v>
      </c>
      <c r="X25" s="75">
        <f t="shared" si="6"/>
        <v>0</v>
      </c>
      <c r="Y25" s="72">
        <f t="shared" si="6"/>
        <v>0</v>
      </c>
      <c r="Z25" s="76">
        <f t="shared" si="6"/>
        <v>0</v>
      </c>
      <c r="AA25" s="69">
        <f t="shared" si="6"/>
        <v>0</v>
      </c>
      <c r="AB25" s="175">
        <f t="shared" si="6"/>
        <v>0</v>
      </c>
      <c r="AC25" s="175">
        <f t="shared" si="6"/>
        <v>0</v>
      </c>
      <c r="AD25" s="69">
        <f t="shared" si="6"/>
        <v>0</v>
      </c>
      <c r="AE25" s="72">
        <f t="shared" si="6"/>
        <v>0</v>
      </c>
    </row>
    <row r="26" spans="1:31" s="408" customFormat="1" ht="18.75" customHeight="1">
      <c r="A26" s="890" t="s">
        <v>321</v>
      </c>
      <c r="B26" s="891"/>
      <c r="C26" s="891"/>
      <c r="D26" s="891"/>
      <c r="E26" s="855"/>
      <c r="F26" s="891"/>
      <c r="G26" s="886"/>
      <c r="H26" s="55"/>
      <c r="I26" s="56"/>
      <c r="J26" s="57"/>
      <c r="K26" s="58"/>
      <c r="L26" s="59"/>
      <c r="M26" s="56"/>
      <c r="N26" s="57"/>
      <c r="O26" s="58"/>
      <c r="P26" s="59"/>
      <c r="Q26" s="56"/>
      <c r="R26" s="57"/>
      <c r="S26" s="60"/>
      <c r="T26" s="59"/>
      <c r="U26" s="55"/>
      <c r="V26" s="61"/>
      <c r="W26" s="58"/>
      <c r="X26" s="61"/>
      <c r="Y26" s="58"/>
      <c r="Z26" s="52"/>
      <c r="AA26" s="55"/>
      <c r="AB26" s="174"/>
      <c r="AC26" s="174"/>
      <c r="AD26" s="55"/>
      <c r="AE26" s="58"/>
    </row>
    <row r="27" spans="1:31" s="408" customFormat="1" ht="18.75" customHeight="1">
      <c r="A27" s="890" t="s">
        <v>322</v>
      </c>
      <c r="B27" s="891"/>
      <c r="C27" s="891"/>
      <c r="D27" s="891"/>
      <c r="E27" s="855"/>
      <c r="F27" s="891"/>
      <c r="G27" s="886"/>
      <c r="H27" s="55"/>
      <c r="I27" s="56"/>
      <c r="J27" s="57"/>
      <c r="K27" s="58"/>
      <c r="L27" s="59"/>
      <c r="M27" s="56"/>
      <c r="N27" s="57"/>
      <c r="O27" s="58"/>
      <c r="P27" s="59"/>
      <c r="Q27" s="56"/>
      <c r="R27" s="57"/>
      <c r="S27" s="60"/>
      <c r="T27" s="59"/>
      <c r="U27" s="55"/>
      <c r="V27" s="61"/>
      <c r="W27" s="58"/>
      <c r="X27" s="61"/>
      <c r="Y27" s="58"/>
      <c r="Z27" s="52"/>
      <c r="AA27" s="55"/>
      <c r="AB27" s="174"/>
      <c r="AC27" s="174"/>
      <c r="AD27" s="55"/>
      <c r="AE27" s="58"/>
    </row>
    <row r="28" spans="1:31" s="408" customFormat="1" ht="18.75" customHeight="1">
      <c r="A28" s="890" t="s">
        <v>323</v>
      </c>
      <c r="B28" s="891"/>
      <c r="C28" s="891"/>
      <c r="D28" s="891"/>
      <c r="E28" s="855"/>
      <c r="F28" s="891"/>
      <c r="G28" s="886"/>
      <c r="H28" s="55"/>
      <c r="I28" s="56"/>
      <c r="J28" s="57"/>
      <c r="K28" s="58"/>
      <c r="L28" s="59"/>
      <c r="M28" s="56"/>
      <c r="N28" s="57"/>
      <c r="O28" s="58"/>
      <c r="P28" s="59"/>
      <c r="Q28" s="56"/>
      <c r="R28" s="57"/>
      <c r="S28" s="60"/>
      <c r="T28" s="59"/>
      <c r="U28" s="55"/>
      <c r="V28" s="61"/>
      <c r="W28" s="58"/>
      <c r="X28" s="61"/>
      <c r="Y28" s="58"/>
      <c r="Z28" s="52"/>
      <c r="AA28" s="55"/>
      <c r="AB28" s="174"/>
      <c r="AC28" s="174"/>
      <c r="AD28" s="55"/>
      <c r="AE28" s="58"/>
    </row>
    <row r="29" spans="1:31" s="408" customFormat="1" ht="18.75" customHeight="1">
      <c r="A29" s="890" t="s">
        <v>324</v>
      </c>
      <c r="B29" s="891"/>
      <c r="C29" s="891"/>
      <c r="D29" s="891"/>
      <c r="E29" s="855"/>
      <c r="F29" s="891"/>
      <c r="G29" s="886"/>
      <c r="H29" s="55"/>
      <c r="I29" s="56"/>
      <c r="J29" s="57"/>
      <c r="K29" s="58"/>
      <c r="L29" s="59"/>
      <c r="M29" s="56"/>
      <c r="N29" s="57"/>
      <c r="O29" s="58"/>
      <c r="P29" s="59"/>
      <c r="Q29" s="56"/>
      <c r="R29" s="57"/>
      <c r="S29" s="60"/>
      <c r="T29" s="59"/>
      <c r="U29" s="55"/>
      <c r="V29" s="61"/>
      <c r="W29" s="58"/>
      <c r="X29" s="61"/>
      <c r="Y29" s="58"/>
      <c r="Z29" s="52"/>
      <c r="AA29" s="55"/>
      <c r="AB29" s="174"/>
      <c r="AC29" s="174"/>
      <c r="AD29" s="55"/>
      <c r="AE29" s="58"/>
    </row>
    <row r="30" spans="1:31" s="408" customFormat="1" ht="18.75" customHeight="1">
      <c r="A30" s="890" t="s">
        <v>325</v>
      </c>
      <c r="B30" s="891">
        <v>4</v>
      </c>
      <c r="C30" s="891">
        <v>4</v>
      </c>
      <c r="D30" s="891">
        <v>3</v>
      </c>
      <c r="E30" s="855">
        <v>10800000</v>
      </c>
      <c r="F30" s="891">
        <v>3</v>
      </c>
      <c r="G30" s="886">
        <v>15764200</v>
      </c>
      <c r="H30" s="55">
        <v>0</v>
      </c>
      <c r="I30" s="56">
        <v>0</v>
      </c>
      <c r="J30" s="57">
        <v>0</v>
      </c>
      <c r="K30" s="58">
        <v>0</v>
      </c>
      <c r="L30" s="59">
        <v>0</v>
      </c>
      <c r="M30" s="56">
        <v>0</v>
      </c>
      <c r="N30" s="57">
        <v>2</v>
      </c>
      <c r="O30" s="58">
        <v>1</v>
      </c>
      <c r="P30" s="59">
        <v>0</v>
      </c>
      <c r="Q30" s="56">
        <v>0</v>
      </c>
      <c r="R30" s="57">
        <v>1</v>
      </c>
      <c r="S30" s="60">
        <v>0</v>
      </c>
      <c r="T30" s="59"/>
      <c r="U30" s="55"/>
      <c r="V30" s="61"/>
      <c r="W30" s="58"/>
      <c r="X30" s="61"/>
      <c r="Y30" s="58"/>
      <c r="Z30" s="52"/>
      <c r="AA30" s="55"/>
      <c r="AB30" s="174"/>
      <c r="AC30" s="174"/>
      <c r="AD30" s="55"/>
      <c r="AE30" s="58"/>
    </row>
    <row r="31" spans="1:31" s="408" customFormat="1" ht="18.75" customHeight="1">
      <c r="A31" s="890" t="s">
        <v>326</v>
      </c>
      <c r="B31" s="891"/>
      <c r="C31" s="891"/>
      <c r="D31" s="891"/>
      <c r="E31" s="855"/>
      <c r="F31" s="891"/>
      <c r="G31" s="886"/>
      <c r="H31" s="55"/>
      <c r="I31" s="56"/>
      <c r="J31" s="57"/>
      <c r="K31" s="58"/>
      <c r="L31" s="59"/>
      <c r="M31" s="56"/>
      <c r="N31" s="57"/>
      <c r="O31" s="58"/>
      <c r="P31" s="59"/>
      <c r="Q31" s="56"/>
      <c r="R31" s="57"/>
      <c r="S31" s="60"/>
      <c r="T31" s="59"/>
      <c r="U31" s="55"/>
      <c r="V31" s="61"/>
      <c r="W31" s="58"/>
      <c r="X31" s="61"/>
      <c r="Y31" s="58"/>
      <c r="Z31" s="52"/>
      <c r="AA31" s="55"/>
      <c r="AB31" s="174"/>
      <c r="AC31" s="174"/>
      <c r="AD31" s="55"/>
      <c r="AE31" s="58"/>
    </row>
    <row r="32" spans="1:31" s="408" customFormat="1" ht="18.75" customHeight="1">
      <c r="A32" s="890" t="s">
        <v>327</v>
      </c>
      <c r="B32" s="891"/>
      <c r="C32" s="891"/>
      <c r="D32" s="891"/>
      <c r="E32" s="855"/>
      <c r="F32" s="891"/>
      <c r="G32" s="886"/>
      <c r="H32" s="55"/>
      <c r="I32" s="56"/>
      <c r="J32" s="57"/>
      <c r="K32" s="58"/>
      <c r="L32" s="59"/>
      <c r="M32" s="56"/>
      <c r="N32" s="57"/>
      <c r="O32" s="58"/>
      <c r="P32" s="59"/>
      <c r="Q32" s="56"/>
      <c r="R32" s="57"/>
      <c r="S32" s="60"/>
      <c r="T32" s="59"/>
      <c r="U32" s="55"/>
      <c r="V32" s="61"/>
      <c r="W32" s="58"/>
      <c r="X32" s="61"/>
      <c r="Y32" s="58"/>
      <c r="Z32" s="52"/>
      <c r="AA32" s="55"/>
      <c r="AB32" s="174"/>
      <c r="AC32" s="174"/>
      <c r="AD32" s="55"/>
      <c r="AE32" s="58"/>
    </row>
    <row r="33" spans="1:31" s="407" customFormat="1" ht="18.75" customHeight="1">
      <c r="A33" s="887" t="s">
        <v>328</v>
      </c>
      <c r="B33" s="888">
        <f aca="true" t="shared" si="7" ref="B33:AE33">SUM(B34:B34)</f>
        <v>3</v>
      </c>
      <c r="C33" s="888">
        <f t="shared" si="7"/>
        <v>3</v>
      </c>
      <c r="D33" s="888">
        <f t="shared" si="7"/>
        <v>2</v>
      </c>
      <c r="E33" s="854">
        <f t="shared" si="7"/>
        <v>16800000</v>
      </c>
      <c r="F33" s="888">
        <f t="shared" si="7"/>
        <v>2</v>
      </c>
      <c r="G33" s="889">
        <f t="shared" si="7"/>
        <v>19200</v>
      </c>
      <c r="H33" s="69">
        <f t="shared" si="7"/>
        <v>0</v>
      </c>
      <c r="I33" s="70">
        <f t="shared" si="7"/>
        <v>0</v>
      </c>
      <c r="J33" s="71">
        <f t="shared" si="7"/>
        <v>2</v>
      </c>
      <c r="K33" s="72">
        <f t="shared" si="7"/>
        <v>0</v>
      </c>
      <c r="L33" s="73">
        <f t="shared" si="7"/>
        <v>0</v>
      </c>
      <c r="M33" s="70">
        <f t="shared" si="7"/>
        <v>0</v>
      </c>
      <c r="N33" s="71">
        <f t="shared" si="7"/>
        <v>0</v>
      </c>
      <c r="O33" s="72">
        <f t="shared" si="7"/>
        <v>0</v>
      </c>
      <c r="P33" s="73">
        <f t="shared" si="7"/>
        <v>0</v>
      </c>
      <c r="Q33" s="70">
        <f t="shared" si="7"/>
        <v>0</v>
      </c>
      <c r="R33" s="71">
        <f t="shared" si="7"/>
        <v>0</v>
      </c>
      <c r="S33" s="74">
        <f t="shared" si="7"/>
        <v>0</v>
      </c>
      <c r="T33" s="73">
        <f t="shared" si="7"/>
        <v>0</v>
      </c>
      <c r="U33" s="69">
        <f t="shared" si="7"/>
        <v>0</v>
      </c>
      <c r="V33" s="75">
        <f t="shared" si="7"/>
        <v>0</v>
      </c>
      <c r="W33" s="72">
        <f t="shared" si="7"/>
        <v>0</v>
      </c>
      <c r="X33" s="75">
        <f t="shared" si="7"/>
        <v>0</v>
      </c>
      <c r="Y33" s="72">
        <f t="shared" si="7"/>
        <v>0</v>
      </c>
      <c r="Z33" s="76">
        <f t="shared" si="7"/>
        <v>0</v>
      </c>
      <c r="AA33" s="69">
        <f t="shared" si="7"/>
        <v>0</v>
      </c>
      <c r="AB33" s="175">
        <f t="shared" si="7"/>
        <v>0</v>
      </c>
      <c r="AC33" s="175">
        <f t="shared" si="7"/>
        <v>0</v>
      </c>
      <c r="AD33" s="69">
        <f t="shared" si="7"/>
        <v>0</v>
      </c>
      <c r="AE33" s="72">
        <f t="shared" si="7"/>
        <v>0</v>
      </c>
    </row>
    <row r="34" spans="1:31" s="408" customFormat="1" ht="18.75" customHeight="1">
      <c r="A34" s="890" t="s">
        <v>659</v>
      </c>
      <c r="B34" s="891">
        <v>3</v>
      </c>
      <c r="C34" s="891">
        <v>3</v>
      </c>
      <c r="D34" s="891">
        <v>2</v>
      </c>
      <c r="E34" s="855">
        <v>16800000</v>
      </c>
      <c r="F34" s="891">
        <v>2</v>
      </c>
      <c r="G34" s="886">
        <v>19200</v>
      </c>
      <c r="H34" s="55">
        <v>0</v>
      </c>
      <c r="I34" s="56">
        <v>0</v>
      </c>
      <c r="J34" s="57">
        <v>2</v>
      </c>
      <c r="K34" s="58">
        <v>0</v>
      </c>
      <c r="L34" s="59">
        <v>0</v>
      </c>
      <c r="M34" s="56">
        <v>0</v>
      </c>
      <c r="N34" s="57">
        <v>0</v>
      </c>
      <c r="O34" s="58">
        <v>0</v>
      </c>
      <c r="P34" s="59">
        <v>0</v>
      </c>
      <c r="Q34" s="56">
        <v>0</v>
      </c>
      <c r="R34" s="57">
        <v>0</v>
      </c>
      <c r="S34" s="60">
        <v>0</v>
      </c>
      <c r="T34" s="59"/>
      <c r="U34" s="55"/>
      <c r="V34" s="61"/>
      <c r="W34" s="58"/>
      <c r="X34" s="61"/>
      <c r="Y34" s="58"/>
      <c r="Z34" s="52"/>
      <c r="AA34" s="55"/>
      <c r="AB34" s="174"/>
      <c r="AC34" s="174"/>
      <c r="AD34" s="55"/>
      <c r="AE34" s="58"/>
    </row>
    <row r="35" spans="1:31" s="407" customFormat="1" ht="18.75" customHeight="1">
      <c r="A35" s="894" t="s">
        <v>329</v>
      </c>
      <c r="B35" s="888">
        <f aca="true" t="shared" si="8" ref="B35:AE35">+B36+B38</f>
        <v>19</v>
      </c>
      <c r="C35" s="888">
        <f t="shared" si="8"/>
        <v>15</v>
      </c>
      <c r="D35" s="888">
        <f t="shared" si="8"/>
        <v>15</v>
      </c>
      <c r="E35" s="854">
        <f t="shared" si="8"/>
        <v>46572000</v>
      </c>
      <c r="F35" s="888">
        <f t="shared" si="8"/>
        <v>18</v>
      </c>
      <c r="G35" s="889">
        <f t="shared" si="8"/>
        <v>70408000</v>
      </c>
      <c r="H35" s="69">
        <f t="shared" si="8"/>
        <v>2</v>
      </c>
      <c r="I35" s="70">
        <f t="shared" si="8"/>
        <v>0</v>
      </c>
      <c r="J35" s="71">
        <f t="shared" si="8"/>
        <v>0</v>
      </c>
      <c r="K35" s="72">
        <f t="shared" si="8"/>
        <v>0</v>
      </c>
      <c r="L35" s="73">
        <f t="shared" si="8"/>
        <v>0</v>
      </c>
      <c r="M35" s="70">
        <f t="shared" si="8"/>
        <v>0</v>
      </c>
      <c r="N35" s="71">
        <f t="shared" si="8"/>
        <v>0</v>
      </c>
      <c r="O35" s="72">
        <f t="shared" si="8"/>
        <v>0</v>
      </c>
      <c r="P35" s="73">
        <f t="shared" si="8"/>
        <v>2</v>
      </c>
      <c r="Q35" s="70">
        <f t="shared" si="8"/>
        <v>0</v>
      </c>
      <c r="R35" s="71">
        <f t="shared" si="8"/>
        <v>14</v>
      </c>
      <c r="S35" s="74">
        <f t="shared" si="8"/>
        <v>0</v>
      </c>
      <c r="T35" s="73">
        <f t="shared" si="8"/>
        <v>0</v>
      </c>
      <c r="U35" s="69">
        <f t="shared" si="8"/>
        <v>0</v>
      </c>
      <c r="V35" s="75">
        <f t="shared" si="8"/>
        <v>0</v>
      </c>
      <c r="W35" s="72">
        <f t="shared" si="8"/>
        <v>0</v>
      </c>
      <c r="X35" s="75">
        <f t="shared" si="8"/>
        <v>0</v>
      </c>
      <c r="Y35" s="72">
        <f t="shared" si="8"/>
        <v>0</v>
      </c>
      <c r="Z35" s="76">
        <f t="shared" si="8"/>
        <v>0</v>
      </c>
      <c r="AA35" s="69">
        <f t="shared" si="8"/>
        <v>0</v>
      </c>
      <c r="AB35" s="175">
        <f t="shared" si="8"/>
        <v>0</v>
      </c>
      <c r="AC35" s="175">
        <f t="shared" si="8"/>
        <v>0</v>
      </c>
      <c r="AD35" s="69">
        <f t="shared" si="8"/>
        <v>0</v>
      </c>
      <c r="AE35" s="72">
        <f t="shared" si="8"/>
        <v>0</v>
      </c>
    </row>
    <row r="36" spans="1:31" s="407" customFormat="1" ht="18.75" customHeight="1">
      <c r="A36" s="895" t="s">
        <v>330</v>
      </c>
      <c r="B36" s="888">
        <f aca="true" t="shared" si="9" ref="B36:AE36">SUM(B37:B37)</f>
        <v>19</v>
      </c>
      <c r="C36" s="888">
        <f t="shared" si="9"/>
        <v>15</v>
      </c>
      <c r="D36" s="888">
        <f t="shared" si="9"/>
        <v>15</v>
      </c>
      <c r="E36" s="854">
        <f t="shared" si="9"/>
        <v>46572000</v>
      </c>
      <c r="F36" s="888">
        <f t="shared" si="9"/>
        <v>14</v>
      </c>
      <c r="G36" s="889">
        <f t="shared" si="9"/>
        <v>51120000</v>
      </c>
      <c r="H36" s="69">
        <f t="shared" si="9"/>
        <v>1</v>
      </c>
      <c r="I36" s="70">
        <f t="shared" si="9"/>
        <v>0</v>
      </c>
      <c r="J36" s="71">
        <f t="shared" si="9"/>
        <v>0</v>
      </c>
      <c r="K36" s="72">
        <f t="shared" si="9"/>
        <v>0</v>
      </c>
      <c r="L36" s="73">
        <f t="shared" si="9"/>
        <v>0</v>
      </c>
      <c r="M36" s="70">
        <f t="shared" si="9"/>
        <v>0</v>
      </c>
      <c r="N36" s="71">
        <f t="shared" si="9"/>
        <v>0</v>
      </c>
      <c r="O36" s="72">
        <f t="shared" si="9"/>
        <v>0</v>
      </c>
      <c r="P36" s="73">
        <f t="shared" si="9"/>
        <v>0</v>
      </c>
      <c r="Q36" s="70">
        <f t="shared" si="9"/>
        <v>0</v>
      </c>
      <c r="R36" s="71">
        <f t="shared" si="9"/>
        <v>13</v>
      </c>
      <c r="S36" s="74">
        <f t="shared" si="9"/>
        <v>0</v>
      </c>
      <c r="T36" s="73">
        <f t="shared" si="9"/>
        <v>0</v>
      </c>
      <c r="U36" s="69">
        <f t="shared" si="9"/>
        <v>0</v>
      </c>
      <c r="V36" s="75">
        <f t="shared" si="9"/>
        <v>0</v>
      </c>
      <c r="W36" s="72">
        <f t="shared" si="9"/>
        <v>0</v>
      </c>
      <c r="X36" s="75">
        <f t="shared" si="9"/>
        <v>0</v>
      </c>
      <c r="Y36" s="72">
        <f t="shared" si="9"/>
        <v>0</v>
      </c>
      <c r="Z36" s="76">
        <f t="shared" si="9"/>
        <v>0</v>
      </c>
      <c r="AA36" s="69">
        <f t="shared" si="9"/>
        <v>0</v>
      </c>
      <c r="AB36" s="175">
        <f t="shared" si="9"/>
        <v>0</v>
      </c>
      <c r="AC36" s="175">
        <f t="shared" si="9"/>
        <v>0</v>
      </c>
      <c r="AD36" s="69">
        <f t="shared" si="9"/>
        <v>0</v>
      </c>
      <c r="AE36" s="72">
        <f t="shared" si="9"/>
        <v>0</v>
      </c>
    </row>
    <row r="37" spans="1:31" s="408" customFormat="1" ht="18.75" customHeight="1">
      <c r="A37" s="890" t="s">
        <v>660</v>
      </c>
      <c r="B37" s="891">
        <v>19</v>
      </c>
      <c r="C37" s="891">
        <v>15</v>
      </c>
      <c r="D37" s="891">
        <v>15</v>
      </c>
      <c r="E37" s="855">
        <v>46572000</v>
      </c>
      <c r="F37" s="891">
        <v>14</v>
      </c>
      <c r="G37" s="886">
        <v>51120000</v>
      </c>
      <c r="H37" s="55">
        <v>1</v>
      </c>
      <c r="I37" s="56">
        <v>0</v>
      </c>
      <c r="J37" s="57">
        <v>0</v>
      </c>
      <c r="K37" s="58">
        <v>0</v>
      </c>
      <c r="L37" s="59">
        <v>0</v>
      </c>
      <c r="M37" s="56">
        <v>0</v>
      </c>
      <c r="N37" s="57">
        <v>0</v>
      </c>
      <c r="O37" s="58">
        <v>0</v>
      </c>
      <c r="P37" s="59">
        <v>0</v>
      </c>
      <c r="Q37" s="56">
        <v>0</v>
      </c>
      <c r="R37" s="57">
        <v>13</v>
      </c>
      <c r="S37" s="60">
        <v>0</v>
      </c>
      <c r="T37" s="59"/>
      <c r="U37" s="55"/>
      <c r="V37" s="61"/>
      <c r="W37" s="58"/>
      <c r="X37" s="61"/>
      <c r="Y37" s="58"/>
      <c r="Z37" s="52"/>
      <c r="AA37" s="55"/>
      <c r="AB37" s="174"/>
      <c r="AC37" s="174"/>
      <c r="AD37" s="55"/>
      <c r="AE37" s="58"/>
    </row>
    <row r="38" spans="1:31" s="407" customFormat="1" ht="18.75" customHeight="1">
      <c r="A38" s="895" t="s">
        <v>331</v>
      </c>
      <c r="B38" s="880">
        <f>SUM(B39:B41)</f>
        <v>0</v>
      </c>
      <c r="C38" s="880">
        <f aca="true" t="shared" si="10" ref="C38:R38">SUM(C39:C41)</f>
        <v>0</v>
      </c>
      <c r="D38" s="880">
        <f t="shared" si="10"/>
        <v>0</v>
      </c>
      <c r="E38" s="852">
        <f t="shared" si="10"/>
        <v>0</v>
      </c>
      <c r="F38" s="880">
        <f t="shared" si="10"/>
        <v>4</v>
      </c>
      <c r="G38" s="882">
        <f t="shared" si="10"/>
        <v>19288000</v>
      </c>
      <c r="H38" s="62">
        <f t="shared" si="10"/>
        <v>1</v>
      </c>
      <c r="I38" s="66">
        <f t="shared" si="10"/>
        <v>0</v>
      </c>
      <c r="J38" s="63">
        <f t="shared" si="10"/>
        <v>0</v>
      </c>
      <c r="K38" s="64">
        <f t="shared" si="10"/>
        <v>0</v>
      </c>
      <c r="L38" s="65">
        <f t="shared" si="10"/>
        <v>0</v>
      </c>
      <c r="M38" s="66">
        <f t="shared" si="10"/>
        <v>0</v>
      </c>
      <c r="N38" s="63">
        <f t="shared" si="10"/>
        <v>0</v>
      </c>
      <c r="O38" s="64">
        <f t="shared" si="10"/>
        <v>0</v>
      </c>
      <c r="P38" s="65">
        <f t="shared" si="10"/>
        <v>2</v>
      </c>
      <c r="Q38" s="66">
        <f t="shared" si="10"/>
        <v>0</v>
      </c>
      <c r="R38" s="63">
        <f t="shared" si="10"/>
        <v>1</v>
      </c>
      <c r="S38" s="67">
        <f aca="true" t="shared" si="11" ref="S38:AE38">SUM(S39:S41)</f>
        <v>0</v>
      </c>
      <c r="T38" s="65">
        <f t="shared" si="11"/>
        <v>0</v>
      </c>
      <c r="U38" s="62">
        <f t="shared" si="11"/>
        <v>0</v>
      </c>
      <c r="V38" s="68">
        <f t="shared" si="11"/>
        <v>0</v>
      </c>
      <c r="W38" s="64">
        <f t="shared" si="11"/>
        <v>0</v>
      </c>
      <c r="X38" s="68">
        <f t="shared" si="11"/>
        <v>0</v>
      </c>
      <c r="Y38" s="64">
        <f t="shared" si="11"/>
        <v>0</v>
      </c>
      <c r="Z38" s="53">
        <f t="shared" si="11"/>
        <v>0</v>
      </c>
      <c r="AA38" s="62">
        <f t="shared" si="11"/>
        <v>0</v>
      </c>
      <c r="AB38" s="173">
        <f t="shared" si="11"/>
        <v>0</v>
      </c>
      <c r="AC38" s="173">
        <f t="shared" si="11"/>
        <v>0</v>
      </c>
      <c r="AD38" s="62">
        <f>SUM(AD39:AD41)</f>
        <v>0</v>
      </c>
      <c r="AE38" s="64">
        <f t="shared" si="11"/>
        <v>0</v>
      </c>
    </row>
    <row r="39" spans="1:31" s="408" customFormat="1" ht="18.75" customHeight="1">
      <c r="A39" s="896" t="s">
        <v>661</v>
      </c>
      <c r="B39" s="891"/>
      <c r="C39" s="891"/>
      <c r="D39" s="891"/>
      <c r="E39" s="855"/>
      <c r="F39" s="891">
        <v>4</v>
      </c>
      <c r="G39" s="886">
        <v>19288000</v>
      </c>
      <c r="H39" s="55">
        <v>1</v>
      </c>
      <c r="I39" s="56">
        <v>0</v>
      </c>
      <c r="J39" s="57">
        <v>0</v>
      </c>
      <c r="K39" s="58">
        <v>0</v>
      </c>
      <c r="L39" s="59">
        <v>0</v>
      </c>
      <c r="M39" s="56">
        <v>0</v>
      </c>
      <c r="N39" s="57">
        <v>0</v>
      </c>
      <c r="O39" s="58">
        <v>0</v>
      </c>
      <c r="P39" s="59">
        <v>2</v>
      </c>
      <c r="Q39" s="56">
        <v>0</v>
      </c>
      <c r="R39" s="57">
        <v>1</v>
      </c>
      <c r="S39" s="60">
        <v>0</v>
      </c>
      <c r="T39" s="59"/>
      <c r="U39" s="55"/>
      <c r="V39" s="61"/>
      <c r="W39" s="58"/>
      <c r="X39" s="61"/>
      <c r="Y39" s="58"/>
      <c r="Z39" s="52"/>
      <c r="AA39" s="55"/>
      <c r="AB39" s="174"/>
      <c r="AC39" s="174"/>
      <c r="AD39" s="55"/>
      <c r="AE39" s="58"/>
    </row>
    <row r="40" spans="1:31" s="408" customFormat="1" ht="18.75" customHeight="1">
      <c r="A40" s="896"/>
      <c r="B40" s="891"/>
      <c r="C40" s="891"/>
      <c r="D40" s="891"/>
      <c r="E40" s="892"/>
      <c r="F40" s="891"/>
      <c r="G40" s="886"/>
      <c r="H40" s="55"/>
      <c r="I40" s="56"/>
      <c r="J40" s="57"/>
      <c r="K40" s="58"/>
      <c r="L40" s="59"/>
      <c r="M40" s="56"/>
      <c r="N40" s="57"/>
      <c r="O40" s="58"/>
      <c r="P40" s="59"/>
      <c r="Q40" s="56"/>
      <c r="R40" s="57"/>
      <c r="S40" s="60"/>
      <c r="T40" s="59"/>
      <c r="U40" s="55"/>
      <c r="V40" s="61"/>
      <c r="W40" s="58"/>
      <c r="X40" s="61"/>
      <c r="Y40" s="58"/>
      <c r="Z40" s="52"/>
      <c r="AA40" s="55"/>
      <c r="AB40" s="174"/>
      <c r="AC40" s="174"/>
      <c r="AD40" s="55"/>
      <c r="AE40" s="58"/>
    </row>
    <row r="41" spans="1:31" s="408" customFormat="1" ht="18.75" customHeight="1">
      <c r="A41" s="893"/>
      <c r="B41" s="891"/>
      <c r="C41" s="891"/>
      <c r="D41" s="891"/>
      <c r="E41" s="892"/>
      <c r="F41" s="891"/>
      <c r="G41" s="886"/>
      <c r="H41" s="55"/>
      <c r="I41" s="56"/>
      <c r="J41" s="57"/>
      <c r="K41" s="58"/>
      <c r="L41" s="59"/>
      <c r="M41" s="56"/>
      <c r="N41" s="57"/>
      <c r="O41" s="58"/>
      <c r="P41" s="59"/>
      <c r="Q41" s="56"/>
      <c r="R41" s="57"/>
      <c r="S41" s="60"/>
      <c r="T41" s="59"/>
      <c r="U41" s="55"/>
      <c r="V41" s="61"/>
      <c r="W41" s="58"/>
      <c r="X41" s="61"/>
      <c r="Y41" s="58"/>
      <c r="Z41" s="52"/>
      <c r="AA41" s="55"/>
      <c r="AB41" s="174"/>
      <c r="AC41" s="174"/>
      <c r="AD41" s="55"/>
      <c r="AE41" s="58"/>
    </row>
    <row r="42" spans="1:31" s="407" customFormat="1" ht="18.75" customHeight="1">
      <c r="A42" s="897" t="s">
        <v>332</v>
      </c>
      <c r="B42" s="880">
        <f>+B43+B44+B45</f>
        <v>17</v>
      </c>
      <c r="C42" s="880">
        <f aca="true" t="shared" si="12" ref="C42:AE42">+C43+C44+C45</f>
        <v>17</v>
      </c>
      <c r="D42" s="880">
        <f t="shared" si="12"/>
        <v>17</v>
      </c>
      <c r="E42" s="881">
        <f t="shared" si="12"/>
        <v>0</v>
      </c>
      <c r="F42" s="880">
        <f t="shared" si="12"/>
        <v>17</v>
      </c>
      <c r="G42" s="882">
        <f t="shared" si="12"/>
        <v>0</v>
      </c>
      <c r="H42" s="62">
        <f t="shared" si="12"/>
        <v>0</v>
      </c>
      <c r="I42" s="66">
        <f t="shared" si="12"/>
        <v>0</v>
      </c>
      <c r="J42" s="63">
        <f t="shared" si="12"/>
        <v>0</v>
      </c>
      <c r="K42" s="64">
        <f t="shared" si="12"/>
        <v>0</v>
      </c>
      <c r="L42" s="65">
        <f t="shared" si="12"/>
        <v>0</v>
      </c>
      <c r="M42" s="66">
        <f t="shared" si="12"/>
        <v>0</v>
      </c>
      <c r="N42" s="63">
        <f t="shared" si="12"/>
        <v>0</v>
      </c>
      <c r="O42" s="64">
        <f t="shared" si="12"/>
        <v>0</v>
      </c>
      <c r="P42" s="65">
        <f t="shared" si="12"/>
        <v>0</v>
      </c>
      <c r="Q42" s="66">
        <f t="shared" si="12"/>
        <v>0</v>
      </c>
      <c r="R42" s="63">
        <f t="shared" si="12"/>
        <v>0</v>
      </c>
      <c r="S42" s="67">
        <f t="shared" si="12"/>
        <v>0</v>
      </c>
      <c r="T42" s="65">
        <f t="shared" si="12"/>
        <v>0</v>
      </c>
      <c r="U42" s="62">
        <f t="shared" si="12"/>
        <v>0</v>
      </c>
      <c r="V42" s="68">
        <f t="shared" si="12"/>
        <v>0</v>
      </c>
      <c r="W42" s="64">
        <f t="shared" si="12"/>
        <v>0</v>
      </c>
      <c r="X42" s="68">
        <f t="shared" si="12"/>
        <v>0</v>
      </c>
      <c r="Y42" s="64">
        <f t="shared" si="12"/>
        <v>0</v>
      </c>
      <c r="Z42" s="53">
        <f t="shared" si="12"/>
        <v>0</v>
      </c>
      <c r="AA42" s="62">
        <f t="shared" si="12"/>
        <v>0</v>
      </c>
      <c r="AB42" s="173">
        <f t="shared" si="12"/>
        <v>0</v>
      </c>
      <c r="AC42" s="173">
        <f t="shared" si="12"/>
        <v>0</v>
      </c>
      <c r="AD42" s="62">
        <f t="shared" si="12"/>
        <v>0</v>
      </c>
      <c r="AE42" s="64">
        <f t="shared" si="12"/>
        <v>0</v>
      </c>
    </row>
    <row r="43" spans="1:31" s="408" customFormat="1" ht="18.75" customHeight="1">
      <c r="A43" s="883" t="s">
        <v>333</v>
      </c>
      <c r="B43" s="884"/>
      <c r="C43" s="884"/>
      <c r="D43" s="884"/>
      <c r="E43" s="885"/>
      <c r="F43" s="884"/>
      <c r="G43" s="886"/>
      <c r="H43" s="55"/>
      <c r="I43" s="56"/>
      <c r="J43" s="57"/>
      <c r="K43" s="58"/>
      <c r="L43" s="59"/>
      <c r="M43" s="56"/>
      <c r="N43" s="57"/>
      <c r="O43" s="58"/>
      <c r="P43" s="59"/>
      <c r="Q43" s="56"/>
      <c r="R43" s="57"/>
      <c r="S43" s="60"/>
      <c r="T43" s="59"/>
      <c r="U43" s="55"/>
      <c r="V43" s="61"/>
      <c r="W43" s="58"/>
      <c r="X43" s="61"/>
      <c r="Y43" s="58"/>
      <c r="Z43" s="52"/>
      <c r="AA43" s="55"/>
      <c r="AB43" s="174"/>
      <c r="AC43" s="174"/>
      <c r="AD43" s="55"/>
      <c r="AE43" s="58"/>
    </row>
    <row r="44" spans="1:31" s="408" customFormat="1" ht="18.75" customHeight="1">
      <c r="A44" s="898" t="s">
        <v>334</v>
      </c>
      <c r="B44" s="891">
        <v>2</v>
      </c>
      <c r="C44" s="891">
        <v>2</v>
      </c>
      <c r="D44" s="891">
        <v>2</v>
      </c>
      <c r="E44" s="892"/>
      <c r="F44" s="891">
        <v>2</v>
      </c>
      <c r="G44" s="886"/>
      <c r="H44" s="55"/>
      <c r="I44" s="56"/>
      <c r="J44" s="57"/>
      <c r="K44" s="58"/>
      <c r="L44" s="59"/>
      <c r="M44" s="56"/>
      <c r="N44" s="57"/>
      <c r="O44" s="58"/>
      <c r="P44" s="59"/>
      <c r="Q44" s="56"/>
      <c r="R44" s="57"/>
      <c r="S44" s="60"/>
      <c r="T44" s="59"/>
      <c r="U44" s="55"/>
      <c r="V44" s="61"/>
      <c r="W44" s="58"/>
      <c r="X44" s="61"/>
      <c r="Y44" s="58"/>
      <c r="Z44" s="52"/>
      <c r="AA44" s="55"/>
      <c r="AB44" s="174"/>
      <c r="AC44" s="174"/>
      <c r="AD44" s="55"/>
      <c r="AE44" s="58"/>
    </row>
    <row r="45" spans="1:31" s="407" customFormat="1" ht="18.75" customHeight="1">
      <c r="A45" s="897" t="s">
        <v>335</v>
      </c>
      <c r="B45" s="880">
        <f aca="true" t="shared" si="13" ref="B45:AE45">SUM(B46:B47)</f>
        <v>15</v>
      </c>
      <c r="C45" s="880">
        <f t="shared" si="13"/>
        <v>15</v>
      </c>
      <c r="D45" s="880">
        <f t="shared" si="13"/>
        <v>15</v>
      </c>
      <c r="E45" s="881">
        <f t="shared" si="13"/>
        <v>0</v>
      </c>
      <c r="F45" s="880">
        <f t="shared" si="13"/>
        <v>15</v>
      </c>
      <c r="G45" s="882">
        <f t="shared" si="13"/>
        <v>0</v>
      </c>
      <c r="H45" s="62">
        <f t="shared" si="13"/>
        <v>0</v>
      </c>
      <c r="I45" s="66">
        <f t="shared" si="13"/>
        <v>0</v>
      </c>
      <c r="J45" s="63">
        <f t="shared" si="13"/>
        <v>0</v>
      </c>
      <c r="K45" s="64">
        <f t="shared" si="13"/>
        <v>0</v>
      </c>
      <c r="L45" s="65">
        <f t="shared" si="13"/>
        <v>0</v>
      </c>
      <c r="M45" s="66">
        <f t="shared" si="13"/>
        <v>0</v>
      </c>
      <c r="N45" s="63">
        <f t="shared" si="13"/>
        <v>0</v>
      </c>
      <c r="O45" s="64">
        <f t="shared" si="13"/>
        <v>0</v>
      </c>
      <c r="P45" s="65">
        <f t="shared" si="13"/>
        <v>0</v>
      </c>
      <c r="Q45" s="66">
        <f t="shared" si="13"/>
        <v>0</v>
      </c>
      <c r="R45" s="63">
        <f t="shared" si="13"/>
        <v>0</v>
      </c>
      <c r="S45" s="67">
        <f t="shared" si="13"/>
        <v>0</v>
      </c>
      <c r="T45" s="65">
        <f t="shared" si="13"/>
        <v>0</v>
      </c>
      <c r="U45" s="62">
        <f t="shared" si="13"/>
        <v>0</v>
      </c>
      <c r="V45" s="68">
        <f t="shared" si="13"/>
        <v>0</v>
      </c>
      <c r="W45" s="64">
        <f t="shared" si="13"/>
        <v>0</v>
      </c>
      <c r="X45" s="68">
        <f t="shared" si="13"/>
        <v>0</v>
      </c>
      <c r="Y45" s="64">
        <f t="shared" si="13"/>
        <v>0</v>
      </c>
      <c r="Z45" s="53">
        <f t="shared" si="13"/>
        <v>0</v>
      </c>
      <c r="AA45" s="62">
        <f t="shared" si="13"/>
        <v>0</v>
      </c>
      <c r="AB45" s="173">
        <f t="shared" si="13"/>
        <v>0</v>
      </c>
      <c r="AC45" s="173">
        <f t="shared" si="13"/>
        <v>0</v>
      </c>
      <c r="AD45" s="62">
        <f t="shared" si="13"/>
        <v>0</v>
      </c>
      <c r="AE45" s="64">
        <f t="shared" si="13"/>
        <v>0</v>
      </c>
    </row>
    <row r="46" spans="1:31" s="408" customFormat="1" ht="18.75" customHeight="1">
      <c r="A46" s="883" t="s">
        <v>336</v>
      </c>
      <c r="B46" s="891">
        <v>13</v>
      </c>
      <c r="C46" s="891">
        <v>13</v>
      </c>
      <c r="D46" s="891">
        <v>13</v>
      </c>
      <c r="E46" s="892"/>
      <c r="F46" s="891">
        <v>13</v>
      </c>
      <c r="G46" s="886"/>
      <c r="H46" s="842" t="s">
        <v>21</v>
      </c>
      <c r="I46" s="835"/>
      <c r="J46" s="835"/>
      <c r="K46" s="835"/>
      <c r="L46" s="835"/>
      <c r="M46" s="835"/>
      <c r="N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  <c r="Y46" s="835"/>
      <c r="Z46" s="835"/>
      <c r="AA46" s="835"/>
      <c r="AB46" s="835"/>
      <c r="AC46" s="835"/>
      <c r="AD46" s="835"/>
      <c r="AE46" s="840"/>
    </row>
    <row r="47" spans="1:31" s="408" customFormat="1" ht="18.75" customHeight="1">
      <c r="A47" s="883" t="s">
        <v>337</v>
      </c>
      <c r="B47" s="891">
        <v>2</v>
      </c>
      <c r="C47" s="891">
        <v>2</v>
      </c>
      <c r="D47" s="891">
        <v>2</v>
      </c>
      <c r="E47" s="892"/>
      <c r="F47" s="891">
        <v>2</v>
      </c>
      <c r="G47" s="886"/>
      <c r="H47" s="55"/>
      <c r="I47" s="56"/>
      <c r="J47" s="57"/>
      <c r="K47" s="58"/>
      <c r="L47" s="59"/>
      <c r="M47" s="56"/>
      <c r="N47" s="57"/>
      <c r="O47" s="58"/>
      <c r="P47" s="59"/>
      <c r="Q47" s="56"/>
      <c r="R47" s="57"/>
      <c r="S47" s="60"/>
      <c r="T47" s="59"/>
      <c r="U47" s="55"/>
      <c r="V47" s="61"/>
      <c r="W47" s="58"/>
      <c r="X47" s="61"/>
      <c r="Y47" s="58"/>
      <c r="Z47" s="52"/>
      <c r="AA47" s="55"/>
      <c r="AB47" s="174"/>
      <c r="AC47" s="174"/>
      <c r="AD47" s="55"/>
      <c r="AE47" s="58"/>
    </row>
    <row r="48" spans="1:31" s="408" customFormat="1" ht="18.75" customHeight="1">
      <c r="A48" s="899" t="s">
        <v>338</v>
      </c>
      <c r="B48" s="891">
        <v>135</v>
      </c>
      <c r="C48" s="891">
        <v>244</v>
      </c>
      <c r="D48" s="891">
        <v>262</v>
      </c>
      <c r="E48" s="892">
        <v>428242300</v>
      </c>
      <c r="F48" s="891">
        <v>212</v>
      </c>
      <c r="G48" s="886">
        <v>426545000</v>
      </c>
      <c r="H48" s="835"/>
      <c r="I48" s="836"/>
      <c r="J48" s="837"/>
      <c r="K48" s="838"/>
      <c r="L48" s="839"/>
      <c r="M48" s="836"/>
      <c r="N48" s="837"/>
      <c r="O48" s="838"/>
      <c r="P48" s="839"/>
      <c r="Q48" s="836"/>
      <c r="R48" s="837"/>
      <c r="S48" s="840"/>
      <c r="T48" s="839"/>
      <c r="U48" s="835"/>
      <c r="V48" s="841"/>
      <c r="W48" s="838"/>
      <c r="X48" s="841"/>
      <c r="Y48" s="836"/>
      <c r="Z48" s="842"/>
      <c r="AA48" s="835"/>
      <c r="AB48" s="835"/>
      <c r="AC48" s="835"/>
      <c r="AD48" s="835"/>
      <c r="AE48" s="840"/>
    </row>
    <row r="49" spans="1:31" s="408" customFormat="1" ht="18.75" customHeight="1" thickBot="1">
      <c r="A49" s="900" t="s">
        <v>339</v>
      </c>
      <c r="B49" s="901"/>
      <c r="C49" s="901"/>
      <c r="D49" s="901"/>
      <c r="E49" s="902"/>
      <c r="F49" s="901"/>
      <c r="G49" s="903"/>
      <c r="H49" s="843"/>
      <c r="I49" s="844"/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  <c r="Y49" s="844"/>
      <c r="Z49" s="844"/>
      <c r="AA49" s="844"/>
      <c r="AB49" s="844"/>
      <c r="AC49" s="844"/>
      <c r="AD49" s="844"/>
      <c r="AE49" s="845"/>
    </row>
    <row r="50" spans="1:31" s="408" customFormat="1" ht="18.75" customHeight="1">
      <c r="A50" s="850"/>
      <c r="B50" s="176"/>
      <c r="C50" s="176"/>
      <c r="D50" s="176"/>
      <c r="E50" s="176"/>
      <c r="F50" s="176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849"/>
    </row>
    <row r="51" spans="1:32" ht="19.5" customHeight="1">
      <c r="A51" s="1"/>
      <c r="AA51" s="1"/>
      <c r="AB51" s="1"/>
      <c r="AC51" s="1"/>
      <c r="AD51" s="1"/>
      <c r="AE51" s="1"/>
      <c r="AF51" s="408"/>
    </row>
    <row r="52" spans="27:32" ht="19.5" customHeight="1">
      <c r="AA52" s="1"/>
      <c r="AB52" s="1"/>
      <c r="AC52" s="1"/>
      <c r="AD52" s="1"/>
      <c r="AE52" s="1"/>
      <c r="AF52" s="408"/>
    </row>
    <row r="53" spans="27:32" ht="19.5" customHeight="1">
      <c r="AA53" s="1"/>
      <c r="AB53" s="1"/>
      <c r="AC53" s="1"/>
      <c r="AD53" s="1"/>
      <c r="AE53" s="1"/>
      <c r="AF53" s="408"/>
    </row>
    <row r="54" spans="1:31" ht="19.5" customHeight="1">
      <c r="A54" s="846" t="s">
        <v>340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9.5" customHeight="1">
      <c r="A55" s="846" t="s">
        <v>655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 t="s">
        <v>656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846" t="s">
        <v>341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846" t="s">
        <v>342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4.75" customHeight="1">
      <c r="A59" s="846" t="s">
        <v>653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846" t="s">
        <v>654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846" t="s">
        <v>343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>
      <c r="A62" s="17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8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84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</sheetData>
  <printOptions horizontalCentered="1" verticalCentered="1"/>
  <pageMargins left="0.5905511811023623" right="0.5118110236220472" top="0.5905511811023623" bottom="0.5905511811023623" header="0.3937007874015748" footer="0.3937007874015748"/>
  <pageSetup horizontalDpi="600" verticalDpi="600" orientation="landscape" paperSize="8" scale="80" r:id="rId1"/>
  <headerFooter alignWithMargins="0">
    <oddHeader>&amp;L&amp;"Broadway,Regular Cursiva"&amp;10CONSULTER  LTDA&amp;"Book Antiqua,Normal"&amp;6
VALLEDUPAR  -  CESAR</oddHeader>
    <oddFooter>&amp;L&amp;F / &amp;A &amp;D&amp;RPágina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88"/>
  <sheetViews>
    <sheetView workbookViewId="0" topLeftCell="U5">
      <selection activeCell="AC14" sqref="AC14"/>
    </sheetView>
  </sheetViews>
  <sheetFormatPr defaultColWidth="11.5546875" defaultRowHeight="15"/>
  <cols>
    <col min="1" max="1" width="9.5546875" style="0" customWidth="1"/>
    <col min="2" max="2" width="9.5546875" style="0" hidden="1" customWidth="1"/>
    <col min="3" max="3" width="4.88671875" style="0" hidden="1" customWidth="1"/>
    <col min="4" max="4" width="8.10546875" style="221" hidden="1" customWidth="1"/>
    <col min="5" max="5" width="5.4453125" style="221" hidden="1" customWidth="1"/>
    <col min="6" max="6" width="6.10546875" style="221" hidden="1" customWidth="1"/>
    <col min="7" max="7" width="8.4453125" style="221" hidden="1" customWidth="1"/>
    <col min="8" max="8" width="10.88671875" style="0" hidden="1" customWidth="1"/>
    <col min="9" max="9" width="8.6640625" style="0" customWidth="1"/>
    <col min="10" max="10" width="8.4453125" style="0" customWidth="1"/>
    <col min="11" max="11" width="8.3359375" style="0" customWidth="1"/>
    <col min="12" max="12" width="9.6640625" style="0" customWidth="1"/>
    <col min="13" max="13" width="10.88671875" style="0" customWidth="1"/>
    <col min="14" max="14" width="10.6640625" style="0" customWidth="1"/>
    <col min="15" max="15" width="10.5546875" style="0" customWidth="1"/>
    <col min="16" max="17" width="8.99609375" style="0" customWidth="1"/>
    <col min="18" max="18" width="8.88671875" style="0" customWidth="1"/>
    <col min="19" max="19" width="8.5546875" style="0" customWidth="1"/>
    <col min="20" max="20" width="8.6640625" style="0" customWidth="1"/>
    <col min="21" max="21" width="8.3359375" style="0" customWidth="1"/>
    <col min="22" max="22" width="8.4453125" style="0" customWidth="1"/>
    <col min="23" max="23" width="8.21484375" style="0" customWidth="1"/>
    <col min="24" max="24" width="8.88671875" style="0" customWidth="1"/>
    <col min="25" max="25" width="8.6640625" style="0" customWidth="1"/>
    <col min="26" max="26" width="8.3359375" style="0" customWidth="1"/>
    <col min="27" max="27" width="8.4453125" style="0" customWidth="1"/>
    <col min="28" max="28" width="8.3359375" style="0" customWidth="1"/>
  </cols>
  <sheetData>
    <row r="1" spans="1:26" ht="18.75" thickBot="1">
      <c r="A1" s="31" t="s">
        <v>21</v>
      </c>
      <c r="B1" s="30"/>
      <c r="C1" s="30"/>
      <c r="D1" s="223"/>
      <c r="E1" s="223"/>
      <c r="F1" s="223"/>
      <c r="G1" s="223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2:26" ht="18.75" thickBot="1">
      <c r="B2" s="31"/>
      <c r="C2" s="31"/>
      <c r="D2" s="224"/>
      <c r="E2" s="224"/>
      <c r="F2" s="224"/>
      <c r="G2" s="224"/>
      <c r="H2" s="31"/>
      <c r="I2" s="31"/>
      <c r="J2" s="31"/>
      <c r="K2" s="215" t="s">
        <v>283</v>
      </c>
      <c r="L2" s="31"/>
      <c r="M2" s="217" t="str">
        <f>+PLANTA!O3</f>
        <v>ARIGUANI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8" ht="18">
      <c r="A3" s="31" t="s">
        <v>344</v>
      </c>
      <c r="B3" s="31"/>
      <c r="C3" s="31"/>
      <c r="D3" s="224"/>
      <c r="E3" s="224"/>
      <c r="F3" s="224"/>
      <c r="G3" s="224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91"/>
    </row>
    <row r="4" spans="2:3" ht="15.75" thickBot="1">
      <c r="B4" s="863"/>
      <c r="C4" s="554"/>
    </row>
    <row r="5" spans="1:28" ht="30.75" customHeight="1">
      <c r="A5" s="23" t="s">
        <v>346</v>
      </c>
      <c r="B5" s="220" t="s">
        <v>347</v>
      </c>
      <c r="C5" s="220" t="s">
        <v>348</v>
      </c>
      <c r="D5" s="933" t="s">
        <v>677</v>
      </c>
      <c r="E5" s="220" t="s">
        <v>350</v>
      </c>
      <c r="F5" s="23" t="s">
        <v>352</v>
      </c>
      <c r="G5" s="23" t="s">
        <v>353</v>
      </c>
      <c r="H5" s="24" t="s">
        <v>356</v>
      </c>
      <c r="I5" s="28" t="s">
        <v>358</v>
      </c>
      <c r="J5" s="29"/>
      <c r="K5" s="28" t="s">
        <v>359</v>
      </c>
      <c r="L5" s="29"/>
      <c r="M5" s="28" t="s">
        <v>360</v>
      </c>
      <c r="N5" s="29"/>
      <c r="O5" s="28" t="s">
        <v>361</v>
      </c>
      <c r="P5" s="29"/>
      <c r="Q5" s="28" t="s">
        <v>362</v>
      </c>
      <c r="R5" s="29"/>
      <c r="S5" s="28" t="s">
        <v>665</v>
      </c>
      <c r="T5" s="29"/>
      <c r="U5" s="28" t="s">
        <v>672</v>
      </c>
      <c r="V5" s="29"/>
      <c r="W5" s="28" t="s">
        <v>674</v>
      </c>
      <c r="X5" s="29"/>
      <c r="Y5" s="28" t="s">
        <v>675</v>
      </c>
      <c r="Z5" s="29"/>
      <c r="AA5" s="28" t="s">
        <v>676</v>
      </c>
      <c r="AB5" s="29"/>
    </row>
    <row r="6" spans="1:28" ht="15.75" thickBot="1">
      <c r="A6" s="3"/>
      <c r="B6" s="222"/>
      <c r="C6" s="222"/>
      <c r="D6" s="934" t="s">
        <v>678</v>
      </c>
      <c r="E6" s="222"/>
      <c r="F6" s="3" t="s">
        <v>366</v>
      </c>
      <c r="G6" s="732" t="s">
        <v>367</v>
      </c>
      <c r="H6" s="3" t="s">
        <v>664</v>
      </c>
      <c r="I6" s="3" t="s">
        <v>370</v>
      </c>
      <c r="J6" s="3" t="s">
        <v>371</v>
      </c>
      <c r="K6" s="3" t="s">
        <v>370</v>
      </c>
      <c r="L6" s="3" t="s">
        <v>371</v>
      </c>
      <c r="M6" s="3" t="s">
        <v>370</v>
      </c>
      <c r="N6" s="3" t="s">
        <v>371</v>
      </c>
      <c r="O6" s="3" t="s">
        <v>370</v>
      </c>
      <c r="P6" s="3" t="s">
        <v>371</v>
      </c>
      <c r="Q6" s="3" t="s">
        <v>370</v>
      </c>
      <c r="R6" s="3" t="s">
        <v>371</v>
      </c>
      <c r="S6" s="3" t="s">
        <v>370</v>
      </c>
      <c r="T6" s="3" t="s">
        <v>371</v>
      </c>
      <c r="U6" s="3" t="s">
        <v>370</v>
      </c>
      <c r="V6" s="3" t="s">
        <v>371</v>
      </c>
      <c r="W6" s="3" t="s">
        <v>370</v>
      </c>
      <c r="X6" s="3" t="s">
        <v>371</v>
      </c>
      <c r="Y6" s="3" t="s">
        <v>370</v>
      </c>
      <c r="Z6" s="3" t="s">
        <v>371</v>
      </c>
      <c r="AA6" s="3" t="s">
        <v>370</v>
      </c>
      <c r="AB6" s="3" t="s">
        <v>371</v>
      </c>
    </row>
    <row r="7" spans="1:28" ht="19.5" customHeight="1">
      <c r="A7" s="579" t="s">
        <v>666</v>
      </c>
      <c r="B7" s="578" t="s">
        <v>669</v>
      </c>
      <c r="C7" s="596">
        <v>5</v>
      </c>
      <c r="D7" s="936" t="s">
        <v>679</v>
      </c>
      <c r="E7" s="596" t="s">
        <v>668</v>
      </c>
      <c r="F7" s="580"/>
      <c r="G7" s="856">
        <v>105071690</v>
      </c>
      <c r="H7" s="861">
        <v>89310936</v>
      </c>
      <c r="I7" s="861">
        <v>19963622</v>
      </c>
      <c r="J7" s="861">
        <v>27564900</v>
      </c>
      <c r="K7" s="861">
        <v>23641130</v>
      </c>
      <c r="L7" s="861">
        <v>19726881</v>
      </c>
      <c r="M7" s="861">
        <v>25742564</v>
      </c>
      <c r="N7" s="861">
        <v>10714357</v>
      </c>
      <c r="O7" s="861">
        <v>13133960</v>
      </c>
      <c r="P7" s="861">
        <v>1797711</v>
      </c>
      <c r="Q7" s="861"/>
      <c r="R7" s="861"/>
      <c r="S7" s="861"/>
      <c r="T7" s="861"/>
      <c r="U7" s="861"/>
      <c r="V7" s="861"/>
      <c r="W7" s="861"/>
      <c r="X7" s="861"/>
      <c r="Y7" s="861"/>
      <c r="Z7" s="861"/>
      <c r="AA7" s="861"/>
      <c r="AB7" s="861"/>
    </row>
    <row r="8" spans="1:28" ht="21" customHeight="1" hidden="1">
      <c r="A8" s="581" t="s">
        <v>673</v>
      </c>
      <c r="B8" s="582" t="s">
        <v>669</v>
      </c>
      <c r="C8" s="595">
        <v>8</v>
      </c>
      <c r="D8" s="935" t="s">
        <v>679</v>
      </c>
      <c r="E8" s="582" t="s">
        <v>372</v>
      </c>
      <c r="F8" s="581"/>
      <c r="G8" s="857">
        <v>117600000</v>
      </c>
      <c r="H8" s="932">
        <v>117600000</v>
      </c>
      <c r="I8" s="859">
        <v>0</v>
      </c>
      <c r="J8" s="859">
        <v>27471360</v>
      </c>
      <c r="K8" s="859">
        <v>0</v>
      </c>
      <c r="L8" s="859">
        <v>27471360</v>
      </c>
      <c r="M8" s="859">
        <v>7056000</v>
      </c>
      <c r="N8" s="859">
        <v>26853254</v>
      </c>
      <c r="O8" s="859">
        <v>10584000</v>
      </c>
      <c r="P8" s="859">
        <v>24895920</v>
      </c>
      <c r="Q8" s="859">
        <v>12936000</v>
      </c>
      <c r="R8" s="859">
        <v>22217462</v>
      </c>
      <c r="S8" s="859">
        <v>16464000</v>
      </c>
      <c r="T8" s="859">
        <v>18886560</v>
      </c>
      <c r="U8" s="859">
        <v>16464000</v>
      </c>
      <c r="V8" s="859">
        <v>15040570</v>
      </c>
      <c r="W8" s="859">
        <v>17640000</v>
      </c>
      <c r="X8" s="859">
        <v>11091562</v>
      </c>
      <c r="Y8" s="859">
        <v>17640000</v>
      </c>
      <c r="Z8" s="859">
        <v>6970858</v>
      </c>
      <c r="AA8" s="859">
        <v>18816000</v>
      </c>
      <c r="AB8" s="859">
        <v>2747136</v>
      </c>
    </row>
    <row r="9" spans="1:28" ht="20.25" customHeight="1" hidden="1">
      <c r="A9" s="581" t="s">
        <v>666</v>
      </c>
      <c r="B9" s="582" t="s">
        <v>669</v>
      </c>
      <c r="C9" s="595">
        <v>2</v>
      </c>
      <c r="D9" s="935" t="s">
        <v>679</v>
      </c>
      <c r="E9" s="595" t="s">
        <v>670</v>
      </c>
      <c r="F9" s="585"/>
      <c r="G9" s="858">
        <v>21600000</v>
      </c>
      <c r="H9" s="857">
        <v>16200000</v>
      </c>
      <c r="I9" s="857">
        <v>16200000</v>
      </c>
      <c r="J9" s="857">
        <v>3069900</v>
      </c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</row>
    <row r="10" spans="1:28" ht="20.25" customHeight="1" hidden="1">
      <c r="A10" s="581" t="s">
        <v>666</v>
      </c>
      <c r="B10" s="582" t="s">
        <v>669</v>
      </c>
      <c r="C10" s="595">
        <v>6</v>
      </c>
      <c r="D10" s="935" t="s">
        <v>679</v>
      </c>
      <c r="E10" s="595" t="s">
        <v>670</v>
      </c>
      <c r="F10" s="585"/>
      <c r="G10" s="857">
        <v>37793628</v>
      </c>
      <c r="H10" s="857">
        <v>36565335</v>
      </c>
      <c r="I10" s="857">
        <v>5291108</v>
      </c>
      <c r="J10" s="857">
        <v>13159977</v>
      </c>
      <c r="K10" s="857">
        <v>6802853</v>
      </c>
      <c r="L10" s="857">
        <v>10939791</v>
      </c>
      <c r="M10" s="857">
        <v>8220116</v>
      </c>
      <c r="N10" s="857">
        <v>8146653</v>
      </c>
      <c r="O10" s="857">
        <v>9164956</v>
      </c>
      <c r="P10" s="857">
        <v>4870086</v>
      </c>
      <c r="Q10" s="857">
        <v>7086302</v>
      </c>
      <c r="R10" s="857">
        <v>1342854</v>
      </c>
      <c r="S10" s="857"/>
      <c r="T10" s="857"/>
      <c r="U10" s="857"/>
      <c r="V10" s="857"/>
      <c r="W10" s="857"/>
      <c r="X10" s="857"/>
      <c r="Y10" s="857"/>
      <c r="Z10" s="857"/>
      <c r="AA10" s="857"/>
      <c r="AB10" s="857"/>
    </row>
    <row r="11" spans="1:28" ht="20.25" customHeight="1" hidden="1">
      <c r="A11" s="581" t="s">
        <v>671</v>
      </c>
      <c r="B11" s="582" t="s">
        <v>669</v>
      </c>
      <c r="C11" s="595">
        <v>12</v>
      </c>
      <c r="D11" s="935" t="s">
        <v>679</v>
      </c>
      <c r="E11" s="595" t="s">
        <v>372</v>
      </c>
      <c r="F11" s="581"/>
      <c r="G11" s="857">
        <v>809000000</v>
      </c>
      <c r="H11" s="857">
        <v>606749994</v>
      </c>
      <c r="I11" s="857">
        <v>89888888</v>
      </c>
      <c r="J11" s="857">
        <v>179935084</v>
      </c>
      <c r="K11" s="857">
        <v>89888888</v>
      </c>
      <c r="L11" s="857">
        <v>151709973</v>
      </c>
      <c r="M11" s="857">
        <v>89888888</v>
      </c>
      <c r="N11" s="857">
        <v>123484862</v>
      </c>
      <c r="O11" s="857">
        <v>89888888</v>
      </c>
      <c r="P11" s="857">
        <v>75259752</v>
      </c>
      <c r="Q11" s="857">
        <v>89888888</v>
      </c>
      <c r="R11" s="857">
        <v>67034640</v>
      </c>
      <c r="S11" s="857">
        <v>89888888</v>
      </c>
      <c r="T11" s="857">
        <v>38809530</v>
      </c>
      <c r="U11" s="857">
        <v>67416666</v>
      </c>
      <c r="V11" s="857">
        <v>10584418</v>
      </c>
      <c r="W11" s="857"/>
      <c r="X11" s="857"/>
      <c r="Y11" s="857"/>
      <c r="Z11" s="857"/>
      <c r="AA11" s="857"/>
      <c r="AB11" s="857"/>
    </row>
    <row r="12" spans="1:28" ht="20.25" customHeight="1" hidden="1">
      <c r="A12" s="581" t="s">
        <v>680</v>
      </c>
      <c r="B12" s="582"/>
      <c r="C12" s="595"/>
      <c r="D12" s="935"/>
      <c r="E12" s="595"/>
      <c r="F12" s="581"/>
      <c r="G12" s="857"/>
      <c r="H12" s="857"/>
      <c r="I12" s="857">
        <f aca="true" t="shared" si="0" ref="I12:AB12">SUM(I7:I11)</f>
        <v>131343618</v>
      </c>
      <c r="J12" s="857">
        <f t="shared" si="0"/>
        <v>251201221</v>
      </c>
      <c r="K12" s="857">
        <f t="shared" si="0"/>
        <v>120332871</v>
      </c>
      <c r="L12" s="857">
        <f t="shared" si="0"/>
        <v>209848005</v>
      </c>
      <c r="M12" s="857">
        <f t="shared" si="0"/>
        <v>130907568</v>
      </c>
      <c r="N12" s="857">
        <f t="shared" si="0"/>
        <v>169199126</v>
      </c>
      <c r="O12" s="857">
        <f t="shared" si="0"/>
        <v>122771804</v>
      </c>
      <c r="P12" s="857">
        <f t="shared" si="0"/>
        <v>106823469</v>
      </c>
      <c r="Q12" s="857">
        <f t="shared" si="0"/>
        <v>109911190</v>
      </c>
      <c r="R12" s="857">
        <f t="shared" si="0"/>
        <v>90594956</v>
      </c>
      <c r="S12" s="857">
        <f t="shared" si="0"/>
        <v>106352888</v>
      </c>
      <c r="T12" s="857">
        <f t="shared" si="0"/>
        <v>57696090</v>
      </c>
      <c r="U12" s="857">
        <f t="shared" si="0"/>
        <v>83880666</v>
      </c>
      <c r="V12" s="857">
        <f t="shared" si="0"/>
        <v>25624988</v>
      </c>
      <c r="W12" s="857">
        <f t="shared" si="0"/>
        <v>17640000</v>
      </c>
      <c r="X12" s="857">
        <f t="shared" si="0"/>
        <v>11091562</v>
      </c>
      <c r="Y12" s="857">
        <f t="shared" si="0"/>
        <v>17640000</v>
      </c>
      <c r="Z12" s="857">
        <f t="shared" si="0"/>
        <v>6970858</v>
      </c>
      <c r="AA12" s="857">
        <f t="shared" si="0"/>
        <v>18816000</v>
      </c>
      <c r="AB12" s="857">
        <f t="shared" si="0"/>
        <v>2747136</v>
      </c>
    </row>
    <row r="13" spans="1:28" ht="20.25" customHeight="1">
      <c r="A13" s="581" t="s">
        <v>671</v>
      </c>
      <c r="B13" s="582" t="s">
        <v>667</v>
      </c>
      <c r="C13" s="595">
        <v>2</v>
      </c>
      <c r="D13" s="935" t="s">
        <v>64</v>
      </c>
      <c r="E13" s="582"/>
      <c r="F13" s="581"/>
      <c r="G13" s="857">
        <v>70000000</v>
      </c>
      <c r="H13" s="826">
        <v>61250000</v>
      </c>
      <c r="I13" s="830">
        <v>35000000</v>
      </c>
      <c r="J13" s="857">
        <v>13956250</v>
      </c>
      <c r="K13" s="830">
        <v>26250000</v>
      </c>
      <c r="L13" s="830">
        <v>3806250</v>
      </c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</row>
    <row r="14" spans="1:28" ht="20.25" customHeight="1">
      <c r="A14" s="581" t="s">
        <v>666</v>
      </c>
      <c r="B14" s="582" t="s">
        <v>667</v>
      </c>
      <c r="C14" s="595">
        <v>5</v>
      </c>
      <c r="D14" s="935" t="s">
        <v>64</v>
      </c>
      <c r="E14" s="595" t="s">
        <v>372</v>
      </c>
      <c r="F14" s="585"/>
      <c r="G14" s="857">
        <v>249000000</v>
      </c>
      <c r="H14" s="857">
        <v>228250000</v>
      </c>
      <c r="I14" s="857">
        <v>83000000</v>
      </c>
      <c r="J14" s="857">
        <v>74966638</v>
      </c>
      <c r="K14" s="857">
        <v>83000000</v>
      </c>
      <c r="L14" s="857">
        <v>43401738</v>
      </c>
      <c r="M14" s="857">
        <v>62250000</v>
      </c>
      <c r="N14" s="857">
        <v>11836838</v>
      </c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</row>
    <row r="15" spans="1:28" ht="20.25" customHeight="1">
      <c r="A15" s="581" t="s">
        <v>680</v>
      </c>
      <c r="B15" s="582"/>
      <c r="C15" s="595"/>
      <c r="D15" s="582"/>
      <c r="E15" s="582"/>
      <c r="F15" s="581"/>
      <c r="G15" s="857"/>
      <c r="H15" s="830"/>
      <c r="I15" s="830">
        <f aca="true" t="shared" si="1" ref="I15:R15">SUM(I13:I14)</f>
        <v>118000000</v>
      </c>
      <c r="J15" s="830">
        <f t="shared" si="1"/>
        <v>88922888</v>
      </c>
      <c r="K15" s="830">
        <f t="shared" si="1"/>
        <v>109250000</v>
      </c>
      <c r="L15" s="830">
        <f t="shared" si="1"/>
        <v>47207988</v>
      </c>
      <c r="M15" s="830">
        <f t="shared" si="1"/>
        <v>62250000</v>
      </c>
      <c r="N15" s="830">
        <f t="shared" si="1"/>
        <v>11836838</v>
      </c>
      <c r="O15" s="830">
        <f t="shared" si="1"/>
        <v>0</v>
      </c>
      <c r="P15" s="830">
        <f t="shared" si="1"/>
        <v>0</v>
      </c>
      <c r="Q15" s="830">
        <f t="shared" si="1"/>
        <v>0</v>
      </c>
      <c r="R15" s="830">
        <f t="shared" si="1"/>
        <v>0</v>
      </c>
      <c r="S15" s="859"/>
      <c r="T15" s="859"/>
      <c r="U15" s="859"/>
      <c r="V15" s="859"/>
      <c r="W15" s="859"/>
      <c r="X15" s="859"/>
      <c r="Y15" s="859"/>
      <c r="Z15" s="859"/>
      <c r="AA15" s="859"/>
      <c r="AB15" s="859"/>
    </row>
    <row r="16" spans="1:29" s="554" customFormat="1" ht="20.25" customHeight="1">
      <c r="A16" s="859" t="s">
        <v>685</v>
      </c>
      <c r="B16" s="937"/>
      <c r="C16" s="938"/>
      <c r="D16" s="937"/>
      <c r="E16" s="937"/>
      <c r="F16" s="859"/>
      <c r="G16" s="857"/>
      <c r="H16" s="830"/>
      <c r="I16" s="826"/>
      <c r="J16" s="826"/>
      <c r="K16" s="826"/>
      <c r="L16" s="941">
        <v>95000000</v>
      </c>
      <c r="M16" s="826">
        <v>0</v>
      </c>
      <c r="N16" s="826">
        <v>380000000</v>
      </c>
      <c r="O16" s="826">
        <v>59375000</v>
      </c>
      <c r="P16" s="942">
        <v>380000000</v>
      </c>
      <c r="Q16" s="942">
        <v>237500000</v>
      </c>
      <c r="R16" s="942">
        <v>350312500</v>
      </c>
      <c r="S16" s="942">
        <v>237500000</v>
      </c>
      <c r="T16" s="942">
        <v>302812500</v>
      </c>
      <c r="U16" s="942">
        <v>237500000</v>
      </c>
      <c r="V16" s="942">
        <v>255312500</v>
      </c>
      <c r="W16" s="942">
        <v>237500000</v>
      </c>
      <c r="X16" s="942">
        <v>207812500</v>
      </c>
      <c r="Y16" s="942">
        <v>237500000</v>
      </c>
      <c r="Z16" s="942">
        <v>160312500</v>
      </c>
      <c r="AA16" s="942">
        <v>237500000</v>
      </c>
      <c r="AB16" s="942">
        <v>112812500</v>
      </c>
      <c r="AC16" s="939"/>
    </row>
    <row r="17" spans="1:29" s="554" customFormat="1" ht="20.25" customHeight="1">
      <c r="A17" s="859" t="s">
        <v>684</v>
      </c>
      <c r="B17" s="937"/>
      <c r="C17" s="938"/>
      <c r="D17" s="937"/>
      <c r="E17" s="937"/>
      <c r="F17" s="859"/>
      <c r="G17" s="857"/>
      <c r="H17" s="830"/>
      <c r="I17" s="826"/>
      <c r="J17" s="826"/>
      <c r="K17" s="826"/>
      <c r="L17" s="941">
        <v>0</v>
      </c>
      <c r="M17" s="826"/>
      <c r="N17" s="826">
        <v>200000000</v>
      </c>
      <c r="O17" s="826">
        <v>0</v>
      </c>
      <c r="P17" s="942">
        <v>400000000</v>
      </c>
      <c r="Q17" s="942">
        <v>125000000</v>
      </c>
      <c r="R17" s="942">
        <v>396875000</v>
      </c>
      <c r="S17" s="942">
        <v>250000000</v>
      </c>
      <c r="T17" s="942">
        <v>356250000</v>
      </c>
      <c r="U17" s="942">
        <v>250000000</v>
      </c>
      <c r="V17" s="942">
        <v>306250000</v>
      </c>
      <c r="W17" s="942">
        <v>250000000</v>
      </c>
      <c r="X17" s="942">
        <v>256250000</v>
      </c>
      <c r="Y17" s="942">
        <v>250000000</v>
      </c>
      <c r="Z17" s="942">
        <v>206250000</v>
      </c>
      <c r="AA17" s="942">
        <v>250000000</v>
      </c>
      <c r="AB17" s="942">
        <v>156250000</v>
      </c>
      <c r="AC17" s="939"/>
    </row>
    <row r="18" spans="1:29" s="554" customFormat="1" ht="20.25" customHeight="1">
      <c r="A18" s="859" t="s">
        <v>687</v>
      </c>
      <c r="B18" s="937"/>
      <c r="C18" s="938"/>
      <c r="D18" s="937"/>
      <c r="E18" s="937"/>
      <c r="F18" s="859"/>
      <c r="G18" s="857"/>
      <c r="H18" s="830"/>
      <c r="I18" s="826"/>
      <c r="J18" s="826"/>
      <c r="K18" s="826"/>
      <c r="L18" s="941"/>
      <c r="M18" s="826"/>
      <c r="N18" s="826"/>
      <c r="O18" s="826"/>
      <c r="P18" s="826">
        <v>60000000</v>
      </c>
      <c r="Q18" s="826"/>
      <c r="R18" s="826">
        <v>120000000</v>
      </c>
      <c r="S18" s="826">
        <v>37500000</v>
      </c>
      <c r="T18" s="826">
        <v>119062500</v>
      </c>
      <c r="U18" s="826">
        <v>75000000</v>
      </c>
      <c r="V18" s="942">
        <v>106875000</v>
      </c>
      <c r="W18" s="942">
        <v>75000000</v>
      </c>
      <c r="X18" s="942">
        <v>91875000</v>
      </c>
      <c r="Y18" s="942">
        <v>75000000</v>
      </c>
      <c r="Z18" s="942">
        <v>76875000</v>
      </c>
      <c r="AA18" s="942">
        <v>75000000</v>
      </c>
      <c r="AB18" s="942">
        <v>61875000</v>
      </c>
      <c r="AC18" s="939"/>
    </row>
    <row r="19" spans="1:29" ht="15">
      <c r="A19" s="581"/>
      <c r="B19" s="582"/>
      <c r="C19" s="595"/>
      <c r="D19" s="824"/>
      <c r="E19" s="582"/>
      <c r="F19" s="581"/>
      <c r="G19" s="857"/>
      <c r="H19" s="859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942"/>
      <c r="W19" s="942"/>
      <c r="X19" s="942"/>
      <c r="Y19" s="942"/>
      <c r="Z19" s="942"/>
      <c r="AA19" s="942"/>
      <c r="AB19" s="942"/>
      <c r="AC19" s="940"/>
    </row>
    <row r="20" spans="1:29" ht="21" customHeight="1">
      <c r="A20" s="581" t="s">
        <v>683</v>
      </c>
      <c r="B20" s="582"/>
      <c r="C20" s="595"/>
      <c r="D20" s="582"/>
      <c r="E20" s="582"/>
      <c r="F20" s="581"/>
      <c r="G20" s="859"/>
      <c r="H20" s="830"/>
      <c r="I20" s="830">
        <f>I12+I15+I16+I17+I18+I19</f>
        <v>249343618</v>
      </c>
      <c r="J20" s="830">
        <f>J12+J15+J16+J17+J18+J19</f>
        <v>340124109</v>
      </c>
      <c r="K20" s="830">
        <f aca="true" t="shared" si="2" ref="K20:AB20">K12+K15+K16+K17+K18+K19</f>
        <v>229582871</v>
      </c>
      <c r="L20" s="830">
        <f t="shared" si="2"/>
        <v>352055993</v>
      </c>
      <c r="M20" s="830">
        <f t="shared" si="2"/>
        <v>193157568</v>
      </c>
      <c r="N20" s="830">
        <f t="shared" si="2"/>
        <v>761035964</v>
      </c>
      <c r="O20" s="830">
        <f t="shared" si="2"/>
        <v>182146804</v>
      </c>
      <c r="P20" s="830">
        <f t="shared" si="2"/>
        <v>946823469</v>
      </c>
      <c r="Q20" s="830">
        <f t="shared" si="2"/>
        <v>472411190</v>
      </c>
      <c r="R20" s="830">
        <f t="shared" si="2"/>
        <v>957782456</v>
      </c>
      <c r="S20" s="830">
        <f t="shared" si="2"/>
        <v>631352888</v>
      </c>
      <c r="T20" s="830">
        <f t="shared" si="2"/>
        <v>835821090</v>
      </c>
      <c r="U20" s="830">
        <f t="shared" si="2"/>
        <v>646380666</v>
      </c>
      <c r="V20" s="830">
        <f t="shared" si="2"/>
        <v>694062488</v>
      </c>
      <c r="W20" s="830">
        <f t="shared" si="2"/>
        <v>580140000</v>
      </c>
      <c r="X20" s="830">
        <f t="shared" si="2"/>
        <v>567029062</v>
      </c>
      <c r="Y20" s="830">
        <f t="shared" si="2"/>
        <v>580140000</v>
      </c>
      <c r="Z20" s="830">
        <f t="shared" si="2"/>
        <v>450408358</v>
      </c>
      <c r="AA20" s="943">
        <f t="shared" si="2"/>
        <v>581316000</v>
      </c>
      <c r="AB20" s="945">
        <f t="shared" si="2"/>
        <v>333684636</v>
      </c>
      <c r="AC20" s="944"/>
    </row>
    <row r="21" spans="1:28" ht="15">
      <c r="A21" s="581"/>
      <c r="B21" s="582"/>
      <c r="C21" s="595"/>
      <c r="D21" s="582"/>
      <c r="E21" s="582"/>
      <c r="F21" s="581"/>
      <c r="G21" s="859"/>
      <c r="H21" s="826"/>
      <c r="I21" s="826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59"/>
    </row>
    <row r="22" spans="1:28" ht="15">
      <c r="A22" s="581"/>
      <c r="B22" s="582"/>
      <c r="C22" s="595"/>
      <c r="D22" s="582"/>
      <c r="E22" s="582"/>
      <c r="F22" s="581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</row>
    <row r="23" spans="1:28" ht="15">
      <c r="A23" s="581"/>
      <c r="B23" s="582"/>
      <c r="C23" s="595"/>
      <c r="D23" s="582"/>
      <c r="E23" s="582"/>
      <c r="F23" s="581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</row>
    <row r="24" spans="1:28" ht="15">
      <c r="A24" s="581"/>
      <c r="B24" s="582"/>
      <c r="C24" s="595"/>
      <c r="D24" s="582"/>
      <c r="E24" s="582"/>
      <c r="F24" s="581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</row>
    <row r="25" spans="1:28" ht="15">
      <c r="A25" s="581"/>
      <c r="B25" s="582"/>
      <c r="C25" s="595"/>
      <c r="D25" s="582"/>
      <c r="E25" s="582"/>
      <c r="F25" s="581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</row>
    <row r="26" spans="1:28" ht="15">
      <c r="A26" s="581"/>
      <c r="B26" s="582"/>
      <c r="C26" s="595"/>
      <c r="D26" s="582"/>
      <c r="E26" s="582"/>
      <c r="F26" s="581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</row>
    <row r="27" spans="1:28" ht="15">
      <c r="A27" s="581"/>
      <c r="B27" s="582"/>
      <c r="C27" s="595"/>
      <c r="D27" s="582"/>
      <c r="E27" s="582"/>
      <c r="F27" s="581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</row>
    <row r="28" spans="1:28" ht="15">
      <c r="A28" s="581"/>
      <c r="B28" s="582"/>
      <c r="C28" s="595"/>
      <c r="D28" s="582"/>
      <c r="E28" s="582"/>
      <c r="F28" s="581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859"/>
    </row>
    <row r="29" spans="1:28" ht="15">
      <c r="A29" s="581"/>
      <c r="B29" s="582"/>
      <c r="C29" s="595"/>
      <c r="D29" s="582"/>
      <c r="E29" s="582"/>
      <c r="F29" s="581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</row>
    <row r="30" spans="1:28" ht="15">
      <c r="A30" s="581"/>
      <c r="B30" s="582"/>
      <c r="C30" s="595"/>
      <c r="D30" s="582"/>
      <c r="E30" s="582"/>
      <c r="F30" s="581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</row>
    <row r="31" spans="1:28" ht="15">
      <c r="A31" s="581"/>
      <c r="B31" s="582"/>
      <c r="C31" s="595"/>
      <c r="D31" s="582"/>
      <c r="E31" s="582"/>
      <c r="F31" s="581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859"/>
      <c r="AB31" s="859"/>
    </row>
    <row r="32" spans="1:28" ht="15">
      <c r="A32" s="581"/>
      <c r="B32" s="582"/>
      <c r="C32" s="595"/>
      <c r="D32" s="582"/>
      <c r="E32" s="582"/>
      <c r="F32" s="581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</row>
    <row r="33" spans="1:28" ht="15">
      <c r="A33" s="581"/>
      <c r="B33" s="582"/>
      <c r="C33" s="595"/>
      <c r="D33" s="582"/>
      <c r="E33" s="582"/>
      <c r="F33" s="581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</row>
    <row r="34" spans="1:28" ht="15">
      <c r="A34" s="581"/>
      <c r="B34" s="582"/>
      <c r="C34" s="595"/>
      <c r="D34" s="582"/>
      <c r="E34" s="582"/>
      <c r="F34" s="581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</row>
    <row r="35" spans="1:28" ht="15">
      <c r="A35" s="581"/>
      <c r="B35" s="582"/>
      <c r="C35" s="595"/>
      <c r="D35" s="582"/>
      <c r="E35" s="582"/>
      <c r="F35" s="581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859"/>
      <c r="AB35" s="859"/>
    </row>
    <row r="36" spans="1:28" ht="15">
      <c r="A36" s="581"/>
      <c r="B36" s="582"/>
      <c r="C36" s="595"/>
      <c r="D36" s="582"/>
      <c r="E36" s="582"/>
      <c r="F36" s="581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59"/>
      <c r="AA36" s="859"/>
      <c r="AB36" s="859"/>
    </row>
    <row r="37" spans="1:28" ht="15">
      <c r="A37" s="581"/>
      <c r="B37" s="582"/>
      <c r="C37" s="595"/>
      <c r="D37" s="582"/>
      <c r="E37" s="582"/>
      <c r="F37" s="581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</row>
    <row r="38" spans="1:28" ht="15.75" thickBot="1">
      <c r="A38" s="583"/>
      <c r="B38" s="584"/>
      <c r="C38" s="862"/>
      <c r="D38" s="584"/>
      <c r="E38" s="584"/>
      <c r="F38" s="583"/>
      <c r="G38" s="860"/>
      <c r="H38" s="825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</row>
    <row r="39" ht="15">
      <c r="A39" t="s">
        <v>373</v>
      </c>
    </row>
    <row r="40" ht="15">
      <c r="A40" t="s">
        <v>374</v>
      </c>
    </row>
    <row r="41" spans="1:2" ht="15.75">
      <c r="A41" s="32" t="s">
        <v>375</v>
      </c>
      <c r="B41" s="32"/>
    </row>
    <row r="42" ht="15.75">
      <c r="A42" s="32"/>
    </row>
    <row r="43" spans="1:2" ht="15.75">
      <c r="A43" s="32"/>
      <c r="B43" s="32"/>
    </row>
    <row r="44" ht="15.75">
      <c r="B44" s="32"/>
    </row>
    <row r="47" spans="1:26" ht="18.75" thickBot="1">
      <c r="A47" s="30" t="s">
        <v>377</v>
      </c>
      <c r="B47" s="30"/>
      <c r="C47" s="30"/>
      <c r="D47" s="223"/>
      <c r="E47" s="223"/>
      <c r="F47" s="223"/>
      <c r="G47" s="22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2:26" ht="18.75" thickBot="1">
      <c r="B48" s="31"/>
      <c r="C48" s="31"/>
      <c r="D48" s="224"/>
      <c r="E48" s="224"/>
      <c r="F48" s="224"/>
      <c r="G48" s="224"/>
      <c r="H48" s="31"/>
      <c r="I48" s="31"/>
      <c r="J48" s="31"/>
      <c r="K48" s="215" t="s">
        <v>157</v>
      </c>
      <c r="L48" s="31"/>
      <c r="M48" s="216" t="str">
        <f>+PLANTA!O3</f>
        <v>ARIGUANI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8">
      <c r="A49" s="31" t="s">
        <v>378</v>
      </c>
      <c r="B49" s="31"/>
      <c r="C49" s="31"/>
      <c r="D49" s="224"/>
      <c r="E49" s="224"/>
      <c r="F49" s="224"/>
      <c r="G49" s="224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thickBot="1"/>
    <row r="51" spans="1:26" ht="15">
      <c r="A51" s="23" t="s">
        <v>345</v>
      </c>
      <c r="B51" s="23" t="s">
        <v>345</v>
      </c>
      <c r="C51" s="23" t="s">
        <v>346</v>
      </c>
      <c r="D51" s="220" t="s">
        <v>347</v>
      </c>
      <c r="E51" s="220" t="s">
        <v>348</v>
      </c>
      <c r="F51" s="220" t="s">
        <v>349</v>
      </c>
      <c r="G51" s="220" t="s">
        <v>350</v>
      </c>
      <c r="H51" s="23" t="s">
        <v>351</v>
      </c>
      <c r="I51" s="23" t="s">
        <v>352</v>
      </c>
      <c r="J51" s="23" t="s">
        <v>353</v>
      </c>
      <c r="K51" s="23" t="s">
        <v>354</v>
      </c>
      <c r="L51" s="23" t="s">
        <v>355</v>
      </c>
      <c r="M51" s="24" t="s">
        <v>379</v>
      </c>
      <c r="N51" s="24" t="s">
        <v>356</v>
      </c>
      <c r="O51" s="28" t="s">
        <v>380</v>
      </c>
      <c r="P51" s="29"/>
      <c r="Q51" s="28" t="s">
        <v>357</v>
      </c>
      <c r="R51" s="29"/>
      <c r="S51" s="28" t="s">
        <v>358</v>
      </c>
      <c r="T51" s="29"/>
      <c r="U51" s="28" t="s">
        <v>359</v>
      </c>
      <c r="V51" s="29"/>
      <c r="W51" s="28" t="s">
        <v>360</v>
      </c>
      <c r="X51" s="29"/>
      <c r="Y51" s="28" t="s">
        <v>361</v>
      </c>
      <c r="Z51" s="29"/>
    </row>
    <row r="52" spans="1:26" ht="15.75" thickBot="1">
      <c r="A52" s="3" t="s">
        <v>363</v>
      </c>
      <c r="B52" s="3" t="s">
        <v>364</v>
      </c>
      <c r="C52" s="3"/>
      <c r="D52" s="222"/>
      <c r="E52" s="222"/>
      <c r="F52" s="222"/>
      <c r="G52" s="222"/>
      <c r="H52" s="3" t="s">
        <v>365</v>
      </c>
      <c r="I52" s="3" t="s">
        <v>366</v>
      </c>
      <c r="J52" s="3" t="s">
        <v>367</v>
      </c>
      <c r="K52" s="3" t="s">
        <v>367</v>
      </c>
      <c r="L52" s="3" t="s">
        <v>368</v>
      </c>
      <c r="M52" s="564" t="s">
        <v>367</v>
      </c>
      <c r="N52" s="3" t="s">
        <v>369</v>
      </c>
      <c r="O52" s="3" t="s">
        <v>370</v>
      </c>
      <c r="P52" s="3" t="s">
        <v>371</v>
      </c>
      <c r="Q52" s="3" t="s">
        <v>370</v>
      </c>
      <c r="R52" s="3" t="s">
        <v>371</v>
      </c>
      <c r="S52" s="3" t="s">
        <v>370</v>
      </c>
      <c r="T52" s="3" t="s">
        <v>371</v>
      </c>
      <c r="U52" s="3" t="s">
        <v>370</v>
      </c>
      <c r="V52" s="3" t="s">
        <v>371</v>
      </c>
      <c r="W52" s="3" t="s">
        <v>370</v>
      </c>
      <c r="X52" s="3" t="s">
        <v>371</v>
      </c>
      <c r="Y52" s="3" t="s">
        <v>370</v>
      </c>
      <c r="Z52" s="3" t="s">
        <v>371</v>
      </c>
    </row>
    <row r="53" spans="1:26" ht="15">
      <c r="A53" s="25"/>
      <c r="B53" s="25"/>
      <c r="C53" s="25"/>
      <c r="D53" s="225"/>
      <c r="E53" s="225"/>
      <c r="F53" s="225"/>
      <c r="G53" s="2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">
      <c r="A54" s="26"/>
      <c r="B54" s="26"/>
      <c r="C54" s="26"/>
      <c r="D54" s="226"/>
      <c r="E54" s="226"/>
      <c r="F54" s="226"/>
      <c r="G54" s="2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">
      <c r="A55" s="26"/>
      <c r="B55" s="26"/>
      <c r="C55" s="26"/>
      <c r="D55" s="226"/>
      <c r="E55" s="226"/>
      <c r="F55" s="226"/>
      <c r="G55" s="2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">
      <c r="A56" s="26"/>
      <c r="B56" s="26"/>
      <c r="C56" s="26"/>
      <c r="D56" s="226"/>
      <c r="E56" s="226"/>
      <c r="F56" s="226"/>
      <c r="G56" s="2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">
      <c r="A57" s="26"/>
      <c r="B57" s="26"/>
      <c r="C57" s="26"/>
      <c r="D57" s="226"/>
      <c r="E57" s="226"/>
      <c r="F57" s="226"/>
      <c r="G57" s="2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">
      <c r="A58" s="26"/>
      <c r="B58" s="26"/>
      <c r="C58" s="26"/>
      <c r="D58" s="226"/>
      <c r="E58" s="226"/>
      <c r="F58" s="226"/>
      <c r="G58" s="2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">
      <c r="A59" s="26"/>
      <c r="B59" s="26"/>
      <c r="C59" s="26"/>
      <c r="D59" s="226"/>
      <c r="E59" s="226"/>
      <c r="F59" s="226"/>
      <c r="G59" s="2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">
      <c r="A60" s="26"/>
      <c r="B60" s="26"/>
      <c r="C60" s="26"/>
      <c r="D60" s="226"/>
      <c r="E60" s="226"/>
      <c r="F60" s="226"/>
      <c r="G60" s="2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">
      <c r="A61" s="26"/>
      <c r="B61" s="26"/>
      <c r="C61" s="26"/>
      <c r="D61" s="226"/>
      <c r="E61" s="226"/>
      <c r="F61" s="226"/>
      <c r="G61" s="2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">
      <c r="A62" s="26"/>
      <c r="B62" s="26"/>
      <c r="C62" s="26"/>
      <c r="D62" s="226"/>
      <c r="E62" s="226"/>
      <c r="F62" s="226"/>
      <c r="G62" s="2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">
      <c r="A63" s="26"/>
      <c r="B63" s="26"/>
      <c r="C63" s="26"/>
      <c r="D63" s="226"/>
      <c r="E63" s="226"/>
      <c r="F63" s="226"/>
      <c r="G63" s="2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">
      <c r="A64" s="26"/>
      <c r="B64" s="26"/>
      <c r="C64" s="26"/>
      <c r="D64" s="226"/>
      <c r="E64" s="226"/>
      <c r="F64" s="226"/>
      <c r="G64" s="2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">
      <c r="A65" s="26"/>
      <c r="B65" s="26"/>
      <c r="C65" s="26"/>
      <c r="D65" s="226"/>
      <c r="E65" s="226"/>
      <c r="F65" s="226"/>
      <c r="G65" s="2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">
      <c r="A66" s="26"/>
      <c r="B66" s="26"/>
      <c r="C66" s="26"/>
      <c r="D66" s="226"/>
      <c r="E66" s="226"/>
      <c r="F66" s="226"/>
      <c r="G66" s="2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">
      <c r="A67" s="26"/>
      <c r="B67" s="26"/>
      <c r="C67" s="26"/>
      <c r="D67" s="226"/>
      <c r="E67" s="226"/>
      <c r="F67" s="226"/>
      <c r="G67" s="2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">
      <c r="A68" s="26"/>
      <c r="B68" s="26"/>
      <c r="C68" s="26"/>
      <c r="D68" s="226"/>
      <c r="E68" s="226"/>
      <c r="F68" s="226"/>
      <c r="G68" s="2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">
      <c r="A69" s="26"/>
      <c r="B69" s="26"/>
      <c r="C69" s="26"/>
      <c r="D69" s="226"/>
      <c r="E69" s="226"/>
      <c r="F69" s="226"/>
      <c r="G69" s="2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">
      <c r="A70" s="26"/>
      <c r="B70" s="26"/>
      <c r="C70" s="26"/>
      <c r="D70" s="226"/>
      <c r="E70" s="226"/>
      <c r="F70" s="226"/>
      <c r="G70" s="2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">
      <c r="A71" s="26"/>
      <c r="B71" s="26"/>
      <c r="C71" s="26"/>
      <c r="D71" s="226"/>
      <c r="E71" s="226"/>
      <c r="F71" s="226"/>
      <c r="G71" s="2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">
      <c r="A72" s="26"/>
      <c r="B72" s="26"/>
      <c r="C72" s="26"/>
      <c r="D72" s="226"/>
      <c r="E72" s="226"/>
      <c r="F72" s="226"/>
      <c r="G72" s="2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">
      <c r="A73" s="26"/>
      <c r="B73" s="26"/>
      <c r="C73" s="26"/>
      <c r="D73" s="226"/>
      <c r="E73" s="226"/>
      <c r="F73" s="226"/>
      <c r="G73" s="2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">
      <c r="A74" s="26"/>
      <c r="B74" s="26"/>
      <c r="C74" s="26"/>
      <c r="D74" s="226"/>
      <c r="E74" s="226"/>
      <c r="F74" s="226"/>
      <c r="G74" s="2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">
      <c r="A75" s="26"/>
      <c r="B75" s="26"/>
      <c r="C75" s="26"/>
      <c r="D75" s="226"/>
      <c r="E75" s="226"/>
      <c r="F75" s="226"/>
      <c r="G75" s="2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">
      <c r="A76" s="26"/>
      <c r="B76" s="26"/>
      <c r="C76" s="26"/>
      <c r="D76" s="226"/>
      <c r="E76" s="226"/>
      <c r="F76" s="226"/>
      <c r="G76" s="2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">
      <c r="A77" s="26"/>
      <c r="B77" s="26"/>
      <c r="C77" s="26"/>
      <c r="D77" s="226"/>
      <c r="E77" s="226"/>
      <c r="F77" s="226"/>
      <c r="G77" s="2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">
      <c r="A78" s="26"/>
      <c r="B78" s="26"/>
      <c r="C78" s="26"/>
      <c r="D78" s="226"/>
      <c r="E78" s="226"/>
      <c r="F78" s="226"/>
      <c r="G78" s="2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">
      <c r="A79" s="26"/>
      <c r="B79" s="26"/>
      <c r="C79" s="26"/>
      <c r="D79" s="226"/>
      <c r="E79" s="226"/>
      <c r="F79" s="226"/>
      <c r="G79" s="2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">
      <c r="A80" s="26"/>
      <c r="B80" s="26"/>
      <c r="C80" s="26"/>
      <c r="D80" s="226"/>
      <c r="E80" s="226"/>
      <c r="F80" s="226"/>
      <c r="G80" s="2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thickBot="1">
      <c r="A81" s="27"/>
      <c r="B81" s="27"/>
      <c r="C81" s="27"/>
      <c r="D81" s="227"/>
      <c r="E81" s="227"/>
      <c r="F81" s="227"/>
      <c r="G81" s="2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">
      <c r="A82" t="s">
        <v>381</v>
      </c>
    </row>
    <row r="83" ht="15">
      <c r="A83" t="s">
        <v>374</v>
      </c>
    </row>
    <row r="84" spans="1:2" ht="15.75">
      <c r="A84" s="32" t="s">
        <v>375</v>
      </c>
      <c r="B84" s="32"/>
    </row>
    <row r="86" spans="1:2" ht="15.75">
      <c r="A86" s="32" t="s">
        <v>376</v>
      </c>
      <c r="B86" s="32"/>
    </row>
    <row r="88" ht="18">
      <c r="A88" s="177" t="s">
        <v>154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120" verticalDpi="120" orientation="landscape" scale="55" r:id="rId1"/>
  <headerFooter alignWithMargins="0">
    <oddFooter>&amp;R&amp;9Página &amp;P de &amp;N</oddFooter>
  </headerFooter>
  <rowBreaks count="1" manualBreakCount="1">
    <brk id="4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1">
      <selection activeCell="B2" sqref="B2"/>
    </sheetView>
  </sheetViews>
  <sheetFormatPr defaultColWidth="11.5546875" defaultRowHeight="15"/>
  <cols>
    <col min="1" max="1" width="10.10546875" style="19" customWidth="1"/>
    <col min="2" max="2" width="63.5546875" style="20" customWidth="1"/>
    <col min="3" max="3" width="13.6640625" style="21" customWidth="1"/>
    <col min="4" max="4" width="13.4453125" style="21" customWidth="1"/>
    <col min="5" max="5" width="13.6640625" style="21" customWidth="1"/>
    <col min="6" max="6" width="13.99609375" style="21" customWidth="1"/>
    <col min="7" max="7" width="13.6640625" style="21" customWidth="1"/>
    <col min="8" max="8" width="13.5546875" style="7" customWidth="1"/>
    <col min="9" max="16384" width="11.5546875" style="7" customWidth="1"/>
  </cols>
  <sheetData>
    <row r="1" spans="1:8" ht="15.75" thickBot="1">
      <c r="A1" s="94" t="s">
        <v>21</v>
      </c>
      <c r="B1" s="94"/>
      <c r="C1" s="94"/>
      <c r="D1" s="94"/>
      <c r="E1" s="94"/>
      <c r="F1" s="94"/>
      <c r="G1" s="94"/>
      <c r="H1" s="94"/>
    </row>
    <row r="2" spans="1:8" ht="15.75" thickBot="1">
      <c r="A2" s="95"/>
      <c r="B2" s="95" t="s">
        <v>1</v>
      </c>
      <c r="C2" s="219" t="str">
        <f>+'INGR. Y EGRE SEC CENT'!C2</f>
        <v>ARIGUANI</v>
      </c>
      <c r="D2" s="94"/>
      <c r="E2" s="95" t="s">
        <v>2</v>
      </c>
      <c r="F2" s="146" t="e">
        <f>+'INGR. Y EGRE SEC CENT'!#REF!</f>
        <v>#REF!</v>
      </c>
      <c r="G2" s="94"/>
      <c r="H2" s="94"/>
    </row>
    <row r="3" spans="1:8" ht="15.75">
      <c r="A3" s="94" t="s">
        <v>382</v>
      </c>
      <c r="B3" s="94"/>
      <c r="C3" s="94"/>
      <c r="D3" s="94"/>
      <c r="E3" s="94"/>
      <c r="F3" s="94"/>
      <c r="G3" s="94"/>
      <c r="H3" s="94"/>
    </row>
    <row r="4" spans="1:8" ht="15.75" thickBot="1">
      <c r="A4" s="96"/>
      <c r="B4" s="96"/>
      <c r="C4" s="96"/>
      <c r="D4" s="96"/>
      <c r="E4" s="96"/>
      <c r="F4" s="96"/>
      <c r="G4" s="96"/>
      <c r="H4" s="96"/>
    </row>
    <row r="5" spans="1:8" ht="29.25" customHeight="1" thickBot="1">
      <c r="A5" s="97" t="s">
        <v>4</v>
      </c>
      <c r="B5" s="98"/>
      <c r="C5" s="104">
        <v>1998</v>
      </c>
      <c r="D5" s="140">
        <v>1999</v>
      </c>
      <c r="E5" s="121">
        <v>2000</v>
      </c>
      <c r="F5" s="105">
        <v>2001</v>
      </c>
      <c r="G5" s="106">
        <v>2002</v>
      </c>
      <c r="H5" s="107">
        <v>2003</v>
      </c>
    </row>
    <row r="6" spans="1:8" s="147" customFormat="1" ht="15.75">
      <c r="A6" s="108">
        <f>+'INGR. Y EGRE SEC CENT'!A6</f>
        <v>1</v>
      </c>
      <c r="B6" s="109" t="str">
        <f>+'INGR. Y EGRE SEC CENT'!B6</f>
        <v>INGRESOS TOTALES</v>
      </c>
      <c r="C6" s="645">
        <f aca="true" t="shared" si="0" ref="C6:H6">+C7+C53</f>
        <v>2022973448</v>
      </c>
      <c r="D6" s="733">
        <f t="shared" si="0"/>
        <v>2281785485</v>
      </c>
      <c r="E6" s="647">
        <f t="shared" si="0"/>
        <v>2520218689</v>
      </c>
      <c r="F6" s="645">
        <f t="shared" si="0"/>
        <v>2800651402</v>
      </c>
      <c r="G6" s="646">
        <f t="shared" si="0"/>
        <v>3150673148</v>
      </c>
      <c r="H6" s="647">
        <f t="shared" si="0"/>
        <v>3575450186</v>
      </c>
    </row>
    <row r="7" spans="1:8" s="148" customFormat="1" ht="15">
      <c r="A7" s="110">
        <f>+'INGR. Y EGRE SEC CENT'!A7</f>
        <v>1.1</v>
      </c>
      <c r="B7" s="111" t="str">
        <f>+'INGR. Y EGRE SEC CENT'!B7</f>
        <v>INGRESOS CORRIENTES</v>
      </c>
      <c r="C7" s="633">
        <f aca="true" t="shared" si="1" ref="C7:H7">+C8+C28+C41</f>
        <v>1975820340</v>
      </c>
      <c r="D7" s="650">
        <f t="shared" si="1"/>
        <v>2073687000</v>
      </c>
      <c r="E7" s="651">
        <f t="shared" si="1"/>
        <v>2280905432</v>
      </c>
      <c r="F7" s="633">
        <f t="shared" si="1"/>
        <v>2525441157</v>
      </c>
      <c r="G7" s="650">
        <f t="shared" si="1"/>
        <v>2825925059</v>
      </c>
      <c r="H7" s="651">
        <f t="shared" si="1"/>
        <v>3192247440</v>
      </c>
    </row>
    <row r="8" spans="1:8" s="149" customFormat="1" ht="15" customHeight="1">
      <c r="A8" s="112" t="str">
        <f>+'INGR. Y EGRE SEC CENT'!A8</f>
        <v>1.1.1</v>
      </c>
      <c r="B8" s="113" t="str">
        <f>+'INGR. Y EGRE SEC CENT'!B8</f>
        <v>INGRESOS TRIBUTARIOS</v>
      </c>
      <c r="C8" s="624">
        <f aca="true" t="shared" si="2" ref="C8:H8">SUM(C9:C23)+C24</f>
        <v>42044923</v>
      </c>
      <c r="D8" s="652">
        <f t="shared" si="2"/>
        <v>109500000</v>
      </c>
      <c r="E8" s="626">
        <f t="shared" si="2"/>
        <v>126125000</v>
      </c>
      <c r="F8" s="624">
        <f t="shared" si="2"/>
        <v>145438250</v>
      </c>
      <c r="G8" s="652">
        <f t="shared" si="2"/>
        <v>171617725</v>
      </c>
      <c r="H8" s="626">
        <f t="shared" si="2"/>
        <v>202508916</v>
      </c>
    </row>
    <row r="9" spans="1:8" s="36" customFormat="1" ht="15.75">
      <c r="A9" s="8" t="str">
        <f>+'INGR. Y EGRE SEC CENT'!A9</f>
        <v>1.1.1.1</v>
      </c>
      <c r="B9" s="586" t="str">
        <f>+'INGR. Y EGRE SEC CENT'!B9</f>
        <v>Predial Unificado</v>
      </c>
      <c r="C9" s="734">
        <f>'INGR. Y EGRE SEC CENT'!G9</f>
        <v>37969823</v>
      </c>
      <c r="D9" s="653">
        <v>50000000</v>
      </c>
      <c r="E9" s="655">
        <v>57500000</v>
      </c>
      <c r="F9" s="627">
        <v>66125000</v>
      </c>
      <c r="G9" s="653">
        <v>78027500</v>
      </c>
      <c r="H9" s="655">
        <v>92072450</v>
      </c>
    </row>
    <row r="10" spans="1:8" s="36" customFormat="1" ht="15.75">
      <c r="A10" s="8" t="str">
        <f>+'INGR. Y EGRE SEC CENT'!A10</f>
        <v>1.1.1.2</v>
      </c>
      <c r="B10" s="586" t="str">
        <f>+'INGR. Y EGRE SEC CENT'!B10</f>
        <v>Industria y comercio</v>
      </c>
      <c r="C10" s="734">
        <f>'INGR. Y EGRE SEC CENT'!G10</f>
        <v>1812900</v>
      </c>
      <c r="D10" s="653">
        <v>35000000</v>
      </c>
      <c r="E10" s="655">
        <v>40250000</v>
      </c>
      <c r="F10" s="627">
        <v>46287500</v>
      </c>
      <c r="G10" s="653">
        <v>54619250</v>
      </c>
      <c r="H10" s="655">
        <v>64450715</v>
      </c>
    </row>
    <row r="11" spans="1:8" s="36" customFormat="1" ht="15.75">
      <c r="A11" s="8" t="str">
        <f>+'INGR. Y EGRE SEC CENT'!A11</f>
        <v>1.1.1.3</v>
      </c>
      <c r="B11" s="586" t="str">
        <f>+'INGR. Y EGRE SEC CENT'!B11</f>
        <v>Circulación y Transito</v>
      </c>
      <c r="C11" s="734">
        <f>'INGR. Y EGRE SEC CENT'!G11</f>
        <v>209000</v>
      </c>
      <c r="D11" s="653">
        <v>500000</v>
      </c>
      <c r="E11" s="655">
        <v>575000</v>
      </c>
      <c r="F11" s="627">
        <v>661250</v>
      </c>
      <c r="G11" s="653">
        <v>780275</v>
      </c>
      <c r="H11" s="655">
        <v>920725</v>
      </c>
    </row>
    <row r="12" spans="1:8" s="36" customFormat="1" ht="15.75">
      <c r="A12" s="8" t="str">
        <f>+'INGR. Y EGRE SEC CENT'!A12</f>
        <v>1.1.1.4</v>
      </c>
      <c r="B12" s="586" t="str">
        <f>+'INGR. Y EGRE SEC CENT'!B12</f>
        <v>Avisos y Tableros </v>
      </c>
      <c r="C12" s="734">
        <f>'INGR. Y EGRE SEC CENT'!G12</f>
        <v>0</v>
      </c>
      <c r="D12" s="653">
        <v>2000000</v>
      </c>
      <c r="E12" s="655">
        <v>2300000</v>
      </c>
      <c r="F12" s="627">
        <v>2645000</v>
      </c>
      <c r="G12" s="653">
        <v>3121100</v>
      </c>
      <c r="H12" s="655">
        <v>3682898</v>
      </c>
    </row>
    <row r="13" spans="1:8" s="36" customFormat="1" ht="15.75">
      <c r="A13" s="8" t="str">
        <f>+'INGR. Y EGRE SEC CENT'!A13</f>
        <v>1.1.1.5</v>
      </c>
      <c r="B13" s="586" t="str">
        <f>+'INGR. Y EGRE SEC CENT'!B13</f>
        <v>Rifas, apuestas y Sorteos</v>
      </c>
      <c r="C13" s="734">
        <f>'INGR. Y EGRE SEC CENT'!G13</f>
        <v>1701600</v>
      </c>
      <c r="D13" s="653">
        <v>0</v>
      </c>
      <c r="E13" s="655">
        <v>1000000</v>
      </c>
      <c r="F13" s="627">
        <v>1500000</v>
      </c>
      <c r="G13" s="653">
        <v>1770000</v>
      </c>
      <c r="H13" s="655">
        <v>2088600</v>
      </c>
    </row>
    <row r="14" spans="1:8" s="36" customFormat="1" ht="15.75">
      <c r="A14" s="8" t="str">
        <f>+'INGR. Y EGRE SEC CENT'!A14</f>
        <v>1.1.1.6</v>
      </c>
      <c r="B14" s="586" t="str">
        <f>+'INGR. Y EGRE SEC CENT'!B14</f>
        <v>Espectáculos Públicos</v>
      </c>
      <c r="C14" s="734">
        <f>'INGR. Y EGRE SEC CENT'!G14</f>
        <v>0</v>
      </c>
      <c r="D14" s="653">
        <v>1000000</v>
      </c>
      <c r="E14" s="655">
        <v>0</v>
      </c>
      <c r="F14" s="627">
        <v>0</v>
      </c>
      <c r="G14" s="653">
        <v>0</v>
      </c>
      <c r="H14" s="655">
        <v>0</v>
      </c>
    </row>
    <row r="15" spans="1:8" s="36" customFormat="1" ht="15.75">
      <c r="A15" s="8" t="str">
        <f>+'INGR. Y EGRE SEC CENT'!A15</f>
        <v>1.1.1.7</v>
      </c>
      <c r="B15" s="586" t="str">
        <f>+'INGR. Y EGRE SEC CENT'!B15</f>
        <v>Deguello ganado mayor</v>
      </c>
      <c r="C15" s="734">
        <f>'INGR. Y EGRE SEC CENT'!G15</f>
        <v>0</v>
      </c>
      <c r="D15" s="653">
        <v>1000000</v>
      </c>
      <c r="E15" s="655">
        <v>1500000</v>
      </c>
      <c r="F15" s="627">
        <v>1770000</v>
      </c>
      <c r="G15" s="653">
        <v>2088600</v>
      </c>
      <c r="H15" s="655">
        <v>2464548</v>
      </c>
    </row>
    <row r="16" spans="1:8" s="36" customFormat="1" ht="15.75">
      <c r="A16" s="8" t="str">
        <f>+'INGR. Y EGRE SEC CENT'!A16</f>
        <v>1.1.1.8</v>
      </c>
      <c r="B16" s="586" t="str">
        <f>+'INGR. Y EGRE SEC CENT'!B16</f>
        <v>Delineación Urbana</v>
      </c>
      <c r="C16" s="734">
        <f>'INGR. Y EGRE SEC CENT'!G16</f>
        <v>50500</v>
      </c>
      <c r="D16" s="653">
        <v>2000000</v>
      </c>
      <c r="E16" s="655">
        <v>2300000</v>
      </c>
      <c r="F16" s="627">
        <v>2645000</v>
      </c>
      <c r="G16" s="653">
        <v>3121100</v>
      </c>
      <c r="H16" s="655">
        <v>3682898</v>
      </c>
    </row>
    <row r="17" spans="1:8" s="36" customFormat="1" ht="15.75">
      <c r="A17" s="8" t="str">
        <f>+'INGR. Y EGRE SEC CENT'!A17</f>
        <v>1.1.1.9</v>
      </c>
      <c r="B17" s="586" t="str">
        <f>+'INGR. Y EGRE SEC CENT'!B17</f>
        <v>Degüello de Ganado Menor</v>
      </c>
      <c r="C17" s="734">
        <f>'INGR. Y EGRE SEC CENT'!G17</f>
        <v>1000</v>
      </c>
      <c r="D17" s="653">
        <v>2000000</v>
      </c>
      <c r="E17" s="655">
        <v>2300000</v>
      </c>
      <c r="F17" s="627">
        <v>2645000</v>
      </c>
      <c r="G17" s="653">
        <v>3121100</v>
      </c>
      <c r="H17" s="655">
        <v>3682898</v>
      </c>
    </row>
    <row r="18" spans="1:8" s="36" customFormat="1" ht="15.75">
      <c r="A18" s="8" t="str">
        <f>+'INGR. Y EGRE SEC CENT'!A18</f>
        <v>1.1.1.10</v>
      </c>
      <c r="B18" s="586" t="str">
        <f>+'INGR. Y EGRE SEC CENT'!B18</f>
        <v>Sobretasa a la Gasolina</v>
      </c>
      <c r="C18" s="734">
        <f>'INGR. Y EGRE SEC CENT'!G18</f>
        <v>0</v>
      </c>
      <c r="D18" s="653">
        <v>0</v>
      </c>
      <c r="E18" s="655">
        <v>0</v>
      </c>
      <c r="F18" s="627">
        <v>0</v>
      </c>
      <c r="G18" s="653">
        <v>0</v>
      </c>
      <c r="H18" s="655">
        <v>0</v>
      </c>
    </row>
    <row r="19" spans="1:8" s="36" customFormat="1" ht="15.75">
      <c r="A19" s="8" t="str">
        <f>+'INGR. Y EGRE SEC CENT'!A19</f>
        <v>1.1.1.11</v>
      </c>
      <c r="B19" s="586" t="str">
        <f>+'INGR. Y EGRE SEC CENT'!B19</f>
        <v>Ocupación de Vías</v>
      </c>
      <c r="C19" s="734">
        <f>'INGR. Y EGRE SEC CENT'!G19</f>
        <v>0</v>
      </c>
      <c r="D19" s="653">
        <v>1000000</v>
      </c>
      <c r="E19" s="655">
        <v>1150000</v>
      </c>
      <c r="F19" s="627">
        <v>1322500</v>
      </c>
      <c r="G19" s="653">
        <v>1560550</v>
      </c>
      <c r="H19" s="655">
        <v>1841449</v>
      </c>
    </row>
    <row r="20" spans="1:8" s="36" customFormat="1" ht="15.75">
      <c r="A20" s="8" t="str">
        <f>+'INGR. Y EGRE SEC CENT'!A20</f>
        <v>1.1.1.12</v>
      </c>
      <c r="B20" s="586" t="str">
        <f>+'INGR. Y EGRE SEC CENT'!B20</f>
        <v>Extracción de Arena Cascajo y Otros</v>
      </c>
      <c r="C20" s="734">
        <f>'INGR. Y EGRE SEC CENT'!G20</f>
        <v>0</v>
      </c>
      <c r="D20" s="653">
        <v>1000000</v>
      </c>
      <c r="E20" s="655">
        <v>1150000</v>
      </c>
      <c r="F20" s="627">
        <v>1322500</v>
      </c>
      <c r="G20" s="653">
        <v>1560550</v>
      </c>
      <c r="H20" s="655">
        <v>1841449</v>
      </c>
    </row>
    <row r="21" spans="1:8" s="36" customFormat="1" ht="15.75">
      <c r="A21" s="8" t="str">
        <f>+'INGR. Y EGRE SEC CENT'!A21</f>
        <v>1.1.1.13</v>
      </c>
      <c r="B21" s="586" t="str">
        <f>+'INGR. Y EGRE SEC CENT'!B21</f>
        <v>Juegos permitidos</v>
      </c>
      <c r="C21" s="734">
        <f>'INGR. Y EGRE SEC CENT'!G21</f>
        <v>0</v>
      </c>
      <c r="D21" s="653">
        <v>500000</v>
      </c>
      <c r="E21" s="655">
        <v>575000</v>
      </c>
      <c r="F21" s="627">
        <v>661250</v>
      </c>
      <c r="G21" s="653">
        <v>780275</v>
      </c>
      <c r="H21" s="655">
        <v>920725</v>
      </c>
    </row>
    <row r="22" spans="1:8" s="36" customFormat="1" ht="15.75">
      <c r="A22" s="8" t="str">
        <f>+'INGR. Y EGRE SEC CENT'!A22</f>
        <v>1.1.1.14</v>
      </c>
      <c r="B22" s="586" t="str">
        <f>+'INGR. Y EGRE SEC CENT'!B22</f>
        <v>Otros Indirectos</v>
      </c>
      <c r="C22" s="734">
        <f>'INGR. Y EGRE SEC CENT'!G22</f>
        <v>0</v>
      </c>
      <c r="D22" s="653">
        <v>3000000</v>
      </c>
      <c r="E22" s="655">
        <v>3450000</v>
      </c>
      <c r="F22" s="627">
        <v>3967000</v>
      </c>
      <c r="G22" s="653">
        <v>4681650</v>
      </c>
      <c r="H22" s="655">
        <v>5524347</v>
      </c>
    </row>
    <row r="23" spans="1:8" s="36" customFormat="1" ht="15.75">
      <c r="A23" s="8" t="str">
        <f>+'INGR. Y EGRE SEC CENT'!A23</f>
        <v>1.1.1.15</v>
      </c>
      <c r="B23" s="586" t="str">
        <f>+'INGR. Y EGRE SEC CENT'!B23</f>
        <v>Registro de Patentes, Marcas y Herretes</v>
      </c>
      <c r="C23" s="734">
        <f>'INGR. Y EGRE SEC CENT'!G23</f>
        <v>33000</v>
      </c>
      <c r="D23" s="653">
        <v>1000000</v>
      </c>
      <c r="E23" s="655">
        <v>1150000</v>
      </c>
      <c r="F23" s="627">
        <v>1322500</v>
      </c>
      <c r="G23" s="653">
        <v>1560550</v>
      </c>
      <c r="H23" s="655">
        <v>1841449</v>
      </c>
    </row>
    <row r="24" spans="1:8" s="36" customFormat="1" ht="15.75">
      <c r="A24" s="114" t="str">
        <f>+'INGR. Y EGRE SEC CENT'!A24</f>
        <v>1.1.1.16</v>
      </c>
      <c r="B24" s="587" t="str">
        <f>+'INGR. Y EGRE SEC CENT'!B24</f>
        <v>Otros Tributarios :</v>
      </c>
      <c r="C24" s="624">
        <f aca="true" t="shared" si="3" ref="C24:H24">SUM(C25:C27)</f>
        <v>267100</v>
      </c>
      <c r="D24" s="652">
        <f t="shared" si="3"/>
        <v>9500000</v>
      </c>
      <c r="E24" s="626">
        <f t="shared" si="3"/>
        <v>10925000</v>
      </c>
      <c r="F24" s="624">
        <f t="shared" si="3"/>
        <v>12563750</v>
      </c>
      <c r="G24" s="652">
        <f t="shared" si="3"/>
        <v>14825225</v>
      </c>
      <c r="H24" s="626">
        <f t="shared" si="3"/>
        <v>17493765</v>
      </c>
    </row>
    <row r="25" spans="1:8" s="36" customFormat="1" ht="15">
      <c r="A25" s="8" t="str">
        <f>+'INGR. Y EGRE SEC CENT'!A25</f>
        <v>1.1.1.16.1</v>
      </c>
      <c r="B25" s="588" t="str">
        <f>+'INGR. Y EGRE SEC CENT'!B25</f>
        <v>Impuesto Nacional de Timbre</v>
      </c>
      <c r="C25" s="734">
        <f>'INGR. Y EGRE SEC CENT'!G25</f>
        <v>0</v>
      </c>
      <c r="D25" s="653">
        <v>1000000</v>
      </c>
      <c r="E25" s="735">
        <v>1150000</v>
      </c>
      <c r="F25" s="627">
        <v>1322500</v>
      </c>
      <c r="G25" s="653">
        <v>1560550</v>
      </c>
      <c r="H25" s="655">
        <v>1841449</v>
      </c>
    </row>
    <row r="26" spans="1:8" s="36" customFormat="1" ht="15">
      <c r="A26" s="8" t="str">
        <f>+'INGR. Y EGRE SEC CENT'!A26</f>
        <v>1.1.1.16.2</v>
      </c>
      <c r="B26" s="588" t="str">
        <f>+'INGR. Y EGRE SEC CENT'!B26</f>
        <v>MOVILIZACION DE GANADO</v>
      </c>
      <c r="C26" s="734">
        <f>'INGR. Y EGRE SEC CENT'!G26</f>
        <v>204500</v>
      </c>
      <c r="D26" s="653">
        <v>2000000</v>
      </c>
      <c r="E26" s="655">
        <v>2300000</v>
      </c>
      <c r="F26" s="627">
        <v>2645000</v>
      </c>
      <c r="G26" s="653">
        <v>3121100</v>
      </c>
      <c r="H26" s="655">
        <v>3682898</v>
      </c>
    </row>
    <row r="27" spans="1:8" s="36" customFormat="1" ht="15">
      <c r="A27" s="8" t="str">
        <f>+'INGR. Y EGRE SEC CENT'!A27</f>
        <v>1.1.1.16.3</v>
      </c>
      <c r="B27" s="588" t="str">
        <f>+'INGR. Y EGRE SEC CENT'!B27</f>
        <v>Extracción de queso</v>
      </c>
      <c r="C27" s="734">
        <f>'INGR. Y EGRE SEC CENT'!G27</f>
        <v>62600</v>
      </c>
      <c r="D27" s="653">
        <v>6500000</v>
      </c>
      <c r="E27" s="655">
        <v>7475000</v>
      </c>
      <c r="F27" s="627">
        <v>8596250</v>
      </c>
      <c r="G27" s="653">
        <v>10143575</v>
      </c>
      <c r="H27" s="655">
        <v>11969418</v>
      </c>
    </row>
    <row r="28" spans="1:8" s="149" customFormat="1" ht="15" customHeight="1">
      <c r="A28" s="112" t="str">
        <f>+'INGR. Y EGRE SEC CENT'!A28</f>
        <v>1.1.2</v>
      </c>
      <c r="B28" s="589" t="str">
        <f>+'INGR. Y EGRE SEC CENT'!B28</f>
        <v>INGRESOS NO TRIBUTARIOS</v>
      </c>
      <c r="C28" s="624">
        <f aca="true" t="shared" si="4" ref="C28:H28">SUM(C29:C37)</f>
        <v>47989840</v>
      </c>
      <c r="D28" s="652">
        <f t="shared" si="4"/>
        <v>16700000</v>
      </c>
      <c r="E28" s="626">
        <f t="shared" si="4"/>
        <v>19205000</v>
      </c>
      <c r="F28" s="624">
        <f t="shared" si="4"/>
        <v>22085750</v>
      </c>
      <c r="G28" s="652">
        <f t="shared" si="4"/>
        <v>25942160</v>
      </c>
      <c r="H28" s="626">
        <f t="shared" si="4"/>
        <v>30611748</v>
      </c>
    </row>
    <row r="29" spans="1:8" s="36" customFormat="1" ht="15">
      <c r="A29" s="8" t="str">
        <f>+'INGR. Y EGRE SEC CENT'!A29</f>
        <v>1.1.2.1</v>
      </c>
      <c r="B29" s="588" t="str">
        <f>+'INGR. Y EGRE SEC CENT'!B29</f>
        <v>Aseo</v>
      </c>
      <c r="C29" s="734">
        <f>'INGR. Y EGRE SEC CENT'!G29</f>
        <v>0</v>
      </c>
      <c r="D29" s="736">
        <v>0</v>
      </c>
      <c r="E29" s="737">
        <v>0</v>
      </c>
      <c r="F29" s="631">
        <v>0</v>
      </c>
      <c r="G29" s="736">
        <v>0</v>
      </c>
      <c r="H29" s="737"/>
    </row>
    <row r="30" spans="1:8" s="36" customFormat="1" ht="15">
      <c r="A30" s="8" t="str">
        <f>+'INGR. Y EGRE SEC CENT'!A30</f>
        <v>1.1.2.2</v>
      </c>
      <c r="B30" s="590" t="str">
        <f>+'INGR. Y EGRE SEC CENT'!B30</f>
        <v>Pliego de Licitaciones</v>
      </c>
      <c r="C30" s="734">
        <f>'INGR. Y EGRE SEC CENT'!G30</f>
        <v>0</v>
      </c>
      <c r="D30" s="653">
        <v>7000000</v>
      </c>
      <c r="E30" s="655">
        <v>8050000</v>
      </c>
      <c r="F30" s="627">
        <v>9257500</v>
      </c>
      <c r="G30" s="653">
        <v>10923850</v>
      </c>
      <c r="H30" s="655">
        <v>12890143</v>
      </c>
    </row>
    <row r="31" spans="1:8" s="36" customFormat="1" ht="15">
      <c r="A31" s="8" t="str">
        <f>+'INGR. Y EGRE SEC CENT'!A31</f>
        <v>1.1.2.3</v>
      </c>
      <c r="B31" s="588" t="str">
        <f>+'INGR. Y EGRE SEC CENT'!B31</f>
        <v>Gaceta Municipal</v>
      </c>
      <c r="C31" s="734">
        <f>'INGR. Y EGRE SEC CENT'!G31</f>
        <v>2192516</v>
      </c>
      <c r="D31" s="653">
        <v>0</v>
      </c>
      <c r="E31" s="655">
        <v>0</v>
      </c>
      <c r="F31" s="627">
        <v>0</v>
      </c>
      <c r="G31" s="653">
        <v>0</v>
      </c>
      <c r="H31" s="655">
        <v>0</v>
      </c>
    </row>
    <row r="32" spans="1:8" s="36" customFormat="1" ht="15">
      <c r="A32" s="8" t="str">
        <f>+'INGR. Y EGRE SEC CENT'!A32</f>
        <v>1.1.2.4</v>
      </c>
      <c r="B32" s="588" t="str">
        <f>+'INGR. Y EGRE SEC CENT'!B32</f>
        <v>Venta de formulario y placas</v>
      </c>
      <c r="C32" s="734">
        <f>'INGR. Y EGRE SEC CENT'!G32</f>
        <v>0</v>
      </c>
      <c r="D32" s="736">
        <v>0</v>
      </c>
      <c r="E32" s="737">
        <v>0</v>
      </c>
      <c r="F32" s="631">
        <v>0</v>
      </c>
      <c r="G32" s="736">
        <v>0</v>
      </c>
      <c r="H32" s="737">
        <v>0</v>
      </c>
    </row>
    <row r="33" spans="1:8" s="36" customFormat="1" ht="15">
      <c r="A33" s="8" t="str">
        <f>+'INGR. Y EGRE SEC CENT'!A33</f>
        <v>1.1.2.5</v>
      </c>
      <c r="B33" s="588" t="str">
        <f>+'INGR. Y EGRE SEC CENT'!B33</f>
        <v>Arrendamientos o Alquileres</v>
      </c>
      <c r="C33" s="734">
        <f>'INGR. Y EGRE SEC CENT'!G33</f>
        <v>0</v>
      </c>
      <c r="D33" s="653">
        <v>0</v>
      </c>
      <c r="E33" s="655">
        <v>0</v>
      </c>
      <c r="F33" s="627">
        <v>0</v>
      </c>
      <c r="G33" s="653">
        <v>0</v>
      </c>
      <c r="H33" s="655">
        <v>0</v>
      </c>
    </row>
    <row r="34" spans="1:8" s="36" customFormat="1" ht="15">
      <c r="A34" s="8" t="str">
        <f>+'INGR. Y EGRE SEC CENT'!A34</f>
        <v>1.1.2.6</v>
      </c>
      <c r="B34" s="588" t="str">
        <f>+'INGR. Y EGRE SEC CENT'!B34</f>
        <v>Multas,contravenciones y coso mpal.</v>
      </c>
      <c r="C34" s="734">
        <f>'INGR. Y EGRE SEC CENT'!G34</f>
        <v>0</v>
      </c>
      <c r="D34" s="653">
        <v>500000</v>
      </c>
      <c r="E34" s="655">
        <v>575000</v>
      </c>
      <c r="F34" s="627">
        <v>661250</v>
      </c>
      <c r="G34" s="653">
        <v>780275</v>
      </c>
      <c r="H34" s="655">
        <v>920725</v>
      </c>
    </row>
    <row r="35" spans="1:8" s="36" customFormat="1" ht="15">
      <c r="A35" s="8" t="str">
        <f>+'INGR. Y EGRE SEC CENT'!A35</f>
        <v>1.1.2.7</v>
      </c>
      <c r="B35" s="588" t="str">
        <f>+'INGR. Y EGRE SEC CENT'!B35</f>
        <v>Mercado y matadero Público</v>
      </c>
      <c r="C35" s="734">
        <f>'INGR. Y EGRE SEC CENT'!G35</f>
        <v>30000</v>
      </c>
      <c r="D35" s="653">
        <v>0</v>
      </c>
      <c r="E35" s="655">
        <v>0</v>
      </c>
      <c r="F35" s="627">
        <v>0</v>
      </c>
      <c r="G35" s="653">
        <v>0</v>
      </c>
      <c r="H35" s="655">
        <v>0</v>
      </c>
    </row>
    <row r="36" spans="1:8" s="36" customFormat="1" ht="15">
      <c r="A36" s="8" t="str">
        <f>+'INGR. Y EGRE SEC CENT'!A36</f>
        <v>1.1.2.8</v>
      </c>
      <c r="B36" s="588" t="str">
        <f>+'INGR. Y EGRE SEC CENT'!B36</f>
        <v>Acueducto</v>
      </c>
      <c r="C36" s="734">
        <f>'INGR. Y EGRE SEC CENT'!G36</f>
        <v>27634906</v>
      </c>
      <c r="D36" s="653">
        <v>0</v>
      </c>
      <c r="E36" s="655">
        <v>0</v>
      </c>
      <c r="F36" s="627">
        <v>0</v>
      </c>
      <c r="G36" s="653">
        <v>0</v>
      </c>
      <c r="H36" s="655">
        <v>0</v>
      </c>
    </row>
    <row r="37" spans="1:8" s="36" customFormat="1" ht="15.75">
      <c r="A37" s="114" t="str">
        <f>+'INGR. Y EGRE SEC CENT'!A37</f>
        <v>1.1.2.9</v>
      </c>
      <c r="B37" s="587" t="str">
        <f>+'INGR. Y EGRE SEC CENT'!B37</f>
        <v>Otros Ingresos No Tributarios</v>
      </c>
      <c r="C37" s="624">
        <f aca="true" t="shared" si="5" ref="C37:H37">SUM(C38:C40)</f>
        <v>18132418</v>
      </c>
      <c r="D37" s="652">
        <f t="shared" si="5"/>
        <v>9200000</v>
      </c>
      <c r="E37" s="626">
        <f t="shared" si="5"/>
        <v>10580000</v>
      </c>
      <c r="F37" s="624">
        <f t="shared" si="5"/>
        <v>12167000</v>
      </c>
      <c r="G37" s="652">
        <f t="shared" si="5"/>
        <v>14238035</v>
      </c>
      <c r="H37" s="626">
        <f t="shared" si="5"/>
        <v>16800880</v>
      </c>
    </row>
    <row r="38" spans="1:8" s="36" customFormat="1" ht="15">
      <c r="A38" s="8" t="str">
        <f>+'INGR. Y EGRE SEC CENT'!A38</f>
        <v>1.1.2.9.1</v>
      </c>
      <c r="B38" s="590" t="str">
        <f>+'INGR. Y EGRE SEC CENT'!B38</f>
        <v>CORPAMAG</v>
      </c>
      <c r="C38" s="734">
        <f>'INGR. Y EGRE SEC CENT'!G38</f>
        <v>7815632</v>
      </c>
      <c r="D38" s="653">
        <v>0</v>
      </c>
      <c r="E38" s="655">
        <v>0</v>
      </c>
      <c r="F38" s="627">
        <v>0</v>
      </c>
      <c r="G38" s="653">
        <v>0</v>
      </c>
      <c r="H38" s="655">
        <v>0</v>
      </c>
    </row>
    <row r="39" spans="1:8" s="36" customFormat="1" ht="15">
      <c r="A39" s="8" t="str">
        <f>+'INGR. Y EGRE SEC CENT'!A39</f>
        <v>1.1.2.9.2</v>
      </c>
      <c r="B39" s="590" t="str">
        <f>+'INGR. Y EGRE SEC CENT'!B39</f>
        <v>Aporte empl. Seguro social y Pensión</v>
      </c>
      <c r="C39" s="734">
        <f>'INGR. Y EGRE SEC CENT'!G39</f>
        <v>5524552</v>
      </c>
      <c r="D39" s="653">
        <v>0</v>
      </c>
      <c r="E39" s="655">
        <v>0</v>
      </c>
      <c r="F39" s="627">
        <v>0</v>
      </c>
      <c r="G39" s="653">
        <v>0</v>
      </c>
      <c r="H39" s="655">
        <v>0</v>
      </c>
    </row>
    <row r="40" spans="1:8" s="36" customFormat="1" ht="15">
      <c r="A40" s="8" t="str">
        <f>+'INGR. Y EGRE SEC CENT'!A40</f>
        <v>1.1.2.9.3</v>
      </c>
      <c r="B40" s="590" t="str">
        <f>+'INGR. Y EGRE SEC CENT'!B40</f>
        <v>Impuesto Propalacio</v>
      </c>
      <c r="C40" s="734">
        <f>'INGR. Y EGRE SEC CENT'!G40</f>
        <v>4792234</v>
      </c>
      <c r="D40" s="653">
        <v>9200000</v>
      </c>
      <c r="E40" s="655">
        <v>10580000</v>
      </c>
      <c r="F40" s="627">
        <v>12167000</v>
      </c>
      <c r="G40" s="653">
        <v>14238035</v>
      </c>
      <c r="H40" s="655">
        <v>16800880</v>
      </c>
    </row>
    <row r="41" spans="1:8" s="148" customFormat="1" ht="15.75">
      <c r="A41" s="110" t="str">
        <f>+'INGR. Y EGRE SEC CENT'!A41</f>
        <v>1.1.3</v>
      </c>
      <c r="B41" s="589" t="str">
        <f>+'INGR. Y EGRE SEC CENT'!B41</f>
        <v>TRANSFERENCIAS</v>
      </c>
      <c r="C41" s="633">
        <f aca="true" t="shared" si="6" ref="C41:H41">+C42+C45+C48</f>
        <v>1885785577</v>
      </c>
      <c r="D41" s="650">
        <f t="shared" si="6"/>
        <v>1947487000</v>
      </c>
      <c r="E41" s="651">
        <f t="shared" si="6"/>
        <v>2135575432</v>
      </c>
      <c r="F41" s="633">
        <f t="shared" si="6"/>
        <v>2357917157</v>
      </c>
      <c r="G41" s="650">
        <f t="shared" si="6"/>
        <v>2628365174</v>
      </c>
      <c r="H41" s="651">
        <f t="shared" si="6"/>
        <v>2959126776</v>
      </c>
    </row>
    <row r="42" spans="1:8" s="36" customFormat="1" ht="15.75">
      <c r="A42" s="114" t="str">
        <f>+'INGR. Y EGRE SEC CENT'!A42</f>
        <v>1.1.3.1</v>
      </c>
      <c r="B42" s="587" t="str">
        <f>+'INGR. Y EGRE SEC CENT'!B42</f>
        <v>Por Situado Fiscal</v>
      </c>
      <c r="C42" s="624">
        <f aca="true" t="shared" si="7" ref="C42:H42">SUM(C43:C44)</f>
        <v>0</v>
      </c>
      <c r="D42" s="652">
        <f t="shared" si="7"/>
        <v>0</v>
      </c>
      <c r="E42" s="626">
        <f t="shared" si="7"/>
        <v>0</v>
      </c>
      <c r="F42" s="624">
        <f t="shared" si="7"/>
        <v>0</v>
      </c>
      <c r="G42" s="652">
        <f t="shared" si="7"/>
        <v>0</v>
      </c>
      <c r="H42" s="626">
        <f t="shared" si="7"/>
        <v>0</v>
      </c>
    </row>
    <row r="43" spans="1:8" s="36" customFormat="1" ht="15">
      <c r="A43" s="8" t="str">
        <f>+'INGR. Y EGRE SEC CENT'!A43</f>
        <v>1.1.3.1.1</v>
      </c>
      <c r="B43" s="590" t="str">
        <f>+'INGR. Y EGRE SEC CENT'!B43</f>
        <v>Situado Fiscal Educación</v>
      </c>
      <c r="C43" s="734">
        <f>'INGR. Y EGRE SEC CENT'!G43</f>
        <v>0</v>
      </c>
      <c r="D43" s="653">
        <v>0</v>
      </c>
      <c r="E43" s="655">
        <v>0</v>
      </c>
      <c r="F43" s="627">
        <v>0</v>
      </c>
      <c r="G43" s="653">
        <v>0</v>
      </c>
      <c r="H43" s="655">
        <v>0</v>
      </c>
    </row>
    <row r="44" spans="1:8" s="36" customFormat="1" ht="15">
      <c r="A44" s="8" t="str">
        <f>+'INGR. Y EGRE SEC CENT'!A44</f>
        <v>1.1.3.1.2</v>
      </c>
      <c r="B44" s="590" t="str">
        <f>+'INGR. Y EGRE SEC CENT'!B44</f>
        <v>Situado Fiscal Salud</v>
      </c>
      <c r="C44" s="734">
        <f>'INGR. Y EGRE SEC CENT'!G44</f>
        <v>0</v>
      </c>
      <c r="D44" s="653">
        <v>0</v>
      </c>
      <c r="E44" s="655">
        <v>0</v>
      </c>
      <c r="F44" s="627">
        <v>0</v>
      </c>
      <c r="G44" s="653">
        <v>0</v>
      </c>
      <c r="H44" s="655">
        <v>0</v>
      </c>
    </row>
    <row r="45" spans="1:8" s="150" customFormat="1" ht="15.75">
      <c r="A45" s="114" t="str">
        <f>+'INGR. Y EGRE SEC CENT'!A45</f>
        <v>1.1.3.2</v>
      </c>
      <c r="B45" s="589" t="str">
        <f>+'INGR. Y EGRE SEC CENT'!B45</f>
        <v>Por Participación en Ingresos Corrientes de la Nación</v>
      </c>
      <c r="C45" s="624">
        <f aca="true" t="shared" si="8" ref="C45:H45">SUM(C46:C47)</f>
        <v>1716719110</v>
      </c>
      <c r="D45" s="652">
        <f t="shared" si="8"/>
        <v>1947487000</v>
      </c>
      <c r="E45" s="626">
        <f t="shared" si="8"/>
        <v>2135575432</v>
      </c>
      <c r="F45" s="624">
        <f t="shared" si="8"/>
        <v>2357917157</v>
      </c>
      <c r="G45" s="652">
        <f t="shared" si="8"/>
        <v>2628365174</v>
      </c>
      <c r="H45" s="626">
        <f t="shared" si="8"/>
        <v>2959126776</v>
      </c>
    </row>
    <row r="46" spans="1:8" s="36" customFormat="1" ht="15">
      <c r="A46" s="8" t="str">
        <f>+'INGR. Y EGRE SEC CENT'!A46</f>
        <v>1.1.3.2.1</v>
      </c>
      <c r="B46" s="590" t="str">
        <f>+'INGR. Y EGRE SEC CENT'!B46</f>
        <v>ICN. de Inversión Forzosa</v>
      </c>
      <c r="C46" s="734">
        <f>'INGR. Y EGRE SEC CENT'!G46</f>
        <v>1381135295</v>
      </c>
      <c r="D46" s="653">
        <v>1600704940</v>
      </c>
      <c r="E46" s="655">
        <v>1840810681</v>
      </c>
      <c r="F46" s="627">
        <v>2098524176</v>
      </c>
      <c r="G46" s="653">
        <v>2392317561</v>
      </c>
      <c r="H46" s="655">
        <v>2737242020</v>
      </c>
    </row>
    <row r="47" spans="1:8" s="36" customFormat="1" ht="15">
      <c r="A47" s="8" t="str">
        <f>+'INGR. Y EGRE SEC CENT'!A47</f>
        <v>1.1.3.2.2</v>
      </c>
      <c r="B47" s="590" t="str">
        <f>+'INGR. Y EGRE SEC CENT'!B47</f>
        <v>ICN. de Libre Destinación</v>
      </c>
      <c r="C47" s="734">
        <f>'INGR. Y EGRE SEC CENT'!G47</f>
        <v>335583815</v>
      </c>
      <c r="D47" s="653">
        <v>346782060</v>
      </c>
      <c r="E47" s="655">
        <v>294764751</v>
      </c>
      <c r="F47" s="627">
        <v>259392981</v>
      </c>
      <c r="G47" s="653">
        <v>236047613</v>
      </c>
      <c r="H47" s="655">
        <v>221884756</v>
      </c>
    </row>
    <row r="48" spans="1:8" s="36" customFormat="1" ht="15.75">
      <c r="A48" s="114" t="str">
        <f>+'INGR. Y EGRE SEC CENT'!A48</f>
        <v>1.1.3.3.3</v>
      </c>
      <c r="B48" s="587" t="str">
        <f>+'INGR. Y EGRE SEC CENT'!B48</f>
        <v>Otras Transferencias :</v>
      </c>
      <c r="C48" s="624">
        <f aca="true" t="shared" si="9" ref="C48:H48">SUM(C49:C52)</f>
        <v>169066467</v>
      </c>
      <c r="D48" s="652">
        <f t="shared" si="9"/>
        <v>0</v>
      </c>
      <c r="E48" s="626">
        <f t="shared" si="9"/>
        <v>0</v>
      </c>
      <c r="F48" s="624">
        <f t="shared" si="9"/>
        <v>0</v>
      </c>
      <c r="G48" s="652">
        <f t="shared" si="9"/>
        <v>0</v>
      </c>
      <c r="H48" s="626">
        <f t="shared" si="9"/>
        <v>0</v>
      </c>
    </row>
    <row r="49" spans="1:8" s="36" customFormat="1" ht="15.75" customHeight="1">
      <c r="A49" s="8" t="str">
        <f>+'INGR. Y EGRE SEC CENT'!A49</f>
        <v>1.1.3.3.3.1</v>
      </c>
      <c r="B49" s="588" t="str">
        <f>+'INGR. Y EGRE SEC CENT'!B49</f>
        <v>Recibidas De la Nación</v>
      </c>
      <c r="C49" s="734">
        <f>'INGR. Y EGRE SEC CENT'!G49</f>
        <v>127330724</v>
      </c>
      <c r="D49" s="653">
        <v>0</v>
      </c>
      <c r="E49" s="655">
        <v>0</v>
      </c>
      <c r="F49" s="627">
        <v>0</v>
      </c>
      <c r="G49" s="653">
        <v>0</v>
      </c>
      <c r="H49" s="655">
        <v>0</v>
      </c>
    </row>
    <row r="50" spans="1:8" s="36" customFormat="1" ht="15.75" customHeight="1">
      <c r="A50" s="8" t="str">
        <f>+'INGR. Y EGRE SEC CENT'!A50</f>
        <v>1.1.3.3.3.2</v>
      </c>
      <c r="B50" s="588" t="str">
        <f>+'INGR. Y EGRE SEC CENT'!B50</f>
        <v>Recibidas Del Departamento</v>
      </c>
      <c r="C50" s="734">
        <f>'INGR. Y EGRE SEC CENT'!G50</f>
        <v>13024077</v>
      </c>
      <c r="D50" s="653">
        <v>0</v>
      </c>
      <c r="E50" s="655">
        <v>0</v>
      </c>
      <c r="F50" s="627">
        <v>0</v>
      </c>
      <c r="G50" s="653">
        <v>0</v>
      </c>
      <c r="H50" s="655">
        <v>0</v>
      </c>
    </row>
    <row r="51" spans="1:8" s="36" customFormat="1" ht="15">
      <c r="A51" s="8" t="str">
        <f>+'INGR. Y EGRE SEC CENT'!A51</f>
        <v>1.1.3.3.3.3</v>
      </c>
      <c r="B51" s="588" t="str">
        <f>+'INGR. Y EGRE SEC CENT'!B51</f>
        <v>Recibidas de Otras Entidades </v>
      </c>
      <c r="C51" s="734">
        <f>'INGR. Y EGRE SEC CENT'!G51</f>
        <v>0</v>
      </c>
      <c r="D51" s="653">
        <v>0</v>
      </c>
      <c r="E51" s="655">
        <v>0</v>
      </c>
      <c r="F51" s="627">
        <v>0</v>
      </c>
      <c r="G51" s="653">
        <v>0</v>
      </c>
      <c r="H51" s="655">
        <v>0</v>
      </c>
    </row>
    <row r="52" spans="1:8" s="36" customFormat="1" ht="15">
      <c r="A52" s="8" t="str">
        <f>+'INGR. Y EGRE SEC CENT'!A52</f>
        <v>1.1.3.3.3.4</v>
      </c>
      <c r="B52" s="588" t="str">
        <f>+'INGR. Y EGRE SEC CENT'!B52</f>
        <v>Otras</v>
      </c>
      <c r="C52" s="734">
        <f>'INGR. Y EGRE SEC CENT'!G52</f>
        <v>28711666</v>
      </c>
      <c r="D52" s="653">
        <v>0</v>
      </c>
      <c r="E52" s="655">
        <v>0</v>
      </c>
      <c r="F52" s="627">
        <v>0</v>
      </c>
      <c r="G52" s="653">
        <v>0</v>
      </c>
      <c r="H52" s="655">
        <v>0</v>
      </c>
    </row>
    <row r="53" spans="1:8" s="148" customFormat="1" ht="15.75">
      <c r="A53" s="110">
        <f>+'INGR. Y EGRE SEC CENT'!A53</f>
        <v>1.2</v>
      </c>
      <c r="B53" s="587" t="str">
        <f>+'INGR. Y EGRE SEC CENT'!B53</f>
        <v>RECURSOS  DE CAPITAL</v>
      </c>
      <c r="C53" s="639">
        <f aca="true" t="shared" si="10" ref="C53:H53">+C54+C58+C62+C63+C69+C72+C73+C74+C75</f>
        <v>47153108</v>
      </c>
      <c r="D53" s="656">
        <f t="shared" si="10"/>
        <v>208098485</v>
      </c>
      <c r="E53" s="657">
        <f t="shared" si="10"/>
        <v>239313257</v>
      </c>
      <c r="F53" s="639">
        <f t="shared" si="10"/>
        <v>275210245</v>
      </c>
      <c r="G53" s="656">
        <f t="shared" si="10"/>
        <v>324748089</v>
      </c>
      <c r="H53" s="657">
        <f t="shared" si="10"/>
        <v>383202746</v>
      </c>
    </row>
    <row r="54" spans="1:8" s="36" customFormat="1" ht="15.75">
      <c r="A54" s="112" t="str">
        <f>+'INGR. Y EGRE SEC CENT'!A54</f>
        <v>1.2.1</v>
      </c>
      <c r="B54" s="589" t="str">
        <f>+'INGR. Y EGRE SEC CENT'!B54</f>
        <v>Recursos del Balance</v>
      </c>
      <c r="C54" s="624">
        <f aca="true" t="shared" si="11" ref="C54:H54">SUM(C55:C57)</f>
        <v>47153108</v>
      </c>
      <c r="D54" s="652">
        <f t="shared" si="11"/>
        <v>0</v>
      </c>
      <c r="E54" s="626">
        <f t="shared" si="11"/>
        <v>0</v>
      </c>
      <c r="F54" s="624">
        <f t="shared" si="11"/>
        <v>0</v>
      </c>
      <c r="G54" s="652">
        <f t="shared" si="11"/>
        <v>0</v>
      </c>
      <c r="H54" s="626">
        <f t="shared" si="11"/>
        <v>0</v>
      </c>
    </row>
    <row r="55" spans="1:8" s="36" customFormat="1" ht="15">
      <c r="A55" s="9" t="str">
        <f>+'INGR. Y EGRE SEC CENT'!A55</f>
        <v>1.2.1.1</v>
      </c>
      <c r="B55" s="590" t="str">
        <f>+'INGR. Y EGRE SEC CENT'!B55</f>
        <v>Superávit</v>
      </c>
      <c r="C55" s="734">
        <f>'INGR. Y EGRE SEC CENT'!G55</f>
        <v>0</v>
      </c>
      <c r="D55" s="653">
        <v>0</v>
      </c>
      <c r="E55" s="655">
        <v>0</v>
      </c>
      <c r="F55" s="627">
        <v>0</v>
      </c>
      <c r="G55" s="653">
        <v>0</v>
      </c>
      <c r="H55" s="655">
        <v>0</v>
      </c>
    </row>
    <row r="56" spans="1:8" s="36" customFormat="1" ht="15">
      <c r="A56" s="9" t="str">
        <f>+'INGR. Y EGRE SEC CENT'!A56</f>
        <v>1.2.1.2</v>
      </c>
      <c r="B56" s="590" t="str">
        <f>+'INGR. Y EGRE SEC CENT'!B56</f>
        <v>Cancelación de Reservas</v>
      </c>
      <c r="C56" s="734">
        <f>'INGR. Y EGRE SEC CENT'!G56</f>
        <v>47153108</v>
      </c>
      <c r="D56" s="653">
        <v>0</v>
      </c>
      <c r="E56" s="655">
        <v>0</v>
      </c>
      <c r="F56" s="627">
        <v>0</v>
      </c>
      <c r="G56" s="653">
        <v>0</v>
      </c>
      <c r="H56" s="655">
        <v>0</v>
      </c>
    </row>
    <row r="57" spans="1:8" s="36" customFormat="1" ht="15">
      <c r="A57" s="9" t="str">
        <f>+'INGR. Y EGRE SEC CENT'!A57</f>
        <v>1.2.1.3</v>
      </c>
      <c r="B57" s="590" t="str">
        <f>+'INGR. Y EGRE SEC CENT'!B57</f>
        <v>Venta de Activos</v>
      </c>
      <c r="C57" s="734">
        <f>'INGR. Y EGRE SEC CENT'!G57</f>
        <v>0</v>
      </c>
      <c r="D57" s="653">
        <v>0</v>
      </c>
      <c r="E57" s="655">
        <v>0</v>
      </c>
      <c r="F57" s="627">
        <v>0</v>
      </c>
      <c r="G57" s="653">
        <v>0</v>
      </c>
      <c r="H57" s="655">
        <v>0</v>
      </c>
    </row>
    <row r="58" spans="1:8" s="36" customFormat="1" ht="15.75">
      <c r="A58" s="112" t="str">
        <f>+'INGR. Y EGRE SEC CENT'!A58</f>
        <v>1.2.2</v>
      </c>
      <c r="B58" s="589" t="str">
        <f>+'INGR. Y EGRE SEC CENT'!B58</f>
        <v>Recursos de Cofinanciación</v>
      </c>
      <c r="C58" s="641">
        <f aca="true" t="shared" si="12" ref="C58:H58">SUM(C59:C61)</f>
        <v>0</v>
      </c>
      <c r="D58" s="738">
        <f t="shared" si="12"/>
        <v>208096485</v>
      </c>
      <c r="E58" s="658">
        <f t="shared" si="12"/>
        <v>239310957</v>
      </c>
      <c r="F58" s="739">
        <f t="shared" si="12"/>
        <v>275207601</v>
      </c>
      <c r="G58" s="738">
        <f t="shared" si="12"/>
        <v>324744969</v>
      </c>
      <c r="H58" s="740">
        <f t="shared" si="12"/>
        <v>383199064</v>
      </c>
    </row>
    <row r="59" spans="1:8" s="36" customFormat="1" ht="15">
      <c r="A59" s="9" t="str">
        <f>+'INGR. Y EGRE SEC CENT'!A59</f>
        <v>1.2.2.1</v>
      </c>
      <c r="B59" s="590" t="str">
        <f>+'INGR. Y EGRE SEC CENT'!B59</f>
        <v>Recursos del FIS, DRI, FIU y FCV.</v>
      </c>
      <c r="C59" s="734">
        <f>'INGR. Y EGRE SEC CENT'!G59</f>
        <v>0</v>
      </c>
      <c r="D59" s="659">
        <v>208096485</v>
      </c>
      <c r="E59" s="661">
        <v>239310957</v>
      </c>
      <c r="F59" s="643">
        <v>275207601</v>
      </c>
      <c r="G59" s="659">
        <v>324744969</v>
      </c>
      <c r="H59" s="661">
        <v>383199064</v>
      </c>
    </row>
    <row r="60" spans="1:8" s="36" customFormat="1" ht="15">
      <c r="A60" s="9" t="str">
        <f>+'INGR. Y EGRE SEC CENT'!A60</f>
        <v>1.2.2.2</v>
      </c>
      <c r="B60" s="590" t="str">
        <f>+'INGR. Y EGRE SEC CENT'!B60</f>
        <v>Fondo Nacional de Regalías</v>
      </c>
      <c r="C60" s="734">
        <f>'INGR. Y EGRE SEC CENT'!G60</f>
        <v>0</v>
      </c>
      <c r="D60" s="659">
        <v>0</v>
      </c>
      <c r="E60" s="661">
        <v>0</v>
      </c>
      <c r="F60" s="643">
        <v>0</v>
      </c>
      <c r="G60" s="659">
        <v>0</v>
      </c>
      <c r="H60" s="661">
        <v>0</v>
      </c>
    </row>
    <row r="61" spans="1:8" s="36" customFormat="1" ht="15">
      <c r="A61" s="9" t="str">
        <f>+'INGR. Y EGRE SEC CENT'!A61</f>
        <v>1.2.2.3</v>
      </c>
      <c r="B61" s="590" t="str">
        <f>+'INGR. Y EGRE SEC CENT'!B61</f>
        <v>Otros recursos de Cofinanciación</v>
      </c>
      <c r="C61" s="734">
        <f>'INGR. Y EGRE SEC CENT'!G61</f>
        <v>0</v>
      </c>
      <c r="D61" s="659">
        <v>0</v>
      </c>
      <c r="E61" s="661">
        <v>0</v>
      </c>
      <c r="F61" s="643">
        <v>0</v>
      </c>
      <c r="G61" s="659">
        <v>0</v>
      </c>
      <c r="H61" s="661">
        <v>0</v>
      </c>
    </row>
    <row r="62" spans="1:8" s="36" customFormat="1" ht="15.75">
      <c r="A62" s="9" t="str">
        <f>+'INGR. Y EGRE SEC CENT'!A62</f>
        <v>1.2.3</v>
      </c>
      <c r="B62" s="591" t="str">
        <f>+'INGR. Y EGRE SEC CENT'!B62</f>
        <v>Donaciones</v>
      </c>
      <c r="C62" s="734">
        <f>'INGR. Y EGRE SEC CENT'!G62</f>
        <v>0</v>
      </c>
      <c r="D62" s="653">
        <v>1000</v>
      </c>
      <c r="E62" s="655">
        <v>1150</v>
      </c>
      <c r="F62" s="627">
        <v>1322</v>
      </c>
      <c r="G62" s="653">
        <v>1560</v>
      </c>
      <c r="H62" s="655">
        <v>1841</v>
      </c>
    </row>
    <row r="63" spans="1:8" s="36" customFormat="1" ht="15.75">
      <c r="A63" s="112" t="str">
        <f>+'INGR. Y EGRE SEC CENT'!A63</f>
        <v>1.2.4</v>
      </c>
      <c r="B63" s="589" t="str">
        <f>+'INGR. Y EGRE SEC CENT'!B63</f>
        <v>Regalías</v>
      </c>
      <c r="C63" s="624">
        <f aca="true" t="shared" si="13" ref="C63:H63">SUM(C64:C68)</f>
        <v>0</v>
      </c>
      <c r="D63" s="652">
        <f t="shared" si="13"/>
        <v>0</v>
      </c>
      <c r="E63" s="626">
        <f t="shared" si="13"/>
        <v>0</v>
      </c>
      <c r="F63" s="624">
        <f t="shared" si="13"/>
        <v>0</v>
      </c>
      <c r="G63" s="652">
        <f t="shared" si="13"/>
        <v>0</v>
      </c>
      <c r="H63" s="626">
        <f t="shared" si="13"/>
        <v>0</v>
      </c>
    </row>
    <row r="64" spans="1:8" s="36" customFormat="1" ht="15">
      <c r="A64" s="9" t="str">
        <f>+'INGR. Y EGRE SEC CENT'!A64</f>
        <v>1.2.4.1</v>
      </c>
      <c r="B64" s="590" t="str">
        <f>+'INGR. Y EGRE SEC CENT'!B64</f>
        <v>Anticipos de Regalías</v>
      </c>
      <c r="C64" s="734">
        <f>'INGR. Y EGRE SEC CENT'!G64</f>
        <v>0</v>
      </c>
      <c r="D64" s="659">
        <v>0</v>
      </c>
      <c r="E64" s="661">
        <v>0</v>
      </c>
      <c r="F64" s="643">
        <v>0</v>
      </c>
      <c r="G64" s="659">
        <v>0</v>
      </c>
      <c r="H64" s="661">
        <v>0</v>
      </c>
    </row>
    <row r="65" spans="1:8" s="36" customFormat="1" ht="15">
      <c r="A65" s="9" t="str">
        <f>+'INGR. Y EGRE SEC CENT'!A65</f>
        <v>1.2.4.2</v>
      </c>
      <c r="B65" s="590" t="str">
        <f>+'INGR. Y EGRE SEC CENT'!B65</f>
        <v>Regalías Petroleras</v>
      </c>
      <c r="C65" s="734">
        <f>'INGR. Y EGRE SEC CENT'!G65</f>
        <v>0</v>
      </c>
      <c r="D65" s="653">
        <v>0</v>
      </c>
      <c r="E65" s="655">
        <v>0</v>
      </c>
      <c r="F65" s="627">
        <v>0</v>
      </c>
      <c r="G65" s="653">
        <v>0</v>
      </c>
      <c r="H65" s="655">
        <v>0</v>
      </c>
    </row>
    <row r="66" spans="1:8" s="36" customFormat="1" ht="15">
      <c r="A66" s="9" t="str">
        <f>+'INGR. Y EGRE SEC CENT'!A66</f>
        <v>1.2.4.3</v>
      </c>
      <c r="B66" s="590" t="str">
        <f>+'INGR. Y EGRE SEC CENT'!B66</f>
        <v>Regalías Carboníferas</v>
      </c>
      <c r="C66" s="734">
        <f>'INGR. Y EGRE SEC CENT'!G66</f>
        <v>0</v>
      </c>
      <c r="D66" s="653">
        <v>0</v>
      </c>
      <c r="E66" s="655">
        <v>0</v>
      </c>
      <c r="F66" s="627">
        <v>0</v>
      </c>
      <c r="G66" s="653">
        <v>0</v>
      </c>
      <c r="H66" s="655">
        <v>0</v>
      </c>
    </row>
    <row r="67" spans="1:8" s="36" customFormat="1" ht="15">
      <c r="A67" s="9" t="str">
        <f>+'INGR. Y EGRE SEC CENT'!A67</f>
        <v>1.2.4.4</v>
      </c>
      <c r="B67" s="590" t="str">
        <f>+'INGR. Y EGRE SEC CENT'!B67</f>
        <v>Regalías por Gas</v>
      </c>
      <c r="C67" s="734">
        <f>'INGR. Y EGRE SEC CENT'!G67</f>
        <v>0</v>
      </c>
      <c r="D67" s="653">
        <v>0</v>
      </c>
      <c r="E67" s="655">
        <v>0</v>
      </c>
      <c r="F67" s="627">
        <v>0</v>
      </c>
      <c r="G67" s="653">
        <v>0</v>
      </c>
      <c r="H67" s="655">
        <v>0</v>
      </c>
    </row>
    <row r="68" spans="1:8" s="36" customFormat="1" ht="15">
      <c r="A68" s="9" t="str">
        <f>+'INGR. Y EGRE SEC CENT'!A68</f>
        <v>1.2.4.5</v>
      </c>
      <c r="B68" s="590" t="str">
        <f>+'INGR. Y EGRE SEC CENT'!B68</f>
        <v>Otras Regalías :</v>
      </c>
      <c r="C68" s="734">
        <f>'INGR. Y EGRE SEC CENT'!G68</f>
        <v>0</v>
      </c>
      <c r="D68" s="653">
        <v>0</v>
      </c>
      <c r="E68" s="655">
        <v>0</v>
      </c>
      <c r="F68" s="627">
        <v>0</v>
      </c>
      <c r="G68" s="653">
        <v>0</v>
      </c>
      <c r="H68" s="655">
        <v>0</v>
      </c>
    </row>
    <row r="69" spans="1:8" s="36" customFormat="1" ht="15.75">
      <c r="A69" s="112" t="str">
        <f>+'INGR. Y EGRE SEC CENT'!A69</f>
        <v>1.2.5</v>
      </c>
      <c r="B69" s="589" t="str">
        <f>+'INGR. Y EGRE SEC CENT'!B69</f>
        <v>Recursos del Crédito (DESEMBOLSOS)</v>
      </c>
      <c r="C69" s="624">
        <f aca="true" t="shared" si="14" ref="C69:H69">SUM(C70:C71)</f>
        <v>0</v>
      </c>
      <c r="D69" s="652">
        <f t="shared" si="14"/>
        <v>0</v>
      </c>
      <c r="E69" s="626">
        <f t="shared" si="14"/>
        <v>0</v>
      </c>
      <c r="F69" s="624">
        <f t="shared" si="14"/>
        <v>0</v>
      </c>
      <c r="G69" s="652">
        <f t="shared" si="14"/>
        <v>0</v>
      </c>
      <c r="H69" s="626">
        <f t="shared" si="14"/>
        <v>0</v>
      </c>
    </row>
    <row r="70" spans="1:8" s="36" customFormat="1" ht="15">
      <c r="A70" s="9" t="str">
        <f>+'INGR. Y EGRE SEC CENT'!A70</f>
        <v>1.2.5.1</v>
      </c>
      <c r="B70" s="590" t="str">
        <f>+'INGR. Y EGRE SEC CENT'!B70</f>
        <v>Desembolsos Crédito Interno</v>
      </c>
      <c r="C70" s="734">
        <f>'INGR. Y EGRE SEC CENT'!G70</f>
        <v>0</v>
      </c>
      <c r="D70" s="653">
        <v>0</v>
      </c>
      <c r="E70" s="653">
        <v>0</v>
      </c>
      <c r="F70" s="653">
        <v>0</v>
      </c>
      <c r="G70" s="653">
        <v>0</v>
      </c>
      <c r="H70" s="655">
        <v>0</v>
      </c>
    </row>
    <row r="71" spans="1:8" s="36" customFormat="1" ht="15">
      <c r="A71" s="9" t="str">
        <f>+'INGR. Y EGRE SEC CENT'!A71</f>
        <v>1.2.5.2</v>
      </c>
      <c r="B71" s="590" t="str">
        <f>+'INGR. Y EGRE SEC CENT'!B71</f>
        <v>Desembolsos Crédito Externo</v>
      </c>
      <c r="C71" s="734">
        <f>'INGR. Y EGRE SEC CENT'!G71</f>
        <v>0</v>
      </c>
      <c r="D71" s="653">
        <v>0</v>
      </c>
      <c r="E71" s="653">
        <v>0</v>
      </c>
      <c r="F71" s="653">
        <v>0</v>
      </c>
      <c r="G71" s="653">
        <v>0</v>
      </c>
      <c r="H71" s="655">
        <v>0</v>
      </c>
    </row>
    <row r="72" spans="1:8" s="36" customFormat="1" ht="15.75">
      <c r="A72" s="9" t="str">
        <f>+'INGR. Y EGRE SEC CENT'!A72</f>
        <v>1.2.6</v>
      </c>
      <c r="B72" s="591" t="str">
        <f>+'INGR. Y EGRE SEC CENT'!B72</f>
        <v>Rendimientos Financieros</v>
      </c>
      <c r="C72" s="734">
        <f>'INGR. Y EGRE SEC CENT'!G72</f>
        <v>0</v>
      </c>
      <c r="D72" s="653">
        <v>0</v>
      </c>
      <c r="E72" s="653">
        <v>0</v>
      </c>
      <c r="F72" s="653">
        <v>0</v>
      </c>
      <c r="G72" s="653">
        <v>0</v>
      </c>
      <c r="H72" s="655">
        <v>0</v>
      </c>
    </row>
    <row r="73" spans="1:8" s="36" customFormat="1" ht="15.75">
      <c r="A73" s="9" t="str">
        <f>+'INGR. Y EGRE SEC CENT'!A73</f>
        <v>1.2.7</v>
      </c>
      <c r="B73" s="591" t="str">
        <f>+'INGR. Y EGRE SEC CENT'!B73</f>
        <v>Excedentes Financieros Ent. Descentralizadas</v>
      </c>
      <c r="C73" s="734">
        <f>'INGR. Y EGRE SEC CENT'!G73</f>
        <v>0</v>
      </c>
      <c r="D73" s="653">
        <v>0</v>
      </c>
      <c r="E73" s="653">
        <v>0</v>
      </c>
      <c r="F73" s="653">
        <v>0</v>
      </c>
      <c r="G73" s="653">
        <v>0</v>
      </c>
      <c r="H73" s="655">
        <v>0</v>
      </c>
    </row>
    <row r="74" spans="1:8" s="36" customFormat="1" ht="15.75">
      <c r="A74" s="9" t="str">
        <f>+'INGR. Y EGRE SEC CENT'!A74</f>
        <v>1.2.8</v>
      </c>
      <c r="B74" s="591" t="str">
        <f>+'INGR. Y EGRE SEC CENT'!B74</f>
        <v>Venta de Activos</v>
      </c>
      <c r="C74" s="734">
        <f>'INGR. Y EGRE SEC CENT'!G74</f>
        <v>0</v>
      </c>
      <c r="D74" s="653">
        <v>0</v>
      </c>
      <c r="E74" s="653">
        <v>0</v>
      </c>
      <c r="F74" s="653">
        <v>0</v>
      </c>
      <c r="G74" s="653">
        <v>0</v>
      </c>
      <c r="H74" s="655">
        <v>0</v>
      </c>
    </row>
    <row r="75" spans="1:8" s="36" customFormat="1" ht="15.75">
      <c r="A75" s="112" t="str">
        <f>+'INGR. Y EGRE SEC CENT'!A75</f>
        <v>1.2.9</v>
      </c>
      <c r="B75" s="589" t="str">
        <f>+'INGR. Y EGRE SEC CENT'!B75</f>
        <v>Otros Recursos de Capital</v>
      </c>
      <c r="C75" s="624">
        <f aca="true" t="shared" si="15" ref="C75:H75">SUM(C76:C78)</f>
        <v>0</v>
      </c>
      <c r="D75" s="652">
        <f t="shared" si="15"/>
        <v>1000</v>
      </c>
      <c r="E75" s="626">
        <f t="shared" si="15"/>
        <v>1150</v>
      </c>
      <c r="F75" s="624">
        <f t="shared" si="15"/>
        <v>1322</v>
      </c>
      <c r="G75" s="652">
        <f t="shared" si="15"/>
        <v>1560</v>
      </c>
      <c r="H75" s="626">
        <f t="shared" si="15"/>
        <v>1841</v>
      </c>
    </row>
    <row r="76" spans="1:8" s="36" customFormat="1" ht="15">
      <c r="A76" s="9" t="str">
        <f>+'INGR. Y EGRE SEC CENT'!A76</f>
        <v>1.2.9.1</v>
      </c>
      <c r="B76" s="592" t="str">
        <f>+'INGR. Y EGRE SEC CENT'!B76</f>
        <v>Recurso de Capital</v>
      </c>
      <c r="C76" s="734">
        <f>'INGR. Y EGRE SEC CENT'!G76</f>
        <v>0</v>
      </c>
      <c r="D76" s="653">
        <v>0</v>
      </c>
      <c r="E76" s="655">
        <v>0</v>
      </c>
      <c r="F76" s="627">
        <v>0</v>
      </c>
      <c r="G76" s="653">
        <v>0</v>
      </c>
      <c r="H76" s="655">
        <v>0</v>
      </c>
    </row>
    <row r="77" spans="1:8" s="36" customFormat="1" ht="15.75">
      <c r="A77" s="9" t="str">
        <f>+'INGR. Y EGRE SEC CENT'!A77</f>
        <v>1.2.9.2</v>
      </c>
      <c r="B77" s="593">
        <f>+'INGR. Y EGRE SEC CENT'!B77</f>
        <v>0</v>
      </c>
      <c r="C77" s="734">
        <f>'INGR. Y EGRE SEC CENT'!G77</f>
        <v>0</v>
      </c>
      <c r="D77" s="653">
        <v>0</v>
      </c>
      <c r="E77" s="655">
        <v>0</v>
      </c>
      <c r="F77" s="627">
        <v>0</v>
      </c>
      <c r="G77" s="653">
        <v>0</v>
      </c>
      <c r="H77" s="655">
        <v>0</v>
      </c>
    </row>
    <row r="78" spans="1:8" s="36" customFormat="1" ht="15.75" thickBot="1">
      <c r="A78" s="10" t="str">
        <f>+'INGR. Y EGRE SEC CENT'!A78</f>
        <v>1.2.9.3</v>
      </c>
      <c r="B78" s="594" t="str">
        <f>+'INGR. Y EGRE SEC CENT'!B78</f>
        <v>Otros</v>
      </c>
      <c r="C78" s="741">
        <f>'INGR. Y EGRE SEC CENT'!G78</f>
        <v>0</v>
      </c>
      <c r="D78" s="662">
        <v>1000</v>
      </c>
      <c r="E78" s="664">
        <v>1150</v>
      </c>
      <c r="F78" s="635">
        <v>1322</v>
      </c>
      <c r="G78" s="662">
        <v>1560</v>
      </c>
      <c r="H78" s="664">
        <v>1841</v>
      </c>
    </row>
    <row r="79" spans="1:8" s="36" customFormat="1" ht="15">
      <c r="A79" s="77">
        <f>+'INGR. Y EGRE SEC CENT'!A79</f>
        <v>0</v>
      </c>
      <c r="B79" s="36">
        <f>+'INGR. Y EGRE SEC CENT'!B79</f>
        <v>0</v>
      </c>
      <c r="C79" s="350"/>
      <c r="D79" s="350"/>
      <c r="E79" s="350"/>
      <c r="F79" s="350"/>
      <c r="G79" s="350"/>
      <c r="H79" s="350"/>
    </row>
    <row r="80" spans="1:8" s="36" customFormat="1" ht="15">
      <c r="A80" s="178"/>
      <c r="C80" s="350"/>
      <c r="D80" s="350"/>
      <c r="E80" s="350"/>
      <c r="F80" s="350"/>
      <c r="G80" s="350"/>
      <c r="H80" s="350"/>
    </row>
    <row r="81" spans="1:8" s="36" customFormat="1" ht="15">
      <c r="A81" s="7"/>
      <c r="C81" s="350"/>
      <c r="D81" s="350"/>
      <c r="E81" s="350"/>
      <c r="F81" s="350"/>
      <c r="G81" s="350"/>
      <c r="H81" s="350"/>
    </row>
    <row r="82" spans="1:8" s="36" customFormat="1" ht="18">
      <c r="A82" s="177" t="s">
        <v>154</v>
      </c>
      <c r="C82" s="350" t="s">
        <v>633</v>
      </c>
      <c r="D82" s="350"/>
      <c r="E82" s="350"/>
      <c r="F82" s="350"/>
      <c r="G82" s="350"/>
      <c r="H82" s="350"/>
    </row>
    <row r="83" spans="1:8" s="36" customFormat="1" ht="15">
      <c r="A83" s="95"/>
      <c r="B83" s="118"/>
      <c r="C83" s="118"/>
      <c r="D83" s="119"/>
      <c r="E83" s="119"/>
      <c r="F83" s="119"/>
      <c r="G83" s="120"/>
      <c r="H83" s="118"/>
    </row>
    <row r="84" spans="1:8" s="36" customFormat="1" ht="16.5" thickBot="1">
      <c r="A84" s="599" t="s">
        <v>383</v>
      </c>
      <c r="B84" s="94"/>
      <c r="C84" s="94"/>
      <c r="D84" s="94"/>
      <c r="E84" s="94"/>
      <c r="F84" s="94"/>
      <c r="G84" s="94"/>
      <c r="H84" s="94"/>
    </row>
    <row r="85" spans="1:8" s="36" customFormat="1" ht="16.5" thickBot="1">
      <c r="A85" s="95"/>
      <c r="B85" s="598" t="s">
        <v>157</v>
      </c>
      <c r="C85" s="219" t="str">
        <f>+C2</f>
        <v>ARIGUANI</v>
      </c>
      <c r="D85" s="94"/>
      <c r="E85" s="120" t="s">
        <v>2</v>
      </c>
      <c r="F85" s="146" t="e">
        <f>+F2</f>
        <v>#REF!</v>
      </c>
      <c r="G85" s="94"/>
      <c r="H85" s="94"/>
    </row>
    <row r="86" spans="1:8" s="36" customFormat="1" ht="16.5" thickBot="1">
      <c r="A86" s="597" t="s">
        <v>384</v>
      </c>
      <c r="B86" s="96"/>
      <c r="C86" s="96"/>
      <c r="D86" s="96"/>
      <c r="E86" s="96"/>
      <c r="F86" s="96"/>
      <c r="G86" s="96"/>
      <c r="H86" s="96"/>
    </row>
    <row r="87" spans="1:8" s="36" customFormat="1" ht="15.75" thickBot="1">
      <c r="A87" s="94"/>
      <c r="B87" s="94"/>
      <c r="C87" s="96"/>
      <c r="D87" s="96"/>
      <c r="E87" s="96"/>
      <c r="F87" s="96"/>
      <c r="G87" s="96"/>
      <c r="H87" s="96"/>
    </row>
    <row r="88" spans="1:8" ht="29.25" customHeight="1" thickBot="1">
      <c r="A88" s="600" t="s">
        <v>4</v>
      </c>
      <c r="B88" s="98"/>
      <c r="C88" s="104">
        <v>1998</v>
      </c>
      <c r="D88" s="140">
        <v>1999</v>
      </c>
      <c r="E88" s="121">
        <v>2000</v>
      </c>
      <c r="F88" s="105">
        <v>2001</v>
      </c>
      <c r="G88" s="106">
        <v>2002</v>
      </c>
      <c r="H88" s="107">
        <v>2003</v>
      </c>
    </row>
    <row r="89" spans="1:8" s="80" customFormat="1" ht="18">
      <c r="A89" s="122">
        <f>+'INGR. Y EGRE SEC CENT'!A89</f>
        <v>2</v>
      </c>
      <c r="B89" s="601" t="str">
        <f>+'INGR. Y EGRE SEC CENT'!B89</f>
        <v>TOTAL GASTOS</v>
      </c>
      <c r="C89" s="665">
        <f aca="true" t="shared" si="16" ref="C89:H89">+C90+C142+C151+C154</f>
        <v>1482241037</v>
      </c>
      <c r="D89" s="666">
        <f t="shared" si="16"/>
        <v>1664273313</v>
      </c>
      <c r="E89" s="667">
        <f t="shared" si="16"/>
        <v>1972014306</v>
      </c>
      <c r="F89" s="665">
        <f t="shared" si="16"/>
        <v>2267572871</v>
      </c>
      <c r="G89" s="666">
        <f t="shared" si="16"/>
        <v>2575519204</v>
      </c>
      <c r="H89" s="667">
        <f t="shared" si="16"/>
        <v>3038277212</v>
      </c>
    </row>
    <row r="90" spans="1:8" s="92" customFormat="1" ht="15.75">
      <c r="A90" s="126">
        <f>+'INGR. Y EGRE SEC CENT'!A90</f>
        <v>2.1</v>
      </c>
      <c r="B90" s="602" t="str">
        <f>+'INGR. Y EGRE SEC CENT'!B90</f>
        <v>GASTOS DE FUNCIONAMIENTO</v>
      </c>
      <c r="C90" s="668">
        <f aca="true" t="shared" si="17" ref="C90:H90">+C91+C114+C118</f>
        <v>914672608</v>
      </c>
      <c r="D90" s="669">
        <f t="shared" si="17"/>
        <v>970677433</v>
      </c>
      <c r="E90" s="670">
        <f t="shared" si="17"/>
        <v>1173779044</v>
      </c>
      <c r="F90" s="668">
        <f t="shared" si="17"/>
        <v>1350292320</v>
      </c>
      <c r="G90" s="669">
        <f t="shared" si="17"/>
        <v>1505030804</v>
      </c>
      <c r="H90" s="670">
        <f t="shared" si="17"/>
        <v>1775100723</v>
      </c>
    </row>
    <row r="91" spans="1:8" s="93" customFormat="1" ht="15">
      <c r="A91" s="130" t="str">
        <f>+'INGR. Y EGRE SEC CENT'!A91</f>
        <v>2.1.1</v>
      </c>
      <c r="B91" s="603" t="str">
        <f>+'INGR. Y EGRE SEC CENT'!B91</f>
        <v>GASTOS DE PERSONAL</v>
      </c>
      <c r="C91" s="671">
        <f aca="true" t="shared" si="18" ref="C91:H91">+C92+C101+C104+C113</f>
        <v>506112343</v>
      </c>
      <c r="D91" s="672">
        <f t="shared" si="18"/>
        <v>659789023</v>
      </c>
      <c r="E91" s="673">
        <f t="shared" si="18"/>
        <v>758757374</v>
      </c>
      <c r="F91" s="671">
        <f t="shared" si="18"/>
        <v>872570979</v>
      </c>
      <c r="G91" s="672">
        <f t="shared" si="18"/>
        <v>1029633758</v>
      </c>
      <c r="H91" s="673">
        <f t="shared" si="18"/>
        <v>1214967828</v>
      </c>
    </row>
    <row r="92" spans="1:8" ht="15.75">
      <c r="A92" s="114" t="str">
        <f>+'INGR. Y EGRE SEC CENT'!A92</f>
        <v>2.1.1.1</v>
      </c>
      <c r="B92" s="589" t="str">
        <f>+'INGR. Y EGRE SEC CENT'!B92</f>
        <v>Servicios Personales Asociados a la Nomina</v>
      </c>
      <c r="C92" s="671">
        <f aca="true" t="shared" si="19" ref="C92:H92">+C93+C100</f>
        <v>465584991</v>
      </c>
      <c r="D92" s="672">
        <f t="shared" si="19"/>
        <v>606647049</v>
      </c>
      <c r="E92" s="673">
        <f t="shared" si="19"/>
        <v>697644105</v>
      </c>
      <c r="F92" s="671">
        <f t="shared" si="19"/>
        <v>802290720</v>
      </c>
      <c r="G92" s="672">
        <f t="shared" si="19"/>
        <v>946703051</v>
      </c>
      <c r="H92" s="673">
        <f t="shared" si="19"/>
        <v>1117109594</v>
      </c>
    </row>
    <row r="93" spans="1:8" ht="15.75">
      <c r="A93" s="114" t="str">
        <f>+'INGR. Y EGRE SEC CENT'!A93</f>
        <v>2.1.1.1.1</v>
      </c>
      <c r="B93" s="589" t="str">
        <f>+'INGR. Y EGRE SEC CENT'!B93</f>
        <v>Empleados Públicos</v>
      </c>
      <c r="C93" s="671">
        <f aca="true" t="shared" si="20" ref="C93:H93">SUM(C98:C99)+C94</f>
        <v>465584991</v>
      </c>
      <c r="D93" s="672">
        <f t="shared" si="20"/>
        <v>606647049</v>
      </c>
      <c r="E93" s="673">
        <f t="shared" si="20"/>
        <v>697644105</v>
      </c>
      <c r="F93" s="671">
        <f t="shared" si="20"/>
        <v>802290720</v>
      </c>
      <c r="G93" s="672">
        <f t="shared" si="20"/>
        <v>946703051</v>
      </c>
      <c r="H93" s="673">
        <f t="shared" si="20"/>
        <v>1117109594</v>
      </c>
    </row>
    <row r="94" spans="1:8" ht="15.75">
      <c r="A94" s="114" t="str">
        <f>+'INGR. Y EGRE SEC CENT'!A94</f>
        <v>2.1.1.1.1.1</v>
      </c>
      <c r="B94" s="589" t="str">
        <f>+'INGR. Y EGRE SEC CENT'!B94</f>
        <v>Educadores</v>
      </c>
      <c r="C94" s="671">
        <f aca="true" t="shared" si="21" ref="C94:H94">SUM(C95:C97)</f>
        <v>147896924</v>
      </c>
      <c r="D94" s="672">
        <f t="shared" si="21"/>
        <v>203747451</v>
      </c>
      <c r="E94" s="673">
        <f t="shared" si="21"/>
        <v>234309568</v>
      </c>
      <c r="F94" s="671">
        <f t="shared" si="21"/>
        <v>269456003</v>
      </c>
      <c r="G94" s="672">
        <f t="shared" si="21"/>
        <v>317958084</v>
      </c>
      <c r="H94" s="673">
        <f t="shared" si="21"/>
        <v>375190533</v>
      </c>
    </row>
    <row r="95" spans="1:8" ht="16.5">
      <c r="A95" s="375" t="str">
        <f>+'INGR. Y EGRE SEC CENT'!A95</f>
        <v>2.1.1.1.1.1.1</v>
      </c>
      <c r="B95" s="604" t="str">
        <f>+'INGR. Y EGRE SEC CENT'!B95</f>
        <v>Educadores Financiados con Ingresos Corrientes de la Nación</v>
      </c>
      <c r="C95" s="742">
        <v>147896924</v>
      </c>
      <c r="D95" s="743">
        <v>203747451</v>
      </c>
      <c r="E95" s="744">
        <v>234309568</v>
      </c>
      <c r="F95" s="742">
        <v>269456003</v>
      </c>
      <c r="G95" s="743">
        <v>317958084</v>
      </c>
      <c r="H95" s="744">
        <v>375190533</v>
      </c>
    </row>
    <row r="96" spans="1:8" ht="16.5">
      <c r="A96" s="375" t="str">
        <f>+'INGR. Y EGRE SEC CENT'!A96</f>
        <v>2.1.1.1.1.1.2</v>
      </c>
      <c r="B96" s="604" t="str">
        <f>+'INGR. Y EGRE SEC CENT'!B96</f>
        <v>Educadores Financiados con Situado Fiscal</v>
      </c>
      <c r="C96" s="742">
        <v>0</v>
      </c>
      <c r="D96" s="743">
        <v>0</v>
      </c>
      <c r="E96" s="744">
        <v>0</v>
      </c>
      <c r="F96" s="742">
        <v>0</v>
      </c>
      <c r="G96" s="743">
        <v>0</v>
      </c>
      <c r="H96" s="744">
        <v>0</v>
      </c>
    </row>
    <row r="97" spans="1:8" ht="16.5">
      <c r="A97" s="375" t="str">
        <f>+'INGR. Y EGRE SEC CENT'!A97</f>
        <v>2.1.1.1.1.1.3</v>
      </c>
      <c r="B97" s="604" t="str">
        <f>+'INGR. Y EGRE SEC CENT'!B97</f>
        <v>Educadores Financiados con Otros Recursos</v>
      </c>
      <c r="C97" s="742">
        <v>0</v>
      </c>
      <c r="D97" s="743">
        <v>0</v>
      </c>
      <c r="E97" s="744">
        <v>0</v>
      </c>
      <c r="F97" s="742">
        <v>0</v>
      </c>
      <c r="G97" s="743">
        <v>0</v>
      </c>
      <c r="H97" s="744">
        <v>0</v>
      </c>
    </row>
    <row r="98" spans="1:8" ht="16.5">
      <c r="A98" s="375" t="str">
        <f>+'INGR. Y EGRE SEC CENT'!A98</f>
        <v>2.1.1.1.1.2</v>
      </c>
      <c r="B98" s="604" t="str">
        <f>+'INGR. Y EGRE SEC CENT'!B98</f>
        <v>Médicos, Enfermeros(as) y Promotores de la Salud</v>
      </c>
      <c r="C98" s="674">
        <v>99541411</v>
      </c>
      <c r="D98" s="675">
        <v>137848437</v>
      </c>
      <c r="E98" s="676">
        <v>158525702</v>
      </c>
      <c r="F98" s="674">
        <v>182304557</v>
      </c>
      <c r="G98" s="675">
        <v>215119378</v>
      </c>
      <c r="H98" s="676">
        <v>253840866</v>
      </c>
    </row>
    <row r="99" spans="1:8" ht="16.5">
      <c r="A99" s="375" t="str">
        <f>+'INGR. Y EGRE SEC CENT'!A99</f>
        <v>2.1.1.1.1.3</v>
      </c>
      <c r="B99" s="604" t="str">
        <f>+'INGR. Y EGRE SEC CENT'!B99</f>
        <v>Resto de Empleados Públicos</v>
      </c>
      <c r="C99" s="674">
        <v>218146656</v>
      </c>
      <c r="D99" s="675">
        <v>265051161</v>
      </c>
      <c r="E99" s="676">
        <v>304808835</v>
      </c>
      <c r="F99" s="674">
        <v>350530160</v>
      </c>
      <c r="G99" s="675">
        <v>413625589</v>
      </c>
      <c r="H99" s="676">
        <v>488078195</v>
      </c>
    </row>
    <row r="100" spans="1:8" ht="16.5">
      <c r="A100" s="375" t="str">
        <f>+'INGR. Y EGRE SEC CENT'!A100</f>
        <v>2.1.1.1.2</v>
      </c>
      <c r="B100" s="605" t="str">
        <f>+'INGR. Y EGRE SEC CENT'!B100</f>
        <v>Trabajadores Oficiales</v>
      </c>
      <c r="C100" s="674">
        <v>0</v>
      </c>
      <c r="D100" s="675">
        <v>0</v>
      </c>
      <c r="E100" s="676">
        <v>0</v>
      </c>
      <c r="F100" s="674">
        <v>0</v>
      </c>
      <c r="G100" s="675">
        <v>0</v>
      </c>
      <c r="H100" s="676">
        <v>0</v>
      </c>
    </row>
    <row r="101" spans="1:8" ht="16.5">
      <c r="A101" s="613" t="str">
        <f>+'INGR. Y EGRE SEC CENT'!A101</f>
        <v>2.1.1.2</v>
      </c>
      <c r="B101" s="606" t="str">
        <f>+'INGR. Y EGRE SEC CENT'!B101</f>
        <v>Servicios Personales Indirectos </v>
      </c>
      <c r="C101" s="671">
        <f aca="true" t="shared" si="22" ref="C101:H101">SUM(C102:C103)</f>
        <v>24361745</v>
      </c>
      <c r="D101" s="672">
        <f t="shared" si="22"/>
        <v>9000000</v>
      </c>
      <c r="E101" s="673">
        <f t="shared" si="22"/>
        <v>10350000</v>
      </c>
      <c r="F101" s="671">
        <f t="shared" si="22"/>
        <v>11902500</v>
      </c>
      <c r="G101" s="672">
        <f t="shared" si="22"/>
        <v>14044950</v>
      </c>
      <c r="H101" s="673">
        <f t="shared" si="22"/>
        <v>16573041</v>
      </c>
    </row>
    <row r="102" spans="1:8" ht="16.5">
      <c r="A102" s="375" t="str">
        <f>+'INGR. Y EGRE SEC CENT'!A102</f>
        <v>2.1.1.2.1</v>
      </c>
      <c r="B102" s="604" t="str">
        <f>+'INGR. Y EGRE SEC CENT'!B102</f>
        <v>Supernumerarios</v>
      </c>
      <c r="C102" s="674">
        <v>4859594</v>
      </c>
      <c r="D102" s="675">
        <v>3000000</v>
      </c>
      <c r="E102" s="676">
        <v>3450000</v>
      </c>
      <c r="F102" s="674">
        <v>3967500</v>
      </c>
      <c r="G102" s="675">
        <v>4681650</v>
      </c>
      <c r="H102" s="676">
        <v>5524347</v>
      </c>
    </row>
    <row r="103" spans="1:8" ht="16.5">
      <c r="A103" s="375" t="str">
        <f>+'INGR. Y EGRE SEC CENT'!A103</f>
        <v>2.1.1.2.2</v>
      </c>
      <c r="B103" s="604" t="str">
        <f>+'INGR. Y EGRE SEC CENT'!B103</f>
        <v>Contratos de Prestación de Servicios</v>
      </c>
      <c r="C103" s="674">
        <v>19502151</v>
      </c>
      <c r="D103" s="675">
        <v>6000000</v>
      </c>
      <c r="E103" s="676">
        <v>6900000</v>
      </c>
      <c r="F103" s="674">
        <v>7935000</v>
      </c>
      <c r="G103" s="675">
        <v>9363300</v>
      </c>
      <c r="H103" s="676">
        <v>11048694</v>
      </c>
    </row>
    <row r="104" spans="1:8" ht="16.5">
      <c r="A104" s="613" t="str">
        <f>+'INGR. Y EGRE SEC CENT'!A104</f>
        <v>2.1.1.3</v>
      </c>
      <c r="B104" s="606" t="str">
        <f>+'INGR. Y EGRE SEC CENT'!B104</f>
        <v>Contribuciones inherentes a la nomina :</v>
      </c>
      <c r="C104" s="671">
        <f aca="true" t="shared" si="23" ref="C104:H104">+C105+C112</f>
        <v>16165607</v>
      </c>
      <c r="D104" s="672">
        <f t="shared" si="23"/>
        <v>44141974</v>
      </c>
      <c r="E104" s="673">
        <f t="shared" si="23"/>
        <v>50763269</v>
      </c>
      <c r="F104" s="671">
        <f t="shared" si="23"/>
        <v>58377759</v>
      </c>
      <c r="G104" s="672">
        <f t="shared" si="23"/>
        <v>68885757</v>
      </c>
      <c r="H104" s="673">
        <f t="shared" si="23"/>
        <v>81285193</v>
      </c>
    </row>
    <row r="105" spans="1:8" ht="16.5">
      <c r="A105" s="613" t="str">
        <f>+'INGR. Y EGRE SEC CENT'!A105</f>
        <v>2.1.1.3.1</v>
      </c>
      <c r="B105" s="606" t="str">
        <f>+'INGR. Y EGRE SEC CENT'!B105</f>
        <v>Previsión Social</v>
      </c>
      <c r="C105" s="671">
        <f aca="true" t="shared" si="24" ref="C105:H105">+C106+C110+C111</f>
        <v>9999851</v>
      </c>
      <c r="D105" s="672">
        <f t="shared" si="24"/>
        <v>20200564</v>
      </c>
      <c r="E105" s="673">
        <f t="shared" si="24"/>
        <v>23230648</v>
      </c>
      <c r="F105" s="671">
        <f t="shared" si="24"/>
        <v>26715245</v>
      </c>
      <c r="G105" s="672">
        <f t="shared" si="24"/>
        <v>31523990</v>
      </c>
      <c r="H105" s="673">
        <f t="shared" si="24"/>
        <v>37198308</v>
      </c>
    </row>
    <row r="106" spans="1:8" ht="16.5">
      <c r="A106" s="613" t="str">
        <f>+'INGR. Y EGRE SEC CENT'!A106</f>
        <v>2.1.1.3.1.1</v>
      </c>
      <c r="B106" s="606" t="str">
        <f>+'INGR. Y EGRE SEC CENT'!B106</f>
        <v>Empleados Públicos</v>
      </c>
      <c r="C106" s="671">
        <f aca="true" t="shared" si="25" ref="C106:H106">SUM(C107:C109)</f>
        <v>0</v>
      </c>
      <c r="D106" s="672">
        <f t="shared" si="25"/>
        <v>0</v>
      </c>
      <c r="E106" s="673">
        <f t="shared" si="25"/>
        <v>0</v>
      </c>
      <c r="F106" s="671">
        <f t="shared" si="25"/>
        <v>0</v>
      </c>
      <c r="G106" s="672">
        <f t="shared" si="25"/>
        <v>0</v>
      </c>
      <c r="H106" s="673">
        <f t="shared" si="25"/>
        <v>0</v>
      </c>
    </row>
    <row r="107" spans="1:8" ht="16.5">
      <c r="A107" s="375" t="str">
        <f>+'INGR. Y EGRE SEC CENT'!A107</f>
        <v>2.1.1.3.1.1.1</v>
      </c>
      <c r="B107" s="604" t="str">
        <f>+'INGR. Y EGRE SEC CENT'!B107</f>
        <v>Educadores</v>
      </c>
      <c r="C107" s="674">
        <v>0</v>
      </c>
      <c r="D107" s="675">
        <v>0</v>
      </c>
      <c r="E107" s="675">
        <v>0</v>
      </c>
      <c r="F107" s="675">
        <v>0</v>
      </c>
      <c r="G107" s="675">
        <v>0</v>
      </c>
      <c r="H107" s="675">
        <v>0</v>
      </c>
    </row>
    <row r="108" spans="1:8" ht="16.5">
      <c r="A108" s="375" t="str">
        <f>+'INGR. Y EGRE SEC CENT'!A108</f>
        <v>2.1.1.3.1.1.2</v>
      </c>
      <c r="B108" s="604" t="str">
        <f>+'INGR. Y EGRE SEC CENT'!B108</f>
        <v>Médicos, Enfermeros(as) y Promotores de la Salud</v>
      </c>
      <c r="C108" s="674">
        <v>0</v>
      </c>
      <c r="D108" s="675">
        <v>0</v>
      </c>
      <c r="E108" s="675">
        <v>0</v>
      </c>
      <c r="F108" s="675">
        <v>0</v>
      </c>
      <c r="G108" s="675">
        <v>0</v>
      </c>
      <c r="H108" s="675">
        <v>0</v>
      </c>
    </row>
    <row r="109" spans="1:8" ht="16.5">
      <c r="A109" s="375" t="str">
        <f>+'INGR. Y EGRE SEC CENT'!A109</f>
        <v>2.1.1.3.1.1.3</v>
      </c>
      <c r="B109" s="604" t="str">
        <f>+'INGR. Y EGRE SEC CENT'!B109</f>
        <v>Resto de Empleados Públicos</v>
      </c>
      <c r="C109" s="674">
        <v>0</v>
      </c>
      <c r="D109" s="675">
        <v>0</v>
      </c>
      <c r="E109" s="675">
        <v>0</v>
      </c>
      <c r="F109" s="675">
        <v>0</v>
      </c>
      <c r="G109" s="675">
        <v>0</v>
      </c>
      <c r="H109" s="675">
        <v>0</v>
      </c>
    </row>
    <row r="110" spans="1:8" ht="16.5">
      <c r="A110" s="375" t="str">
        <f>+'INGR. Y EGRE SEC CENT'!A110</f>
        <v>2.1.1.3.1.2</v>
      </c>
      <c r="B110" s="605" t="str">
        <f>+'INGR. Y EGRE SEC CENT'!B110</f>
        <v>Supernumerarios</v>
      </c>
      <c r="C110" s="674">
        <v>9999851</v>
      </c>
      <c r="D110" s="675">
        <v>0</v>
      </c>
      <c r="E110" s="675">
        <v>0</v>
      </c>
      <c r="F110" s="675">
        <v>0</v>
      </c>
      <c r="G110" s="675">
        <v>0</v>
      </c>
      <c r="H110" s="675">
        <v>0</v>
      </c>
    </row>
    <row r="111" spans="1:8" ht="16.5">
      <c r="A111" s="375" t="str">
        <f>+'INGR. Y EGRE SEC CENT'!A111</f>
        <v>2.1.1.3.1.3</v>
      </c>
      <c r="B111" s="605" t="str">
        <f>+'INGR. Y EGRE SEC CENT'!B111</f>
        <v>Trabajadores Oficiales</v>
      </c>
      <c r="C111" s="674">
        <v>0</v>
      </c>
      <c r="D111" s="675">
        <v>20200564</v>
      </c>
      <c r="E111" s="675">
        <v>23230648</v>
      </c>
      <c r="F111" s="675">
        <v>26715245</v>
      </c>
      <c r="G111" s="675">
        <v>31523990</v>
      </c>
      <c r="H111" s="675">
        <v>37198308</v>
      </c>
    </row>
    <row r="112" spans="1:8" ht="16.5">
      <c r="A112" s="375" t="str">
        <f>+'INGR. Y EGRE SEC CENT'!A112</f>
        <v>2.1.1.3.2</v>
      </c>
      <c r="B112" s="605" t="str">
        <f>+'INGR. Y EGRE SEC CENT'!B112</f>
        <v>Aportes Legales (Sena, ICBF, Cajas Compensación, etc)</v>
      </c>
      <c r="C112" s="674">
        <v>6165756</v>
      </c>
      <c r="D112" s="675">
        <v>23941410</v>
      </c>
      <c r="E112" s="675">
        <v>27532621</v>
      </c>
      <c r="F112" s="675">
        <v>31662514</v>
      </c>
      <c r="G112" s="675">
        <v>37361767</v>
      </c>
      <c r="H112" s="675">
        <v>44086885</v>
      </c>
    </row>
    <row r="113" spans="1:8" ht="16.5">
      <c r="A113" s="375" t="str">
        <f>+'INGR. Y EGRE SEC CENT'!A113</f>
        <v>2.1.1.4</v>
      </c>
      <c r="B113" s="605" t="str">
        <f>+'INGR. Y EGRE SEC CENT'!B113</f>
        <v>Planes de Retiro</v>
      </c>
      <c r="C113" s="674">
        <v>0</v>
      </c>
      <c r="D113" s="675">
        <v>0</v>
      </c>
      <c r="E113" s="675">
        <v>0</v>
      </c>
      <c r="F113" s="675">
        <v>0</v>
      </c>
      <c r="G113" s="675">
        <v>0</v>
      </c>
      <c r="H113" s="675">
        <v>0</v>
      </c>
    </row>
    <row r="114" spans="1:8" ht="16.5">
      <c r="A114" s="126" t="str">
        <f>+'INGR. Y EGRE SEC CENT'!A114</f>
        <v>2.1.2</v>
      </c>
      <c r="B114" s="606" t="str">
        <f>+'INGR. Y EGRE SEC CENT'!B114</f>
        <v>GASTOS GENERALES</v>
      </c>
      <c r="C114" s="671">
        <f aca="true" t="shared" si="26" ref="C114:H114">SUM(C115:C117)</f>
        <v>133719616</v>
      </c>
      <c r="D114" s="672">
        <f t="shared" si="26"/>
        <v>93500000</v>
      </c>
      <c r="E114" s="673">
        <f t="shared" si="26"/>
        <v>107525000</v>
      </c>
      <c r="F114" s="671">
        <f t="shared" si="26"/>
        <v>123653750</v>
      </c>
      <c r="G114" s="672">
        <f t="shared" si="26"/>
        <v>145911425</v>
      </c>
      <c r="H114" s="673">
        <f t="shared" si="26"/>
        <v>172175481</v>
      </c>
    </row>
    <row r="115" spans="1:8" ht="16.5">
      <c r="A115" s="253" t="str">
        <f>+'INGR. Y EGRE SEC CENT'!A115</f>
        <v>2.1.2.1</v>
      </c>
      <c r="B115" s="604" t="str">
        <f>+'INGR. Y EGRE SEC CENT'!B115</f>
        <v>Adquisición de Bienes y Servicios</v>
      </c>
      <c r="C115" s="674">
        <v>133719616</v>
      </c>
      <c r="D115" s="675">
        <v>93500000</v>
      </c>
      <c r="E115" s="676">
        <v>107525000</v>
      </c>
      <c r="F115" s="674">
        <v>123653750</v>
      </c>
      <c r="G115" s="675">
        <v>145911425</v>
      </c>
      <c r="H115" s="676">
        <v>172175481</v>
      </c>
    </row>
    <row r="116" spans="1:8" ht="16.5">
      <c r="A116" s="253" t="str">
        <f>+'INGR. Y EGRE SEC CENT'!A116</f>
        <v>2.1.2.2</v>
      </c>
      <c r="B116" s="604" t="str">
        <f>+'INGR. Y EGRE SEC CENT'!B116</f>
        <v>Impuestos y  Multas </v>
      </c>
      <c r="C116" s="674">
        <v>0</v>
      </c>
      <c r="D116" s="675">
        <v>0</v>
      </c>
      <c r="E116" s="676">
        <v>0</v>
      </c>
      <c r="F116" s="674">
        <v>0</v>
      </c>
      <c r="G116" s="675">
        <v>0</v>
      </c>
      <c r="H116" s="676">
        <v>0</v>
      </c>
    </row>
    <row r="117" spans="1:8" ht="16.5">
      <c r="A117" s="253" t="str">
        <f>+'INGR. Y EGRE SEC CENT'!A117</f>
        <v>2.1.2.3</v>
      </c>
      <c r="B117" s="604" t="str">
        <f>+'INGR. Y EGRE SEC CENT'!B117</f>
        <v>Otros Gastos Generales </v>
      </c>
      <c r="C117" s="674">
        <v>0</v>
      </c>
      <c r="D117" s="675">
        <v>0</v>
      </c>
      <c r="E117" s="676">
        <v>0</v>
      </c>
      <c r="F117" s="674">
        <v>0</v>
      </c>
      <c r="G117" s="675">
        <v>0</v>
      </c>
      <c r="H117" s="676">
        <v>0</v>
      </c>
    </row>
    <row r="118" spans="1:8" s="92" customFormat="1" ht="16.5">
      <c r="A118" s="126" t="str">
        <f>+'INGR. Y EGRE SEC CENT'!A118</f>
        <v>2.1.3</v>
      </c>
      <c r="B118" s="606" t="str">
        <f>+'INGR. Y EGRE SEC CENT'!B118</f>
        <v>TRANSFERENCIAS DEL MUNICIPIO</v>
      </c>
      <c r="C118" s="668">
        <f aca="true" t="shared" si="27" ref="C118:H118">+C119+C125+C131+C137</f>
        <v>274840649</v>
      </c>
      <c r="D118" s="669">
        <f t="shared" si="27"/>
        <v>217388410</v>
      </c>
      <c r="E118" s="670">
        <f t="shared" si="27"/>
        <v>307496670</v>
      </c>
      <c r="F118" s="668">
        <f t="shared" si="27"/>
        <v>354067591</v>
      </c>
      <c r="G118" s="669">
        <f t="shared" si="27"/>
        <v>329485621</v>
      </c>
      <c r="H118" s="670">
        <f t="shared" si="27"/>
        <v>387957414</v>
      </c>
    </row>
    <row r="119" spans="1:8" ht="16.5">
      <c r="A119" s="126" t="str">
        <f>+'INGR. Y EGRE SEC CENT'!A119</f>
        <v>2.1.3.1</v>
      </c>
      <c r="B119" s="606" t="str">
        <f>+'INGR. Y EGRE SEC CENT'!B119</f>
        <v>Transferencias al Sector Público</v>
      </c>
      <c r="C119" s="671">
        <f aca="true" t="shared" si="28" ref="C119:H119">SUM(C120:C124)</f>
        <v>214912607</v>
      </c>
      <c r="D119" s="672">
        <f t="shared" si="28"/>
        <v>134510910</v>
      </c>
      <c r="E119" s="673">
        <f t="shared" si="28"/>
        <v>212187545</v>
      </c>
      <c r="F119" s="671">
        <f t="shared" si="28"/>
        <v>244462098</v>
      </c>
      <c r="G119" s="672">
        <f t="shared" si="28"/>
        <v>200151140</v>
      </c>
      <c r="H119" s="673">
        <f t="shared" si="28"/>
        <v>235342726</v>
      </c>
    </row>
    <row r="120" spans="1:8" ht="16.5">
      <c r="A120" s="253" t="str">
        <f>+'INGR. Y EGRE SEC CENT'!A120</f>
        <v>2.1.3.1.1</v>
      </c>
      <c r="B120" s="604" t="str">
        <f>+'INGR. Y EGRE SEC CENT'!B120</f>
        <v>Concejo</v>
      </c>
      <c r="C120" s="742">
        <v>73319003</v>
      </c>
      <c r="D120" s="743">
        <v>39811249</v>
      </c>
      <c r="E120" s="744">
        <v>103282936</v>
      </c>
      <c r="F120" s="742">
        <v>118775376</v>
      </c>
      <c r="G120" s="743">
        <v>140154944</v>
      </c>
      <c r="H120" s="744">
        <v>165382834</v>
      </c>
    </row>
    <row r="121" spans="1:8" ht="16.5">
      <c r="A121" s="253" t="str">
        <f>+'INGR. Y EGRE SEC CENT'!A121</f>
        <v>2.1.3.1.2</v>
      </c>
      <c r="B121" s="604" t="str">
        <f>+'INGR. Y EGRE SEC CENT'!B121</f>
        <v>Personería</v>
      </c>
      <c r="C121" s="674">
        <v>42837693</v>
      </c>
      <c r="D121" s="675">
        <v>37991762</v>
      </c>
      <c r="E121" s="676">
        <v>43690526</v>
      </c>
      <c r="F121" s="674">
        <v>50690526</v>
      </c>
      <c r="G121" s="675">
        <v>59996196</v>
      </c>
      <c r="H121" s="676">
        <v>69959892</v>
      </c>
    </row>
    <row r="122" spans="1:8" ht="16.5">
      <c r="A122" s="253" t="str">
        <f>+'INGR. Y EGRE SEC CENT'!A122</f>
        <v>2.1.3.1.3</v>
      </c>
      <c r="B122" s="604" t="str">
        <f>+'INGR. Y EGRE SEC CENT'!B122</f>
        <v>Contraloría</v>
      </c>
      <c r="C122" s="674">
        <v>61239323</v>
      </c>
      <c r="D122" s="675">
        <v>56707899</v>
      </c>
      <c r="E122" s="676">
        <v>65214083</v>
      </c>
      <c r="F122" s="674">
        <v>74996196</v>
      </c>
      <c r="G122" s="675">
        <v>0</v>
      </c>
      <c r="H122" s="676">
        <v>0</v>
      </c>
    </row>
    <row r="123" spans="1:8" ht="16.5">
      <c r="A123" s="253" t="str">
        <f>+'INGR. Y EGRE SEC CENT'!A123</f>
        <v>2.1.3.1.4</v>
      </c>
      <c r="B123" s="604" t="str">
        <f>+'INGR. Y EGRE SEC CENT'!B123</f>
        <v>Entidades Descentralizadas (Especificar en Anexo)</v>
      </c>
      <c r="C123" s="674">
        <v>0</v>
      </c>
      <c r="D123" s="675">
        <v>0</v>
      </c>
      <c r="E123" s="676">
        <v>0</v>
      </c>
      <c r="F123" s="674">
        <v>0</v>
      </c>
      <c r="G123" s="675">
        <v>0</v>
      </c>
      <c r="H123" s="676">
        <v>0</v>
      </c>
    </row>
    <row r="124" spans="1:8" ht="16.5">
      <c r="A124" s="253" t="str">
        <f>+'INGR. Y EGRE SEC CENT'!A124</f>
        <v>2.1.3.1.5</v>
      </c>
      <c r="B124" s="604" t="str">
        <f>+'INGR. Y EGRE SEC CENT'!B124</f>
        <v>Otras Entidades (Especificar en Anexo)</v>
      </c>
      <c r="C124" s="674">
        <v>37516588</v>
      </c>
      <c r="D124" s="675">
        <v>0</v>
      </c>
      <c r="E124" s="676">
        <v>0</v>
      </c>
      <c r="F124" s="674">
        <v>0</v>
      </c>
      <c r="G124" s="675">
        <v>0</v>
      </c>
      <c r="H124" s="676">
        <v>0</v>
      </c>
    </row>
    <row r="125" spans="1:8" ht="16.5">
      <c r="A125" s="126" t="str">
        <f>+'INGR. Y EGRE SEC CENT'!A125</f>
        <v>2.1.3.2</v>
      </c>
      <c r="B125" s="606" t="str">
        <f>+'INGR. Y EGRE SEC CENT'!B125</f>
        <v>Transferencias al Fondo Territorial de Pensiones</v>
      </c>
      <c r="C125" s="671">
        <f aca="true" t="shared" si="29" ref="C125:H125">+C126+C130</f>
        <v>37368968</v>
      </c>
      <c r="D125" s="672">
        <f t="shared" si="29"/>
        <v>53877500</v>
      </c>
      <c r="E125" s="673">
        <f t="shared" si="29"/>
        <v>61959125</v>
      </c>
      <c r="F125" s="671">
        <f t="shared" si="29"/>
        <v>71252993</v>
      </c>
      <c r="G125" s="672">
        <f t="shared" si="29"/>
        <v>84078531</v>
      </c>
      <c r="H125" s="673">
        <f t="shared" si="29"/>
        <v>99212667</v>
      </c>
    </row>
    <row r="126" spans="1:8" ht="16.5">
      <c r="A126" s="126" t="str">
        <f>+'INGR. Y EGRE SEC CENT'!A126</f>
        <v>2.1.3.2.1</v>
      </c>
      <c r="B126" s="606" t="str">
        <f>+'INGR. Y EGRE SEC CENT'!B126</f>
        <v>Empleados Públicos</v>
      </c>
      <c r="C126" s="671">
        <f aca="true" t="shared" si="30" ref="C126:H126">SUM(C127:C129)</f>
        <v>37368968</v>
      </c>
      <c r="D126" s="672">
        <f t="shared" si="30"/>
        <v>53877500</v>
      </c>
      <c r="E126" s="673">
        <f t="shared" si="30"/>
        <v>61959125</v>
      </c>
      <c r="F126" s="671">
        <f t="shared" si="30"/>
        <v>71252993</v>
      </c>
      <c r="G126" s="672">
        <f t="shared" si="30"/>
        <v>84078531</v>
      </c>
      <c r="H126" s="673">
        <f t="shared" si="30"/>
        <v>99212667</v>
      </c>
    </row>
    <row r="127" spans="1:8" ht="16.5">
      <c r="A127" s="253" t="str">
        <f>+'INGR. Y EGRE SEC CENT'!A127</f>
        <v>2.1.3.2.1.1</v>
      </c>
      <c r="B127" s="604" t="str">
        <f>+'INGR. Y EGRE SEC CENT'!B127</f>
        <v>Educadores</v>
      </c>
      <c r="C127" s="674">
        <v>0</v>
      </c>
      <c r="D127" s="675">
        <v>0</v>
      </c>
      <c r="E127" s="676">
        <v>0</v>
      </c>
      <c r="F127" s="674">
        <v>0</v>
      </c>
      <c r="G127" s="675">
        <v>0</v>
      </c>
      <c r="H127" s="676">
        <v>0</v>
      </c>
    </row>
    <row r="128" spans="1:8" ht="16.5">
      <c r="A128" s="253" t="str">
        <f>+'INGR. Y EGRE SEC CENT'!A128</f>
        <v>2.1.3.2.1.2</v>
      </c>
      <c r="B128" s="604" t="str">
        <f>+'INGR. Y EGRE SEC CENT'!B128</f>
        <v>Médicos, Enfermeros(as) y Promotores de la Salud</v>
      </c>
      <c r="C128" s="674">
        <v>0</v>
      </c>
      <c r="D128" s="675">
        <v>0</v>
      </c>
      <c r="E128" s="676">
        <v>0</v>
      </c>
      <c r="F128" s="674">
        <v>0</v>
      </c>
      <c r="G128" s="675">
        <v>0</v>
      </c>
      <c r="H128" s="676">
        <v>0</v>
      </c>
    </row>
    <row r="129" spans="1:8" ht="16.5">
      <c r="A129" s="253" t="str">
        <f>+'INGR. Y EGRE SEC CENT'!A129</f>
        <v>2.1.3.2.1.3</v>
      </c>
      <c r="B129" s="604" t="str">
        <f>+'INGR. Y EGRE SEC CENT'!B129</f>
        <v>Resto de Empleados Públicos</v>
      </c>
      <c r="C129" s="674">
        <v>37368968</v>
      </c>
      <c r="D129" s="675">
        <v>53877500</v>
      </c>
      <c r="E129" s="676">
        <v>61959125</v>
      </c>
      <c r="F129" s="674">
        <v>71252993</v>
      </c>
      <c r="G129" s="675">
        <v>84078531</v>
      </c>
      <c r="H129" s="676">
        <v>99212667</v>
      </c>
    </row>
    <row r="130" spans="1:8" ht="16.5">
      <c r="A130" s="253" t="str">
        <f>+'INGR. Y EGRE SEC CENT'!A130</f>
        <v>2.1.3.2.2</v>
      </c>
      <c r="B130" s="605" t="str">
        <f>+'INGR. Y EGRE SEC CENT'!B130</f>
        <v>Trabajadores Oficiales</v>
      </c>
      <c r="C130" s="674">
        <v>0</v>
      </c>
      <c r="D130" s="675">
        <v>0</v>
      </c>
      <c r="E130" s="676">
        <v>0</v>
      </c>
      <c r="F130" s="674">
        <v>0</v>
      </c>
      <c r="G130" s="675">
        <v>0</v>
      </c>
      <c r="H130" s="676">
        <v>0</v>
      </c>
    </row>
    <row r="131" spans="1:8" ht="16.5">
      <c r="A131" s="126" t="str">
        <f>+'INGR. Y EGRE SEC CENT'!A131</f>
        <v>2.1.3.1.3</v>
      </c>
      <c r="B131" s="606" t="str">
        <f>+'INGR. Y EGRE SEC CENT'!B131</f>
        <v>Transferencias al Fondo Territorial de Cesantías (Provisiones)</v>
      </c>
      <c r="C131" s="671">
        <f aca="true" t="shared" si="31" ref="C131:H131">+C132+C136</f>
        <v>21559074</v>
      </c>
      <c r="D131" s="672">
        <f t="shared" si="31"/>
        <v>22000000</v>
      </c>
      <c r="E131" s="673">
        <f t="shared" si="31"/>
        <v>25300000</v>
      </c>
      <c r="F131" s="671">
        <f t="shared" si="31"/>
        <v>29095000</v>
      </c>
      <c r="G131" s="672">
        <f t="shared" si="31"/>
        <v>34332100</v>
      </c>
      <c r="H131" s="673">
        <f t="shared" si="31"/>
        <v>40511878</v>
      </c>
    </row>
    <row r="132" spans="1:8" ht="16.5">
      <c r="A132" s="126" t="str">
        <f>+'INGR. Y EGRE SEC CENT'!A132</f>
        <v>2.1.3.1.3.1</v>
      </c>
      <c r="B132" s="606" t="str">
        <f>+'INGR. Y EGRE SEC CENT'!B132</f>
        <v>Empleados Públicos</v>
      </c>
      <c r="C132" s="671">
        <f aca="true" t="shared" si="32" ref="C132:H132">SUM(C133:C135)</f>
        <v>21559074</v>
      </c>
      <c r="D132" s="672">
        <f t="shared" si="32"/>
        <v>22000000</v>
      </c>
      <c r="E132" s="673">
        <f t="shared" si="32"/>
        <v>25300000</v>
      </c>
      <c r="F132" s="671">
        <f t="shared" si="32"/>
        <v>29095000</v>
      </c>
      <c r="G132" s="672">
        <f t="shared" si="32"/>
        <v>34332100</v>
      </c>
      <c r="H132" s="673">
        <f t="shared" si="32"/>
        <v>40511878</v>
      </c>
    </row>
    <row r="133" spans="1:8" ht="16.5">
      <c r="A133" s="253" t="str">
        <f>+'INGR. Y EGRE SEC CENT'!A133</f>
        <v>2.1.3.1.3.2</v>
      </c>
      <c r="B133" s="604" t="str">
        <f>+'INGR. Y EGRE SEC CENT'!B133</f>
        <v>Educadores</v>
      </c>
      <c r="C133" s="674">
        <v>0</v>
      </c>
      <c r="D133" s="675">
        <v>0</v>
      </c>
      <c r="E133" s="676">
        <v>0</v>
      </c>
      <c r="F133" s="674">
        <v>0</v>
      </c>
      <c r="G133" s="675">
        <v>0</v>
      </c>
      <c r="H133" s="676">
        <v>0</v>
      </c>
    </row>
    <row r="134" spans="1:8" ht="16.5">
      <c r="A134" s="253" t="str">
        <f>+'INGR. Y EGRE SEC CENT'!A134</f>
        <v>2.1.3.1.3.3</v>
      </c>
      <c r="B134" s="604" t="str">
        <f>+'INGR. Y EGRE SEC CENT'!B134</f>
        <v>Médicos, Enfermeros(as) y Promotores de la Salud</v>
      </c>
      <c r="C134" s="674">
        <v>0</v>
      </c>
      <c r="D134" s="675">
        <v>0</v>
      </c>
      <c r="E134" s="676">
        <v>0</v>
      </c>
      <c r="F134" s="674">
        <v>0</v>
      </c>
      <c r="G134" s="675">
        <v>0</v>
      </c>
      <c r="H134" s="676">
        <v>0</v>
      </c>
    </row>
    <row r="135" spans="1:8" ht="16.5">
      <c r="A135" s="253" t="str">
        <f>+'INGR. Y EGRE SEC CENT'!A135</f>
        <v>2.1.3.1.3.4</v>
      </c>
      <c r="B135" s="604" t="str">
        <f>+'INGR. Y EGRE SEC CENT'!B135</f>
        <v>Resto de Empleados Públicos</v>
      </c>
      <c r="C135" s="674">
        <v>21559074</v>
      </c>
      <c r="D135" s="675">
        <v>22000000</v>
      </c>
      <c r="E135" s="676">
        <v>25300000</v>
      </c>
      <c r="F135" s="674">
        <v>29095000</v>
      </c>
      <c r="G135" s="675">
        <v>34332100</v>
      </c>
      <c r="H135" s="676">
        <v>40511878</v>
      </c>
    </row>
    <row r="136" spans="1:8" ht="16.5">
      <c r="A136" s="253" t="str">
        <f>+'INGR. Y EGRE SEC CENT'!A136</f>
        <v>2.1.3.1.3.5</v>
      </c>
      <c r="B136" s="605" t="str">
        <f>+'INGR. Y EGRE SEC CENT'!B136</f>
        <v>Trabajadores Oficiales</v>
      </c>
      <c r="C136" s="674">
        <v>0</v>
      </c>
      <c r="D136" s="675">
        <v>0</v>
      </c>
      <c r="E136" s="676">
        <v>0</v>
      </c>
      <c r="F136" s="674">
        <v>0</v>
      </c>
      <c r="G136" s="675">
        <v>0</v>
      </c>
      <c r="H136" s="676">
        <v>0</v>
      </c>
    </row>
    <row r="137" spans="1:8" ht="16.5">
      <c r="A137" s="126" t="str">
        <f>+'INGR. Y EGRE SEC CENT'!A137</f>
        <v>2.1.3.1.2</v>
      </c>
      <c r="B137" s="606" t="str">
        <f>+'INGR. Y EGRE SEC CENT'!B137</f>
        <v>Otras Transferencias</v>
      </c>
      <c r="C137" s="671">
        <f aca="true" t="shared" si="33" ref="C137:H137">SUM(C138:C141)</f>
        <v>1000000</v>
      </c>
      <c r="D137" s="672">
        <f t="shared" si="33"/>
        <v>7000000</v>
      </c>
      <c r="E137" s="673">
        <f t="shared" si="33"/>
        <v>8050000</v>
      </c>
      <c r="F137" s="671">
        <f t="shared" si="33"/>
        <v>9257500</v>
      </c>
      <c r="G137" s="672">
        <f t="shared" si="33"/>
        <v>10923850</v>
      </c>
      <c r="H137" s="673">
        <f t="shared" si="33"/>
        <v>12890143</v>
      </c>
    </row>
    <row r="138" spans="1:8" ht="16.5">
      <c r="A138" s="253" t="str">
        <f>+'INGR. Y EGRE SEC CENT'!A138</f>
        <v>2.1.3.1.2.1</v>
      </c>
      <c r="B138" s="604" t="str">
        <f>+'INGR. Y EGRE SEC CENT'!B138</f>
        <v>Conciliaciones y Sentencias</v>
      </c>
      <c r="C138" s="674">
        <v>0</v>
      </c>
      <c r="D138" s="675">
        <v>2000000</v>
      </c>
      <c r="E138" s="676">
        <v>2300000</v>
      </c>
      <c r="F138" s="674">
        <v>2645000</v>
      </c>
      <c r="G138" s="675">
        <v>3121100</v>
      </c>
      <c r="H138" s="676">
        <v>3682898</v>
      </c>
    </row>
    <row r="139" spans="1:8" ht="16.5">
      <c r="A139" s="253" t="str">
        <f>+'INGR. Y EGRE SEC CENT'!A139</f>
        <v>2.1.3.1.2.2</v>
      </c>
      <c r="B139" s="607">
        <f>+'INGR. Y EGRE SEC CENT'!B139</f>
        <v>0</v>
      </c>
      <c r="C139" s="674">
        <v>0</v>
      </c>
      <c r="D139" s="675">
        <v>0</v>
      </c>
      <c r="E139" s="676">
        <v>0</v>
      </c>
      <c r="F139" s="674">
        <v>0</v>
      </c>
      <c r="G139" s="675">
        <v>0</v>
      </c>
      <c r="H139" s="676">
        <v>0</v>
      </c>
    </row>
    <row r="140" spans="1:8" ht="16.5">
      <c r="A140" s="253" t="str">
        <f>+'INGR. Y EGRE SEC CENT'!A140</f>
        <v>2.1.3.1.2.3</v>
      </c>
      <c r="B140" s="607">
        <f>+'INGR. Y EGRE SEC CENT'!B140</f>
        <v>0</v>
      </c>
      <c r="C140" s="674">
        <v>0</v>
      </c>
      <c r="D140" s="675">
        <v>0</v>
      </c>
      <c r="E140" s="676">
        <v>0</v>
      </c>
      <c r="F140" s="674">
        <v>0</v>
      </c>
      <c r="G140" s="675">
        <v>0</v>
      </c>
      <c r="H140" s="676">
        <v>0</v>
      </c>
    </row>
    <row r="141" spans="1:8" ht="16.5">
      <c r="A141" s="253" t="str">
        <f>+'INGR. Y EGRE SEC CENT'!A141</f>
        <v>2.1.3.1.2.4</v>
      </c>
      <c r="B141" s="604" t="str">
        <f>+'INGR. Y EGRE SEC CENT'!B141</f>
        <v>Otras</v>
      </c>
      <c r="C141" s="674">
        <v>1000000</v>
      </c>
      <c r="D141" s="675">
        <v>5000000</v>
      </c>
      <c r="E141" s="676">
        <v>5750000</v>
      </c>
      <c r="F141" s="674">
        <v>6612500</v>
      </c>
      <c r="G141" s="675">
        <v>7802750</v>
      </c>
      <c r="H141" s="676">
        <v>9207245</v>
      </c>
    </row>
    <row r="142" spans="1:8" ht="16.5">
      <c r="A142" s="126">
        <f>+'INGR. Y EGRE SEC CENT'!A142</f>
        <v>2.2</v>
      </c>
      <c r="B142" s="608" t="str">
        <f>+'INGR. Y EGRE SEC CENT'!B142</f>
        <v>SERVICIO DE LA DEUDA</v>
      </c>
      <c r="C142" s="671">
        <f aca="true" t="shared" si="34" ref="C142:H142">+C143+C146</f>
        <v>218345755</v>
      </c>
      <c r="D142" s="672">
        <f t="shared" si="34"/>
        <v>337000000</v>
      </c>
      <c r="E142" s="673">
        <f t="shared" si="34"/>
        <v>387550000</v>
      </c>
      <c r="F142" s="671">
        <f t="shared" si="34"/>
        <v>445682500</v>
      </c>
      <c r="G142" s="672">
        <f t="shared" si="34"/>
        <v>514002700</v>
      </c>
      <c r="H142" s="673">
        <f t="shared" si="34"/>
        <v>606523363</v>
      </c>
    </row>
    <row r="143" spans="1:8" ht="16.5">
      <c r="A143" s="613" t="str">
        <f>+'INGR. Y EGRE SEC CENT'!A143</f>
        <v>2.2.1 </v>
      </c>
      <c r="B143" s="606" t="str">
        <f>+'INGR. Y EGRE SEC CENT'!B143</f>
        <v>AMORTIZACIONES A CAPITAL</v>
      </c>
      <c r="C143" s="671">
        <f aca="true" t="shared" si="35" ref="C143:H143">SUM(C144:C145)</f>
        <v>50799065</v>
      </c>
      <c r="D143" s="672">
        <f t="shared" si="35"/>
        <v>37000000</v>
      </c>
      <c r="E143" s="673">
        <f t="shared" si="35"/>
        <v>42550000</v>
      </c>
      <c r="F143" s="671">
        <f t="shared" si="35"/>
        <v>48932500</v>
      </c>
      <c r="G143" s="672">
        <f t="shared" si="35"/>
        <v>57740350</v>
      </c>
      <c r="H143" s="673">
        <f t="shared" si="35"/>
        <v>68133613</v>
      </c>
    </row>
    <row r="144" spans="1:8" ht="16.5">
      <c r="A144" s="375" t="str">
        <f>+'INGR. Y EGRE SEC CENT'!A144</f>
        <v>2.2.1.1 </v>
      </c>
      <c r="B144" s="604" t="str">
        <f>+'INGR. Y EGRE SEC CENT'!B144</f>
        <v>Amortización Deuda Interna</v>
      </c>
      <c r="C144" s="674">
        <v>50799065</v>
      </c>
      <c r="D144" s="675">
        <v>37000000</v>
      </c>
      <c r="E144" s="676">
        <v>42550000</v>
      </c>
      <c r="F144" s="674">
        <v>48932500</v>
      </c>
      <c r="G144" s="675">
        <v>57740350</v>
      </c>
      <c r="H144" s="676">
        <v>68133613</v>
      </c>
    </row>
    <row r="145" spans="1:8" ht="16.5">
      <c r="A145" s="375" t="str">
        <f>+'INGR. Y EGRE SEC CENT'!A145</f>
        <v>2.2.1.2</v>
      </c>
      <c r="B145" s="604" t="str">
        <f>+'INGR. Y EGRE SEC CENT'!B145</f>
        <v>Amortización Deuda Externa</v>
      </c>
      <c r="C145" s="674">
        <v>0</v>
      </c>
      <c r="D145" s="675">
        <v>0</v>
      </c>
      <c r="E145" s="676">
        <v>0</v>
      </c>
      <c r="F145" s="674">
        <v>0</v>
      </c>
      <c r="G145" s="675">
        <v>0</v>
      </c>
      <c r="H145" s="676">
        <v>0</v>
      </c>
    </row>
    <row r="146" spans="1:8" ht="16.5">
      <c r="A146" s="613" t="str">
        <f>+'INGR. Y EGRE SEC CENT'!A146</f>
        <v>2.2.2 </v>
      </c>
      <c r="B146" s="606" t="str">
        <f>+'INGR. Y EGRE SEC CENT'!B146</f>
        <v>INTERESES  DE LA DEUDA</v>
      </c>
      <c r="C146" s="671">
        <f aca="true" t="shared" si="36" ref="C146:H146">SUM(C147:C150)</f>
        <v>167546690</v>
      </c>
      <c r="D146" s="672">
        <f t="shared" si="36"/>
        <v>300000000</v>
      </c>
      <c r="E146" s="673">
        <f t="shared" si="36"/>
        <v>345000000</v>
      </c>
      <c r="F146" s="671">
        <f t="shared" si="36"/>
        <v>396750000</v>
      </c>
      <c r="G146" s="672">
        <f t="shared" si="36"/>
        <v>456262350</v>
      </c>
      <c r="H146" s="673">
        <f t="shared" si="36"/>
        <v>538389750</v>
      </c>
    </row>
    <row r="147" spans="1:8" ht="16.5">
      <c r="A147" s="614" t="str">
        <f>+'INGR. Y EGRE SEC CENT'!A147</f>
        <v>2.2.2.1</v>
      </c>
      <c r="B147" s="604" t="str">
        <f>+'INGR. Y EGRE SEC CENT'!B147</f>
        <v>Intereses  Deuda Interna Vigente</v>
      </c>
      <c r="C147" s="674">
        <v>167546690</v>
      </c>
      <c r="D147" s="675">
        <v>300000000</v>
      </c>
      <c r="E147" s="676">
        <v>345000000</v>
      </c>
      <c r="F147" s="674">
        <v>396750000</v>
      </c>
      <c r="G147" s="675">
        <v>456262350</v>
      </c>
      <c r="H147" s="676">
        <v>538389750</v>
      </c>
    </row>
    <row r="148" spans="1:8" ht="16.5">
      <c r="A148" s="614" t="str">
        <f>+'INGR. Y EGRE SEC CENT'!A148</f>
        <v>2.2.2.2</v>
      </c>
      <c r="B148" s="604" t="str">
        <f>+'INGR. Y EGRE SEC CENT'!B148</f>
        <v>Intereses  Deuda Externa</v>
      </c>
      <c r="C148" s="674">
        <v>0</v>
      </c>
      <c r="D148" s="675">
        <v>0</v>
      </c>
      <c r="E148" s="676">
        <v>0</v>
      </c>
      <c r="F148" s="674">
        <v>0</v>
      </c>
      <c r="G148" s="675">
        <v>0</v>
      </c>
      <c r="H148" s="676">
        <v>0</v>
      </c>
    </row>
    <row r="149" spans="1:8" ht="16.5">
      <c r="A149" s="614" t="str">
        <f>+'INGR. Y EGRE SEC CENT'!A149</f>
        <v>2.2.2.3</v>
      </c>
      <c r="B149" s="604" t="str">
        <f>+'INGR. Y EGRE SEC CENT'!B149</f>
        <v>Intereses  Deuda Corto Plazo, Sobregiros, Tesorería y otros</v>
      </c>
      <c r="C149" s="674">
        <v>0</v>
      </c>
      <c r="D149" s="675">
        <v>0</v>
      </c>
      <c r="E149" s="676">
        <v>0</v>
      </c>
      <c r="F149" s="674">
        <v>0</v>
      </c>
      <c r="G149" s="675">
        <v>0</v>
      </c>
      <c r="H149" s="676">
        <v>0</v>
      </c>
    </row>
    <row r="150" spans="1:8" ht="16.5">
      <c r="A150" s="614" t="str">
        <f>+'INGR. Y EGRE SEC CENT'!A150</f>
        <v>2.2.2.4</v>
      </c>
      <c r="B150" s="604" t="str">
        <f>+'INGR. Y EGRE SEC CENT'!B150</f>
        <v>Intereses del nuevo crédito (Diligenciar sólo en el formato de proyecciones)</v>
      </c>
      <c r="C150" s="674">
        <v>0</v>
      </c>
      <c r="D150" s="675">
        <v>0</v>
      </c>
      <c r="E150" s="676">
        <v>0</v>
      </c>
      <c r="F150" s="674">
        <v>0</v>
      </c>
      <c r="G150" s="675">
        <v>0</v>
      </c>
      <c r="H150" s="676">
        <v>0</v>
      </c>
    </row>
    <row r="151" spans="1:8" ht="16.5">
      <c r="A151" s="110">
        <f>+'INGR. Y EGRE SEC CENT'!A151</f>
        <v>2.3</v>
      </c>
      <c r="B151" s="608" t="str">
        <f>+'INGR. Y EGRE SEC CENT'!B151</f>
        <v>INVERSION </v>
      </c>
      <c r="C151" s="671">
        <f aca="true" t="shared" si="37" ref="C151:H151">SUM(C152:C153)</f>
        <v>335822249</v>
      </c>
      <c r="D151" s="672">
        <f t="shared" si="37"/>
        <v>341595880</v>
      </c>
      <c r="E151" s="673">
        <f t="shared" si="37"/>
        <v>392835262</v>
      </c>
      <c r="F151" s="671">
        <f t="shared" si="37"/>
        <v>451760551</v>
      </c>
      <c r="G151" s="672">
        <f t="shared" si="37"/>
        <v>533077450</v>
      </c>
      <c r="H151" s="673">
        <f t="shared" si="37"/>
        <v>629031391</v>
      </c>
    </row>
    <row r="152" spans="1:8" ht="16.5">
      <c r="A152" s="614" t="str">
        <f>+'INGR. Y EGRE SEC CENT'!A152</f>
        <v>2.3.1</v>
      </c>
      <c r="B152" s="604" t="str">
        <f>+'INGR. Y EGRE SEC CENT'!B152</f>
        <v>Formación Bruta de Capital</v>
      </c>
      <c r="C152" s="674">
        <v>0</v>
      </c>
      <c r="D152" s="675">
        <v>0</v>
      </c>
      <c r="E152" s="676">
        <v>0</v>
      </c>
      <c r="F152" s="674">
        <v>0</v>
      </c>
      <c r="G152" s="675">
        <v>0</v>
      </c>
      <c r="H152" s="676">
        <v>0</v>
      </c>
    </row>
    <row r="153" spans="1:8" ht="16.5">
      <c r="A153" s="614" t="str">
        <f>+'INGR. Y EGRE SEC CENT'!A153</f>
        <v>2.3.2</v>
      </c>
      <c r="B153" s="604" t="str">
        <f>+'INGR. Y EGRE SEC CENT'!B153</f>
        <v>Gastos Operativos de Inversión</v>
      </c>
      <c r="C153" s="674">
        <v>335822249</v>
      </c>
      <c r="D153" s="675">
        <v>341595880</v>
      </c>
      <c r="E153" s="676">
        <v>392835262</v>
      </c>
      <c r="F153" s="674">
        <v>451760551</v>
      </c>
      <c r="G153" s="675">
        <v>533077450</v>
      </c>
      <c r="H153" s="676">
        <v>629031391</v>
      </c>
    </row>
    <row r="154" spans="1:8" ht="16.5">
      <c r="A154" s="110">
        <f>+'INGR. Y EGRE SEC CENT'!A154</f>
        <v>2.4</v>
      </c>
      <c r="B154" s="606" t="str">
        <f>+'INGR. Y EGRE SEC CENT'!B154</f>
        <v>PAGO DEFICIT VIGENCIAS ANTERIORES</v>
      </c>
      <c r="C154" s="671">
        <f aca="true" t="shared" si="38" ref="C154:H154">SUM(C155:C156)</f>
        <v>13400425</v>
      </c>
      <c r="D154" s="672">
        <f t="shared" si="38"/>
        <v>15000000</v>
      </c>
      <c r="E154" s="673">
        <f t="shared" si="38"/>
        <v>17850000</v>
      </c>
      <c r="F154" s="671">
        <f t="shared" si="38"/>
        <v>19837500</v>
      </c>
      <c r="G154" s="672">
        <f t="shared" si="38"/>
        <v>23408250</v>
      </c>
      <c r="H154" s="673">
        <f t="shared" si="38"/>
        <v>27621735</v>
      </c>
    </row>
    <row r="155" spans="1:8" ht="16.5">
      <c r="A155" s="614" t="str">
        <f>+'INGR. Y EGRE SEC CENT'!A155</f>
        <v>2.4.1</v>
      </c>
      <c r="B155" s="604" t="str">
        <f>+'INGR. Y EGRE SEC CENT'!B155</f>
        <v>Funcionamiento</v>
      </c>
      <c r="C155" s="674">
        <v>13400425</v>
      </c>
      <c r="D155" s="675">
        <v>15000000</v>
      </c>
      <c r="E155" s="676">
        <v>17850000</v>
      </c>
      <c r="F155" s="674">
        <v>19837500</v>
      </c>
      <c r="G155" s="675">
        <v>23408250</v>
      </c>
      <c r="H155" s="676">
        <v>27621735</v>
      </c>
    </row>
    <row r="156" spans="1:8" ht="17.25" thickBot="1">
      <c r="A156" s="615" t="str">
        <f>+'INGR. Y EGRE SEC CENT'!A156</f>
        <v>2.4.2</v>
      </c>
      <c r="B156" s="609" t="str">
        <f>+'INGR. Y EGRE SEC CENT'!B156</f>
        <v>Inversión</v>
      </c>
      <c r="C156" s="678">
        <v>0</v>
      </c>
      <c r="D156" s="679">
        <v>0</v>
      </c>
      <c r="E156" s="680">
        <v>0</v>
      </c>
      <c r="F156" s="678">
        <v>0</v>
      </c>
      <c r="G156" s="679">
        <v>0</v>
      </c>
      <c r="H156" s="680">
        <v>0</v>
      </c>
    </row>
    <row r="157" spans="1:4" ht="10.5" customHeight="1" thickBot="1">
      <c r="A157" s="139"/>
      <c r="B157" s="610"/>
      <c r="C157" s="180"/>
      <c r="D157" s="181"/>
    </row>
    <row r="158" spans="1:8" ht="16.5">
      <c r="A158" s="182" t="s">
        <v>385</v>
      </c>
      <c r="B158" s="611"/>
      <c r="C158" s="50"/>
      <c r="D158" s="50"/>
      <c r="E158" s="50"/>
      <c r="F158" s="50"/>
      <c r="G158" s="50"/>
      <c r="H158" s="183"/>
    </row>
    <row r="159" spans="1:8" ht="16.5" customHeight="1">
      <c r="A159" s="184"/>
      <c r="B159" s="610"/>
      <c r="C159" s="20"/>
      <c r="D159" s="20"/>
      <c r="E159" s="20"/>
      <c r="F159" s="20"/>
      <c r="G159" s="20"/>
      <c r="H159" s="37"/>
    </row>
    <row r="160" spans="1:8" ht="16.5" customHeight="1">
      <c r="A160" s="184"/>
      <c r="B160" s="610"/>
      <c r="C160" s="20"/>
      <c r="D160" s="20"/>
      <c r="E160" s="20"/>
      <c r="F160" s="20"/>
      <c r="G160" s="20"/>
      <c r="H160" s="37"/>
    </row>
    <row r="161" spans="1:8" ht="16.5">
      <c r="A161" s="184"/>
      <c r="B161" s="610"/>
      <c r="C161" s="20"/>
      <c r="D161" s="20"/>
      <c r="E161" s="20"/>
      <c r="F161" s="20"/>
      <c r="G161" s="20"/>
      <c r="H161" s="37"/>
    </row>
    <row r="162" spans="1:8" ht="17.25" thickBot="1">
      <c r="A162" s="185"/>
      <c r="B162" s="612"/>
      <c r="C162" s="51"/>
      <c r="D162" s="51"/>
      <c r="E162" s="51"/>
      <c r="F162" s="51"/>
      <c r="G162" s="51"/>
      <c r="H162" s="78"/>
    </row>
    <row r="163" ht="18">
      <c r="A163" s="186" t="s">
        <v>386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portrait" scale="50" r:id="rId1"/>
  <headerFooter alignWithMargins="0">
    <oddHeader>&amp;L&amp;"Book Antiqua,Bold"&amp;10MINISTERIO DE HACIENDA Y CREDITO PUBLICO
       DIRECCION GENERAL DE APOYO FISCAL
                     SUBDIRECCION TECNICA</oddHeader>
    <oddFooter>&amp;L&amp;F / &amp;A &amp;D&amp;RPágina &amp;P de &amp;N</oddFooter>
  </headerFooter>
  <rowBreaks count="1" manualBreakCount="1">
    <brk id="8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B95">
      <selection activeCell="B103" sqref="B103"/>
    </sheetView>
  </sheetViews>
  <sheetFormatPr defaultColWidth="11.5546875" defaultRowHeight="15"/>
  <cols>
    <col min="1" max="1" width="8.99609375" style="19" customWidth="1"/>
    <col min="2" max="2" width="52.6640625" style="20" customWidth="1"/>
    <col min="3" max="3" width="12.3359375" style="21" customWidth="1"/>
    <col min="4" max="4" width="12.77734375" style="21" customWidth="1"/>
    <col min="5" max="5" width="12.5546875" style="21" customWidth="1"/>
    <col min="6" max="6" width="12.21484375" style="21" customWidth="1"/>
    <col min="7" max="7" width="13.10546875" style="21" customWidth="1"/>
    <col min="8" max="8" width="12.77734375" style="7" customWidth="1"/>
    <col min="9" max="16384" width="11.5546875" style="7" customWidth="1"/>
  </cols>
  <sheetData>
    <row r="1" spans="1:8" ht="15.75" thickBot="1">
      <c r="A1" s="94" t="s">
        <v>387</v>
      </c>
      <c r="B1" s="94"/>
      <c r="C1" s="94"/>
      <c r="D1" s="94"/>
      <c r="E1" s="94"/>
      <c r="F1" s="94"/>
      <c r="G1" s="94"/>
      <c r="H1" s="94"/>
    </row>
    <row r="2" spans="1:8" ht="15.75" thickBot="1">
      <c r="A2" s="95"/>
      <c r="B2" s="95" t="s">
        <v>1</v>
      </c>
      <c r="C2" s="219" t="str">
        <f>+'INGR. Y EGRE SEC CENT'!C2</f>
        <v>ARIGUANI</v>
      </c>
      <c r="D2" s="94"/>
      <c r="E2" s="95" t="s">
        <v>2</v>
      </c>
      <c r="F2" s="146" t="e">
        <f>+'INGR. Y EGRE SEC CENT'!#REF!</f>
        <v>#REF!</v>
      </c>
      <c r="G2" s="94"/>
      <c r="H2" s="94"/>
    </row>
    <row r="3" spans="1:8" ht="15.75">
      <c r="A3" s="94" t="s">
        <v>388</v>
      </c>
      <c r="B3" s="94"/>
      <c r="C3" s="94"/>
      <c r="D3" s="94"/>
      <c r="E3" s="94"/>
      <c r="F3" s="94"/>
      <c r="G3" s="94"/>
      <c r="H3" s="94"/>
    </row>
    <row r="4" spans="1:8" ht="15.75" thickBot="1">
      <c r="A4" s="96"/>
      <c r="B4" s="96"/>
      <c r="C4" s="96"/>
      <c r="D4" s="96"/>
      <c r="E4" s="96"/>
      <c r="F4" s="96"/>
      <c r="G4" s="96"/>
      <c r="H4" s="96"/>
    </row>
    <row r="5" spans="1:8" ht="29.25" customHeight="1" thickBot="1">
      <c r="A5" s="97" t="s">
        <v>4</v>
      </c>
      <c r="B5" s="98"/>
      <c r="C5" s="104">
        <v>1998</v>
      </c>
      <c r="D5" s="140">
        <v>1999</v>
      </c>
      <c r="E5" s="121">
        <v>2000</v>
      </c>
      <c r="F5" s="105">
        <v>2001</v>
      </c>
      <c r="G5" s="106">
        <v>2002</v>
      </c>
      <c r="H5" s="107">
        <v>2003</v>
      </c>
    </row>
    <row r="6" spans="1:8" s="147" customFormat="1" ht="15.75">
      <c r="A6" s="108">
        <f>+'INGR. Y EGRE SEC CENT'!A6</f>
        <v>1</v>
      </c>
      <c r="B6" s="109" t="str">
        <f>+'INGR. Y EGRE SEC CENT'!B6</f>
        <v>INGRESOS TOTALES</v>
      </c>
      <c r="C6" s="724">
        <f aca="true" t="shared" si="0" ref="C6:H6">+C7+C53</f>
        <v>2022973448</v>
      </c>
      <c r="D6" s="745">
        <f t="shared" si="0"/>
        <v>2282794485</v>
      </c>
      <c r="E6" s="647">
        <f t="shared" si="0"/>
        <v>2483182432</v>
      </c>
      <c r="F6" s="648">
        <f t="shared" si="0"/>
        <v>2723979413</v>
      </c>
      <c r="G6" s="646">
        <f t="shared" si="0"/>
        <v>3017080241</v>
      </c>
      <c r="H6" s="649">
        <f t="shared" si="0"/>
        <v>3375823856</v>
      </c>
    </row>
    <row r="7" spans="1:8" s="148" customFormat="1" ht="15">
      <c r="A7" s="110">
        <f>+'INGR. Y EGRE SEC CENT'!A7</f>
        <v>1.1</v>
      </c>
      <c r="B7" s="111" t="str">
        <f>+'INGR. Y EGRE SEC CENT'!B7</f>
        <v>INGRESOS CORRIENTES</v>
      </c>
      <c r="C7" s="634">
        <f aca="true" t="shared" si="1" ref="C7:H7">+C8+C28+C41</f>
        <v>1975820340</v>
      </c>
      <c r="D7" s="746">
        <f t="shared" si="1"/>
        <v>2074696000</v>
      </c>
      <c r="E7" s="651">
        <f t="shared" si="1"/>
        <v>2275176432</v>
      </c>
      <c r="F7" s="633">
        <f t="shared" si="1"/>
        <v>2515963413</v>
      </c>
      <c r="G7" s="650">
        <f t="shared" si="1"/>
        <v>2809061241</v>
      </c>
      <c r="H7" s="651">
        <f t="shared" si="1"/>
        <v>3167799856</v>
      </c>
    </row>
    <row r="8" spans="1:8" s="149" customFormat="1" ht="15" customHeight="1">
      <c r="A8" s="112" t="str">
        <f>+'INGR. Y EGRE SEC CENT'!A8</f>
        <v>1.1.1</v>
      </c>
      <c r="B8" s="113" t="str">
        <f>+'INGR. Y EGRE SEC CENT'!B8</f>
        <v>INGRESOS TRIBUTARIOS</v>
      </c>
      <c r="C8" s="625">
        <f aca="true" t="shared" si="2" ref="C8:H8">SUM(C9:C23)+C24</f>
        <v>42044923</v>
      </c>
      <c r="D8" s="747">
        <f t="shared" si="2"/>
        <v>108501000</v>
      </c>
      <c r="E8" s="626">
        <f t="shared" si="2"/>
        <v>119031000</v>
      </c>
      <c r="F8" s="624">
        <f t="shared" si="2"/>
        <v>135908756</v>
      </c>
      <c r="G8" s="652">
        <f t="shared" si="2"/>
        <v>155117767</v>
      </c>
      <c r="H8" s="626">
        <f t="shared" si="2"/>
        <v>187979120</v>
      </c>
    </row>
    <row r="9" spans="1:8" s="36" customFormat="1" ht="15">
      <c r="A9" s="8" t="str">
        <f>+'INGR. Y EGRE SEC CENT'!A9</f>
        <v>1.1.1.1</v>
      </c>
      <c r="B9" s="11" t="str">
        <f>+'INGR. Y EGRE SEC CENT'!B9</f>
        <v>Predial Unificado</v>
      </c>
      <c r="C9" s="748">
        <f>'INGR. Y EGRE SEC CENT'!G9</f>
        <v>37969823</v>
      </c>
      <c r="D9" s="749">
        <v>50000000</v>
      </c>
      <c r="E9" s="655">
        <v>55000000</v>
      </c>
      <c r="F9" s="627">
        <v>63250000</v>
      </c>
      <c r="G9" s="653">
        <v>73370000</v>
      </c>
      <c r="H9" s="655">
        <v>88044000</v>
      </c>
    </row>
    <row r="10" spans="1:8" s="36" customFormat="1" ht="15">
      <c r="A10" s="8" t="str">
        <f>+'INGR. Y EGRE SEC CENT'!A10</f>
        <v>1.1.1.2</v>
      </c>
      <c r="B10" s="11" t="str">
        <f>+'INGR. Y EGRE SEC CENT'!B10</f>
        <v>Industria y comercio</v>
      </c>
      <c r="C10" s="748">
        <f>'INGR. Y EGRE SEC CENT'!G10</f>
        <v>1812900</v>
      </c>
      <c r="D10" s="749">
        <v>35000000</v>
      </c>
      <c r="E10" s="655">
        <v>38500000</v>
      </c>
      <c r="F10" s="627">
        <v>44275000</v>
      </c>
      <c r="G10" s="653">
        <v>51359000</v>
      </c>
      <c r="H10" s="655">
        <v>61630800</v>
      </c>
    </row>
    <row r="11" spans="1:8" s="36" customFormat="1" ht="15">
      <c r="A11" s="8" t="str">
        <f>+'INGR. Y EGRE SEC CENT'!A11</f>
        <v>1.1.1.3</v>
      </c>
      <c r="B11" s="11" t="str">
        <f>+'INGR. Y EGRE SEC CENT'!B11</f>
        <v>Circulación y Transito</v>
      </c>
      <c r="C11" s="748">
        <f>'INGR. Y EGRE SEC CENT'!G11</f>
        <v>209000</v>
      </c>
      <c r="D11" s="749">
        <v>500000</v>
      </c>
      <c r="E11" s="655">
        <v>500000</v>
      </c>
      <c r="F11" s="627">
        <v>575000</v>
      </c>
      <c r="G11" s="653">
        <v>667000</v>
      </c>
      <c r="H11" s="655">
        <v>800400</v>
      </c>
    </row>
    <row r="12" spans="1:8" s="36" customFormat="1" ht="15">
      <c r="A12" s="8" t="str">
        <f>+'INGR. Y EGRE SEC CENT'!A12</f>
        <v>1.1.1.4</v>
      </c>
      <c r="B12" s="11" t="str">
        <f>+'INGR. Y EGRE SEC CENT'!B12</f>
        <v>Avisos y Tableros </v>
      </c>
      <c r="C12" s="748">
        <f>'INGR. Y EGRE SEC CENT'!G12</f>
        <v>0</v>
      </c>
      <c r="D12" s="749">
        <v>2000000</v>
      </c>
      <c r="E12" s="655">
        <v>2200000</v>
      </c>
      <c r="F12" s="627">
        <v>2530000</v>
      </c>
      <c r="G12" s="653">
        <v>2934800</v>
      </c>
      <c r="H12" s="655">
        <v>3521760</v>
      </c>
    </row>
    <row r="13" spans="1:8" s="36" customFormat="1" ht="15">
      <c r="A13" s="8" t="str">
        <f>+'INGR. Y EGRE SEC CENT'!A13</f>
        <v>1.1.1.5</v>
      </c>
      <c r="B13" s="11" t="str">
        <f>+'INGR. Y EGRE SEC CENT'!B13</f>
        <v>Rifas, apuestas y Sorteos</v>
      </c>
      <c r="C13" s="748">
        <f>'INGR. Y EGRE SEC CENT'!G13</f>
        <v>1701600</v>
      </c>
      <c r="D13" s="749">
        <v>0</v>
      </c>
      <c r="E13" s="655">
        <v>0</v>
      </c>
      <c r="F13" s="627">
        <v>0</v>
      </c>
      <c r="G13" s="653">
        <v>0</v>
      </c>
      <c r="H13" s="655">
        <v>0</v>
      </c>
    </row>
    <row r="14" spans="1:8" s="36" customFormat="1" ht="15">
      <c r="A14" s="8" t="str">
        <f>+'INGR. Y EGRE SEC CENT'!A14</f>
        <v>1.1.1.6</v>
      </c>
      <c r="B14" s="11" t="str">
        <f>+'INGR. Y EGRE SEC CENT'!B14</f>
        <v>Espectáculos Públicos</v>
      </c>
      <c r="C14" s="748">
        <f>'INGR. Y EGRE SEC CENT'!G14</f>
        <v>0</v>
      </c>
      <c r="D14" s="749">
        <v>1000000</v>
      </c>
      <c r="E14" s="655">
        <v>1100000</v>
      </c>
      <c r="F14" s="627">
        <v>1000000</v>
      </c>
      <c r="G14" s="653">
        <v>1100000</v>
      </c>
      <c r="H14" s="655">
        <v>1320000</v>
      </c>
    </row>
    <row r="15" spans="1:8" s="36" customFormat="1" ht="15">
      <c r="A15" s="8" t="str">
        <f>+'INGR. Y EGRE SEC CENT'!A15</f>
        <v>1.1.1.7</v>
      </c>
      <c r="B15" s="11" t="str">
        <f>+'INGR. Y EGRE SEC CENT'!B15</f>
        <v>Deguello ganado mayor</v>
      </c>
      <c r="C15" s="748">
        <f>'INGR. Y EGRE SEC CENT'!G15</f>
        <v>0</v>
      </c>
      <c r="D15" s="749">
        <v>1500000</v>
      </c>
      <c r="E15" s="655">
        <v>1650000</v>
      </c>
      <c r="F15" s="627">
        <v>1897500</v>
      </c>
      <c r="G15" s="653">
        <v>2200000</v>
      </c>
      <c r="H15" s="655">
        <v>2640000</v>
      </c>
    </row>
    <row r="16" spans="1:8" s="36" customFormat="1" ht="15">
      <c r="A16" s="8" t="str">
        <f>+'INGR. Y EGRE SEC CENT'!A16</f>
        <v>1.1.1.8</v>
      </c>
      <c r="B16" s="11" t="str">
        <f>+'INGR. Y EGRE SEC CENT'!B16</f>
        <v>Delineación Urbana</v>
      </c>
      <c r="C16" s="748">
        <f>'INGR. Y EGRE SEC CENT'!G16</f>
        <v>50500</v>
      </c>
      <c r="D16" s="749">
        <v>2000000</v>
      </c>
      <c r="E16" s="655">
        <v>2000000</v>
      </c>
      <c r="F16" s="627">
        <v>2200000</v>
      </c>
      <c r="G16" s="653">
        <v>530000</v>
      </c>
      <c r="H16" s="655">
        <v>2934000</v>
      </c>
    </row>
    <row r="17" spans="1:8" s="36" customFormat="1" ht="15">
      <c r="A17" s="8" t="str">
        <f>+'INGR. Y EGRE SEC CENT'!A17</f>
        <v>1.1.1.9</v>
      </c>
      <c r="B17" s="11" t="str">
        <f>+'INGR. Y EGRE SEC CENT'!B17</f>
        <v>Degüello de Ganado Menor</v>
      </c>
      <c r="C17" s="748">
        <f>'INGR. Y EGRE SEC CENT'!G17</f>
        <v>1000</v>
      </c>
      <c r="D17" s="749">
        <v>2000000</v>
      </c>
      <c r="E17" s="655">
        <v>2000000</v>
      </c>
      <c r="F17" s="627">
        <v>2000000</v>
      </c>
      <c r="G17" s="653">
        <v>2000000</v>
      </c>
      <c r="H17" s="655">
        <v>2000000</v>
      </c>
    </row>
    <row r="18" spans="1:8" s="36" customFormat="1" ht="15">
      <c r="A18" s="8" t="str">
        <f>+'INGR. Y EGRE SEC CENT'!A18</f>
        <v>1.1.1.10</v>
      </c>
      <c r="B18" s="11" t="str">
        <f>+'INGR. Y EGRE SEC CENT'!B18</f>
        <v>Sobretasa a la Gasolina</v>
      </c>
      <c r="C18" s="748">
        <f>'INGR. Y EGRE SEC CENT'!G18</f>
        <v>0</v>
      </c>
      <c r="D18" s="749">
        <v>0</v>
      </c>
      <c r="E18" s="655">
        <v>500000</v>
      </c>
      <c r="F18" s="627">
        <v>575000</v>
      </c>
      <c r="G18" s="653">
        <v>667000</v>
      </c>
      <c r="H18" s="655">
        <v>800400</v>
      </c>
    </row>
    <row r="19" spans="1:8" s="36" customFormat="1" ht="15">
      <c r="A19" s="8" t="str">
        <f>+'INGR. Y EGRE SEC CENT'!A19</f>
        <v>1.1.1.11</v>
      </c>
      <c r="B19" s="11" t="str">
        <f>+'INGR. Y EGRE SEC CENT'!B19</f>
        <v>Ocupación de Vías</v>
      </c>
      <c r="C19" s="748">
        <f>'INGR. Y EGRE SEC CENT'!G19</f>
        <v>0</v>
      </c>
      <c r="D19" s="749">
        <v>1000000</v>
      </c>
      <c r="E19" s="655">
        <v>1100000</v>
      </c>
      <c r="F19" s="627">
        <v>1265000</v>
      </c>
      <c r="G19" s="653">
        <v>1467000</v>
      </c>
      <c r="H19" s="655">
        <v>1760000</v>
      </c>
    </row>
    <row r="20" spans="1:8" s="36" customFormat="1" ht="15">
      <c r="A20" s="8" t="str">
        <f>+'INGR. Y EGRE SEC CENT'!A20</f>
        <v>1.1.1.12</v>
      </c>
      <c r="B20" s="11" t="str">
        <f>+'INGR. Y EGRE SEC CENT'!B20</f>
        <v>Extracción de Arena Cascajo y Otros</v>
      </c>
      <c r="C20" s="748">
        <f>'INGR. Y EGRE SEC CENT'!G20</f>
        <v>0</v>
      </c>
      <c r="D20" s="749">
        <v>1000000</v>
      </c>
      <c r="E20" s="655">
        <v>1100000</v>
      </c>
      <c r="F20" s="627">
        <v>1265000</v>
      </c>
      <c r="G20" s="653">
        <v>1467000</v>
      </c>
      <c r="H20" s="655">
        <v>1700000</v>
      </c>
    </row>
    <row r="21" spans="1:8" s="36" customFormat="1" ht="15">
      <c r="A21" s="8" t="str">
        <f>+'INGR. Y EGRE SEC CENT'!A21</f>
        <v>1.1.1.13</v>
      </c>
      <c r="B21" s="11" t="str">
        <f>+'INGR. Y EGRE SEC CENT'!B21</f>
        <v>Juegos permitidos</v>
      </c>
      <c r="C21" s="748">
        <f>'INGR. Y EGRE SEC CENT'!G21</f>
        <v>0</v>
      </c>
      <c r="D21" s="749">
        <v>500000</v>
      </c>
      <c r="E21" s="655">
        <v>600000</v>
      </c>
      <c r="F21" s="627">
        <v>720000</v>
      </c>
      <c r="G21" s="653">
        <v>835200</v>
      </c>
      <c r="H21" s="655">
        <v>1002240</v>
      </c>
    </row>
    <row r="22" spans="1:8" s="36" customFormat="1" ht="15">
      <c r="A22" s="8" t="str">
        <f>+'INGR. Y EGRE SEC CENT'!A22</f>
        <v>1.1.1.14</v>
      </c>
      <c r="B22" s="11" t="str">
        <f>+'INGR. Y EGRE SEC CENT'!B22</f>
        <v>Otros Indirectos</v>
      </c>
      <c r="C22" s="748">
        <f>'INGR. Y EGRE SEC CENT'!G22</f>
        <v>0</v>
      </c>
      <c r="D22" s="749">
        <v>3000000</v>
      </c>
      <c r="E22" s="655">
        <v>3080000</v>
      </c>
      <c r="F22" s="627">
        <v>3300000</v>
      </c>
      <c r="G22" s="653">
        <v>3828000</v>
      </c>
      <c r="H22" s="655">
        <v>4593600</v>
      </c>
    </row>
    <row r="23" spans="1:8" s="36" customFormat="1" ht="15">
      <c r="A23" s="8" t="str">
        <f>+'INGR. Y EGRE SEC CENT'!A23</f>
        <v>1.1.1.15</v>
      </c>
      <c r="B23" s="11" t="str">
        <f>+'INGR. Y EGRE SEC CENT'!B23</f>
        <v>Registro de Patentes, Marcas y Herretes</v>
      </c>
      <c r="C23" s="748">
        <f>'INGR. Y EGRE SEC CENT'!G23</f>
        <v>33000</v>
      </c>
      <c r="D23" s="749">
        <v>1000000</v>
      </c>
      <c r="E23" s="655">
        <v>1000000</v>
      </c>
      <c r="F23" s="627">
        <v>1100000</v>
      </c>
      <c r="G23" s="653">
        <v>1320000</v>
      </c>
      <c r="H23" s="655">
        <v>1584000</v>
      </c>
    </row>
    <row r="24" spans="1:8" s="36" customFormat="1" ht="15">
      <c r="A24" s="114" t="str">
        <f>+'INGR. Y EGRE SEC CENT'!A24</f>
        <v>1.1.1.16</v>
      </c>
      <c r="B24" s="115" t="str">
        <f>+'INGR. Y EGRE SEC CENT'!B24</f>
        <v>Otros Tributarios :</v>
      </c>
      <c r="C24" s="625">
        <f aca="true" t="shared" si="3" ref="C24:H24">SUM(C25:C27)</f>
        <v>267100</v>
      </c>
      <c r="D24" s="747">
        <f t="shared" si="3"/>
        <v>8001000</v>
      </c>
      <c r="E24" s="626">
        <f t="shared" si="3"/>
        <v>8701000</v>
      </c>
      <c r="F24" s="624">
        <f t="shared" si="3"/>
        <v>9956256</v>
      </c>
      <c r="G24" s="652">
        <f t="shared" si="3"/>
        <v>11372767</v>
      </c>
      <c r="H24" s="626">
        <f t="shared" si="3"/>
        <v>13647920</v>
      </c>
    </row>
    <row r="25" spans="1:8" s="36" customFormat="1" ht="15">
      <c r="A25" s="8" t="str">
        <f>+'INGR. Y EGRE SEC CENT'!A25</f>
        <v>1.1.1.16.1</v>
      </c>
      <c r="B25" s="34" t="str">
        <f>+'INGR. Y EGRE SEC CENT'!B25</f>
        <v>Impuesto Nacional de Timbre</v>
      </c>
      <c r="C25" s="748">
        <f>'INGR. Y EGRE SEC CENT'!G25</f>
        <v>0</v>
      </c>
      <c r="D25" s="749">
        <v>0</v>
      </c>
      <c r="E25" s="655">
        <v>0</v>
      </c>
      <c r="F25" s="627">
        <v>0</v>
      </c>
      <c r="G25" s="653">
        <v>0</v>
      </c>
      <c r="H25" s="655">
        <v>0</v>
      </c>
    </row>
    <row r="26" spans="1:8" s="36" customFormat="1" ht="15">
      <c r="A26" s="8" t="str">
        <f>+'INGR. Y EGRE SEC CENT'!A26</f>
        <v>1.1.1.16.2</v>
      </c>
      <c r="B26" s="34" t="str">
        <f>+'INGR. Y EGRE SEC CENT'!B26</f>
        <v>MOVILIZACION DE GANADO</v>
      </c>
      <c r="C26" s="748">
        <f>'INGR. Y EGRE SEC CENT'!G26</f>
        <v>204500</v>
      </c>
      <c r="D26" s="749">
        <v>1000000</v>
      </c>
      <c r="E26" s="750">
        <v>1000000</v>
      </c>
      <c r="F26" s="627">
        <v>1100000</v>
      </c>
      <c r="G26" s="653">
        <v>1100000</v>
      </c>
      <c r="H26" s="655">
        <v>1320000</v>
      </c>
    </row>
    <row r="27" spans="1:8" s="36" customFormat="1" ht="15">
      <c r="A27" s="8" t="str">
        <f>+'INGR. Y EGRE SEC CENT'!A27</f>
        <v>1.1.1.16.3</v>
      </c>
      <c r="B27" s="34" t="str">
        <f>+'INGR. Y EGRE SEC CENT'!B27</f>
        <v>Extracción de queso</v>
      </c>
      <c r="C27" s="748">
        <f>'INGR. Y EGRE SEC CENT'!G27</f>
        <v>62600</v>
      </c>
      <c r="D27" s="749">
        <v>7001000</v>
      </c>
      <c r="E27" s="655">
        <v>7701000</v>
      </c>
      <c r="F27" s="627">
        <v>8856256</v>
      </c>
      <c r="G27" s="653">
        <v>10272767</v>
      </c>
      <c r="H27" s="655">
        <v>12327920</v>
      </c>
    </row>
    <row r="28" spans="1:8" s="149" customFormat="1" ht="15" customHeight="1">
      <c r="A28" s="112" t="str">
        <f>+'INGR. Y EGRE SEC CENT'!A28</f>
        <v>1.1.2</v>
      </c>
      <c r="B28" s="113" t="str">
        <f>+'INGR. Y EGRE SEC CENT'!B28</f>
        <v>INGRESOS NO TRIBUTARIOS</v>
      </c>
      <c r="C28" s="625">
        <f aca="true" t="shared" si="4" ref="C28:H28">SUM(C29:C37)</f>
        <v>47989840</v>
      </c>
      <c r="D28" s="747">
        <f t="shared" si="4"/>
        <v>18708000</v>
      </c>
      <c r="E28" s="626">
        <f t="shared" si="4"/>
        <v>20570000</v>
      </c>
      <c r="F28" s="624">
        <f t="shared" si="4"/>
        <v>22137500</v>
      </c>
      <c r="G28" s="652">
        <f t="shared" si="4"/>
        <v>25578300</v>
      </c>
      <c r="H28" s="626">
        <f t="shared" si="4"/>
        <v>30693960</v>
      </c>
    </row>
    <row r="29" spans="1:8" s="36" customFormat="1" ht="15">
      <c r="A29" s="8" t="str">
        <f>+'INGR. Y EGRE SEC CENT'!A29</f>
        <v>1.1.2.1</v>
      </c>
      <c r="B29" s="34" t="str">
        <f>+'INGR. Y EGRE SEC CENT'!B29</f>
        <v>Aseo</v>
      </c>
      <c r="C29" s="748">
        <f>'INGR. Y EGRE SEC CENT'!G29</f>
        <v>0</v>
      </c>
      <c r="D29" s="751">
        <v>0</v>
      </c>
      <c r="E29" s="737">
        <v>0</v>
      </c>
      <c r="F29" s="631">
        <v>0</v>
      </c>
      <c r="G29" s="736">
        <v>0</v>
      </c>
      <c r="H29" s="737">
        <v>0</v>
      </c>
    </row>
    <row r="30" spans="1:8" s="36" customFormat="1" ht="15">
      <c r="A30" s="8" t="str">
        <f>+'INGR. Y EGRE SEC CENT'!A30</f>
        <v>1.1.2.2</v>
      </c>
      <c r="B30" s="14" t="str">
        <f>+'INGR. Y EGRE SEC CENT'!B30</f>
        <v>Pliego de Licitaciones</v>
      </c>
      <c r="C30" s="748">
        <f>'INGR. Y EGRE SEC CENT'!G30</f>
        <v>0</v>
      </c>
      <c r="D30" s="749">
        <v>7000000</v>
      </c>
      <c r="E30" s="655">
        <v>7700000</v>
      </c>
      <c r="F30" s="627">
        <v>8855000</v>
      </c>
      <c r="G30" s="653">
        <v>10271800</v>
      </c>
      <c r="H30" s="655">
        <v>12326160</v>
      </c>
    </row>
    <row r="31" spans="1:8" s="36" customFormat="1" ht="15">
      <c r="A31" s="8" t="str">
        <f>+'INGR. Y EGRE SEC CENT'!A31</f>
        <v>1.1.2.3</v>
      </c>
      <c r="B31" s="34" t="str">
        <f>+'INGR. Y EGRE SEC CENT'!B31</f>
        <v>Gaceta Municipal</v>
      </c>
      <c r="C31" s="748">
        <f>'INGR. Y EGRE SEC CENT'!G31</f>
        <v>2192516</v>
      </c>
      <c r="D31" s="749">
        <v>0</v>
      </c>
      <c r="E31" s="655">
        <v>0</v>
      </c>
      <c r="F31" s="627">
        <v>0</v>
      </c>
      <c r="G31" s="653">
        <v>0</v>
      </c>
      <c r="H31" s="655">
        <v>0</v>
      </c>
    </row>
    <row r="32" spans="1:8" s="36" customFormat="1" ht="15">
      <c r="A32" s="8" t="str">
        <f>+'INGR. Y EGRE SEC CENT'!A32</f>
        <v>1.1.2.4</v>
      </c>
      <c r="B32" s="34" t="str">
        <f>+'INGR. Y EGRE SEC CENT'!B32</f>
        <v>Venta de formulario y placas</v>
      </c>
      <c r="C32" s="748">
        <f>'INGR. Y EGRE SEC CENT'!G32</f>
        <v>0</v>
      </c>
      <c r="D32" s="751">
        <v>0</v>
      </c>
      <c r="E32" s="737">
        <v>0</v>
      </c>
      <c r="F32" s="631">
        <v>0</v>
      </c>
      <c r="G32" s="736">
        <v>0</v>
      </c>
      <c r="H32" s="737">
        <v>0</v>
      </c>
    </row>
    <row r="33" spans="1:8" s="36" customFormat="1" ht="15">
      <c r="A33" s="8" t="str">
        <f>+'INGR. Y EGRE SEC CENT'!A33</f>
        <v>1.1.2.5</v>
      </c>
      <c r="B33" s="34" t="str">
        <f>+'INGR. Y EGRE SEC CENT'!B33</f>
        <v>Arrendamientos o Alquileres</v>
      </c>
      <c r="C33" s="748">
        <f>'INGR. Y EGRE SEC CENT'!G33</f>
        <v>0</v>
      </c>
      <c r="D33" s="749">
        <v>0</v>
      </c>
      <c r="E33" s="655">
        <v>0</v>
      </c>
      <c r="F33" s="627">
        <v>0</v>
      </c>
      <c r="G33" s="653">
        <v>0</v>
      </c>
      <c r="H33" s="655">
        <v>0</v>
      </c>
    </row>
    <row r="34" spans="1:8" s="36" customFormat="1" ht="15">
      <c r="A34" s="8" t="str">
        <f>+'INGR. Y EGRE SEC CENT'!A34</f>
        <v>1.1.2.6</v>
      </c>
      <c r="B34" s="34" t="str">
        <f>+'INGR. Y EGRE SEC CENT'!B34</f>
        <v>Multas,contravenciones y coso mpal.</v>
      </c>
      <c r="C34" s="748">
        <f>'INGR. Y EGRE SEC CENT'!G34</f>
        <v>0</v>
      </c>
      <c r="D34" s="749">
        <v>508000</v>
      </c>
      <c r="E34" s="655">
        <v>550000</v>
      </c>
      <c r="F34" s="627">
        <v>632500</v>
      </c>
      <c r="G34" s="653">
        <v>733700</v>
      </c>
      <c r="H34" s="655">
        <v>880440</v>
      </c>
    </row>
    <row r="35" spans="1:8" s="36" customFormat="1" ht="15">
      <c r="A35" s="8" t="str">
        <f>+'INGR. Y EGRE SEC CENT'!A35</f>
        <v>1.1.2.7</v>
      </c>
      <c r="B35" s="34" t="str">
        <f>+'INGR. Y EGRE SEC CENT'!B35</f>
        <v>Mercado y matadero Público</v>
      </c>
      <c r="C35" s="748">
        <f>'INGR. Y EGRE SEC CENT'!G35</f>
        <v>30000</v>
      </c>
      <c r="D35" s="749">
        <v>0</v>
      </c>
      <c r="E35" s="655">
        <v>0</v>
      </c>
      <c r="F35" s="627">
        <v>0</v>
      </c>
      <c r="G35" s="653">
        <v>0</v>
      </c>
      <c r="H35" s="655">
        <v>0</v>
      </c>
    </row>
    <row r="36" spans="1:8" s="36" customFormat="1" ht="15">
      <c r="A36" s="8" t="str">
        <f>+'INGR. Y EGRE SEC CENT'!A36</f>
        <v>1.1.2.8</v>
      </c>
      <c r="B36" s="34" t="str">
        <f>+'INGR. Y EGRE SEC CENT'!B36</f>
        <v>Acueducto</v>
      </c>
      <c r="C36" s="748">
        <f>'INGR. Y EGRE SEC CENT'!G36</f>
        <v>27634906</v>
      </c>
      <c r="D36" s="749">
        <v>9200000</v>
      </c>
      <c r="E36" s="655">
        <v>10120000</v>
      </c>
      <c r="F36" s="627">
        <v>10120000</v>
      </c>
      <c r="G36" s="653">
        <v>11638000</v>
      </c>
      <c r="H36" s="655">
        <v>13965600</v>
      </c>
    </row>
    <row r="37" spans="1:8" s="36" customFormat="1" ht="15">
      <c r="A37" s="114" t="str">
        <f>+'INGR. Y EGRE SEC CENT'!A37</f>
        <v>1.1.2.9</v>
      </c>
      <c r="B37" s="115" t="str">
        <f>+'INGR. Y EGRE SEC CENT'!B37</f>
        <v>Otros Ingresos No Tributarios</v>
      </c>
      <c r="C37" s="625">
        <f aca="true" t="shared" si="5" ref="C37:H37">SUM(C38:C40)</f>
        <v>18132418</v>
      </c>
      <c r="D37" s="747">
        <f t="shared" si="5"/>
        <v>2000000</v>
      </c>
      <c r="E37" s="626">
        <f t="shared" si="5"/>
        <v>2200000</v>
      </c>
      <c r="F37" s="624">
        <f t="shared" si="5"/>
        <v>2530000</v>
      </c>
      <c r="G37" s="652">
        <f t="shared" si="5"/>
        <v>2934800</v>
      </c>
      <c r="H37" s="626">
        <f t="shared" si="5"/>
        <v>3521760</v>
      </c>
    </row>
    <row r="38" spans="1:8" s="36" customFormat="1" ht="15">
      <c r="A38" s="8" t="str">
        <f>+'INGR. Y EGRE SEC CENT'!A38</f>
        <v>1.1.2.9.1</v>
      </c>
      <c r="B38" s="14" t="str">
        <f>+'INGR. Y EGRE SEC CENT'!B38</f>
        <v>CORPAMAG</v>
      </c>
      <c r="C38" s="748">
        <f>'INGR. Y EGRE SEC CENT'!G38</f>
        <v>7815632</v>
      </c>
      <c r="D38" s="749">
        <v>0</v>
      </c>
      <c r="E38" s="655">
        <v>0</v>
      </c>
      <c r="F38" s="627">
        <v>0</v>
      </c>
      <c r="G38" s="653">
        <v>0</v>
      </c>
      <c r="H38" s="655">
        <v>0</v>
      </c>
    </row>
    <row r="39" spans="1:8" s="36" customFormat="1" ht="15">
      <c r="A39" s="8" t="str">
        <f>+'INGR. Y EGRE SEC CENT'!A39</f>
        <v>1.1.2.9.2</v>
      </c>
      <c r="B39" s="14" t="str">
        <f>+'INGR. Y EGRE SEC CENT'!B39</f>
        <v>Aporte empl. Seguro social y Pensión</v>
      </c>
      <c r="C39" s="748">
        <f>'INGR. Y EGRE SEC CENT'!G39</f>
        <v>5524552</v>
      </c>
      <c r="D39" s="749">
        <v>0</v>
      </c>
      <c r="E39" s="655">
        <v>0</v>
      </c>
      <c r="F39" s="627">
        <v>0</v>
      </c>
      <c r="G39" s="653">
        <v>0</v>
      </c>
      <c r="H39" s="655">
        <v>0</v>
      </c>
    </row>
    <row r="40" spans="1:8" s="36" customFormat="1" ht="15">
      <c r="A40" s="8" t="str">
        <f>+'INGR. Y EGRE SEC CENT'!A40</f>
        <v>1.1.2.9.3</v>
      </c>
      <c r="B40" s="14" t="str">
        <f>+'INGR. Y EGRE SEC CENT'!B40</f>
        <v>Impuesto Propalacio</v>
      </c>
      <c r="C40" s="748">
        <f>'INGR. Y EGRE SEC CENT'!G40</f>
        <v>4792234</v>
      </c>
      <c r="D40" s="749">
        <v>2000000</v>
      </c>
      <c r="E40" s="655">
        <v>2200000</v>
      </c>
      <c r="F40" s="627">
        <v>2530000</v>
      </c>
      <c r="G40" s="653">
        <v>2934800</v>
      </c>
      <c r="H40" s="655">
        <v>3521760</v>
      </c>
    </row>
    <row r="41" spans="1:8" s="148" customFormat="1" ht="15">
      <c r="A41" s="110" t="str">
        <f>+'INGR. Y EGRE SEC CENT'!A41</f>
        <v>1.1.3</v>
      </c>
      <c r="B41" s="116" t="str">
        <f>+'INGR. Y EGRE SEC CENT'!B41</f>
        <v>TRANSFERENCIAS</v>
      </c>
      <c r="C41" s="634">
        <f aca="true" t="shared" si="6" ref="C41:H41">+C42+C45+C48</f>
        <v>1885785577</v>
      </c>
      <c r="D41" s="746">
        <f t="shared" si="6"/>
        <v>1947487000</v>
      </c>
      <c r="E41" s="651">
        <f t="shared" si="6"/>
        <v>2135575432</v>
      </c>
      <c r="F41" s="633">
        <f t="shared" si="6"/>
        <v>2357917157</v>
      </c>
      <c r="G41" s="650">
        <f t="shared" si="6"/>
        <v>2628365174</v>
      </c>
      <c r="H41" s="651">
        <f t="shared" si="6"/>
        <v>2949126776</v>
      </c>
    </row>
    <row r="42" spans="1:8" s="36" customFormat="1" ht="15">
      <c r="A42" s="114" t="str">
        <f>+'INGR. Y EGRE SEC CENT'!A42</f>
        <v>1.1.3.1</v>
      </c>
      <c r="B42" s="115" t="str">
        <f>+'INGR. Y EGRE SEC CENT'!B42</f>
        <v>Por Situado Fiscal</v>
      </c>
      <c r="C42" s="625">
        <f aca="true" t="shared" si="7" ref="C42:H42">SUM(C43:C44)</f>
        <v>0</v>
      </c>
      <c r="D42" s="747">
        <f t="shared" si="7"/>
        <v>0</v>
      </c>
      <c r="E42" s="626">
        <f t="shared" si="7"/>
        <v>0</v>
      </c>
      <c r="F42" s="624">
        <f t="shared" si="7"/>
        <v>0</v>
      </c>
      <c r="G42" s="652">
        <f t="shared" si="7"/>
        <v>0</v>
      </c>
      <c r="H42" s="626">
        <f t="shared" si="7"/>
        <v>0</v>
      </c>
    </row>
    <row r="43" spans="1:8" s="36" customFormat="1" ht="15">
      <c r="A43" s="8" t="str">
        <f>+'INGR. Y EGRE SEC CENT'!A43</f>
        <v>1.1.3.1.1</v>
      </c>
      <c r="B43" s="14" t="str">
        <f>+'INGR. Y EGRE SEC CENT'!B43</f>
        <v>Situado Fiscal Educación</v>
      </c>
      <c r="C43" s="748">
        <f>'INGR. Y EGRE SEC CENT'!G43</f>
        <v>0</v>
      </c>
      <c r="D43" s="749">
        <v>0</v>
      </c>
      <c r="E43" s="655">
        <v>0</v>
      </c>
      <c r="F43" s="627">
        <v>0</v>
      </c>
      <c r="G43" s="653">
        <v>0</v>
      </c>
      <c r="H43" s="655">
        <v>0</v>
      </c>
    </row>
    <row r="44" spans="1:8" s="36" customFormat="1" ht="15">
      <c r="A44" s="8" t="str">
        <f>+'INGR. Y EGRE SEC CENT'!A44</f>
        <v>1.1.3.1.2</v>
      </c>
      <c r="B44" s="14" t="str">
        <f>+'INGR. Y EGRE SEC CENT'!B44</f>
        <v>Situado Fiscal Salud</v>
      </c>
      <c r="C44" s="748">
        <f>'INGR. Y EGRE SEC CENT'!G44</f>
        <v>0</v>
      </c>
      <c r="D44" s="749">
        <v>0</v>
      </c>
      <c r="E44" s="655">
        <v>0</v>
      </c>
      <c r="F44" s="627">
        <v>0</v>
      </c>
      <c r="G44" s="653">
        <v>0</v>
      </c>
      <c r="H44" s="655">
        <v>0</v>
      </c>
    </row>
    <row r="45" spans="1:8" s="150" customFormat="1" ht="15.75">
      <c r="A45" s="114" t="str">
        <f>+'INGR. Y EGRE SEC CENT'!A45</f>
        <v>1.1.3.2</v>
      </c>
      <c r="B45" s="113" t="str">
        <f>+'INGR. Y EGRE SEC CENT'!B45</f>
        <v>Por Participación en Ingresos Corrientes de la Nación</v>
      </c>
      <c r="C45" s="625">
        <f aca="true" t="shared" si="8" ref="C45:H45">SUM(C46:C47)</f>
        <v>1716719110</v>
      </c>
      <c r="D45" s="747">
        <f t="shared" si="8"/>
        <v>1947487000</v>
      </c>
      <c r="E45" s="626">
        <f t="shared" si="8"/>
        <v>2135575432</v>
      </c>
      <c r="F45" s="624">
        <f t="shared" si="8"/>
        <v>2357917157</v>
      </c>
      <c r="G45" s="652">
        <f t="shared" si="8"/>
        <v>2628365174</v>
      </c>
      <c r="H45" s="626">
        <f t="shared" si="8"/>
        <v>2949126776</v>
      </c>
    </row>
    <row r="46" spans="1:8" s="36" customFormat="1" ht="15">
      <c r="A46" s="8" t="str">
        <f>+'INGR. Y EGRE SEC CENT'!A46</f>
        <v>1.1.3.2.1</v>
      </c>
      <c r="B46" s="14" t="str">
        <f>+'INGR. Y EGRE SEC CENT'!B46</f>
        <v>ICN. de Inversión Forzosa</v>
      </c>
      <c r="C46" s="748">
        <f>'INGR. Y EGRE SEC CENT'!G46</f>
        <v>1381135295</v>
      </c>
      <c r="D46" s="749">
        <v>1600704940</v>
      </c>
      <c r="E46" s="655">
        <v>1840810681</v>
      </c>
      <c r="F46" s="627">
        <v>2098524176</v>
      </c>
      <c r="G46" s="653">
        <v>2392317561</v>
      </c>
      <c r="H46" s="655">
        <v>2727242020</v>
      </c>
    </row>
    <row r="47" spans="1:8" s="36" customFormat="1" ht="15">
      <c r="A47" s="8" t="str">
        <f>+'INGR. Y EGRE SEC CENT'!A47</f>
        <v>1.1.3.2.2</v>
      </c>
      <c r="B47" s="14" t="str">
        <f>+'INGR. Y EGRE SEC CENT'!B47</f>
        <v>ICN. de Libre Destinación</v>
      </c>
      <c r="C47" s="748">
        <f>'INGR. Y EGRE SEC CENT'!G47</f>
        <v>335583815</v>
      </c>
      <c r="D47" s="749">
        <v>346782060</v>
      </c>
      <c r="E47" s="655">
        <v>294764751</v>
      </c>
      <c r="F47" s="627">
        <v>259392981</v>
      </c>
      <c r="G47" s="653">
        <v>236047613</v>
      </c>
      <c r="H47" s="655">
        <v>221884756</v>
      </c>
    </row>
    <row r="48" spans="1:8" s="36" customFormat="1" ht="15">
      <c r="A48" s="114" t="str">
        <f>+'INGR. Y EGRE SEC CENT'!A48</f>
        <v>1.1.3.3.3</v>
      </c>
      <c r="B48" s="115" t="str">
        <f>+'INGR. Y EGRE SEC CENT'!B48</f>
        <v>Otras Transferencias :</v>
      </c>
      <c r="C48" s="625">
        <f aca="true" t="shared" si="9" ref="C48:H48">SUM(C49:C52)</f>
        <v>169066467</v>
      </c>
      <c r="D48" s="747">
        <f t="shared" si="9"/>
        <v>0</v>
      </c>
      <c r="E48" s="626">
        <f t="shared" si="9"/>
        <v>0</v>
      </c>
      <c r="F48" s="624">
        <f t="shared" si="9"/>
        <v>0</v>
      </c>
      <c r="G48" s="652">
        <f t="shared" si="9"/>
        <v>0</v>
      </c>
      <c r="H48" s="626">
        <f t="shared" si="9"/>
        <v>0</v>
      </c>
    </row>
    <row r="49" spans="1:8" s="36" customFormat="1" ht="15.75" customHeight="1">
      <c r="A49" s="8" t="str">
        <f>+'INGR. Y EGRE SEC CENT'!A49</f>
        <v>1.1.3.3.3.1</v>
      </c>
      <c r="B49" s="34" t="str">
        <f>+'INGR. Y EGRE SEC CENT'!B49</f>
        <v>Recibidas De la Nación</v>
      </c>
      <c r="C49" s="748">
        <f>'INGR. Y EGRE SEC CENT'!G49</f>
        <v>127330724</v>
      </c>
      <c r="D49" s="749">
        <v>0</v>
      </c>
      <c r="E49" s="655">
        <v>0</v>
      </c>
      <c r="F49" s="627">
        <v>0</v>
      </c>
      <c r="G49" s="653">
        <v>0</v>
      </c>
      <c r="H49" s="655">
        <v>0</v>
      </c>
    </row>
    <row r="50" spans="1:8" s="36" customFormat="1" ht="15.75" customHeight="1">
      <c r="A50" s="8" t="str">
        <f>+'INGR. Y EGRE SEC CENT'!A50</f>
        <v>1.1.3.3.3.2</v>
      </c>
      <c r="B50" s="34" t="str">
        <f>+'INGR. Y EGRE SEC CENT'!B50</f>
        <v>Recibidas Del Departamento</v>
      </c>
      <c r="C50" s="748">
        <f>'INGR. Y EGRE SEC CENT'!G50</f>
        <v>13024077</v>
      </c>
      <c r="D50" s="749">
        <v>0</v>
      </c>
      <c r="E50" s="655">
        <v>0</v>
      </c>
      <c r="F50" s="627">
        <v>0</v>
      </c>
      <c r="G50" s="653">
        <v>0</v>
      </c>
      <c r="H50" s="655">
        <v>0</v>
      </c>
    </row>
    <row r="51" spans="1:8" s="36" customFormat="1" ht="15">
      <c r="A51" s="8" t="str">
        <f>+'INGR. Y EGRE SEC CENT'!A51</f>
        <v>1.1.3.3.3.3</v>
      </c>
      <c r="B51" s="34" t="str">
        <f>+'INGR. Y EGRE SEC CENT'!B51</f>
        <v>Recibidas de Otras Entidades </v>
      </c>
      <c r="C51" s="748">
        <f>'INGR. Y EGRE SEC CENT'!G51</f>
        <v>0</v>
      </c>
      <c r="D51" s="749">
        <v>0</v>
      </c>
      <c r="E51" s="655">
        <v>0</v>
      </c>
      <c r="F51" s="627">
        <v>0</v>
      </c>
      <c r="G51" s="653">
        <v>0</v>
      </c>
      <c r="H51" s="655">
        <v>0</v>
      </c>
    </row>
    <row r="52" spans="1:8" s="36" customFormat="1" ht="15">
      <c r="A52" s="8" t="str">
        <f>+'INGR. Y EGRE SEC CENT'!A52</f>
        <v>1.1.3.3.3.4</v>
      </c>
      <c r="B52" s="34" t="str">
        <f>+'INGR. Y EGRE SEC CENT'!B52</f>
        <v>Otras</v>
      </c>
      <c r="C52" s="748">
        <f>'INGR. Y EGRE SEC CENT'!G52</f>
        <v>28711666</v>
      </c>
      <c r="D52" s="749">
        <v>0</v>
      </c>
      <c r="E52" s="655">
        <v>0</v>
      </c>
      <c r="F52" s="627">
        <v>0</v>
      </c>
      <c r="G52" s="653">
        <v>0</v>
      </c>
      <c r="H52" s="655">
        <v>0</v>
      </c>
    </row>
    <row r="53" spans="1:8" s="148" customFormat="1" ht="15">
      <c r="A53" s="110">
        <f>+'INGR. Y EGRE SEC CENT'!A53</f>
        <v>1.2</v>
      </c>
      <c r="B53" s="117" t="str">
        <f>+'INGR. Y EGRE SEC CENT'!B53</f>
        <v>RECURSOS  DE CAPITAL</v>
      </c>
      <c r="C53" s="640">
        <f aca="true" t="shared" si="10" ref="C53:H53">+C54+C58+C62+C63+C69+C72+C73+C74+C75</f>
        <v>47153108</v>
      </c>
      <c r="D53" s="752">
        <f t="shared" si="10"/>
        <v>208098485</v>
      </c>
      <c r="E53" s="657">
        <f t="shared" si="10"/>
        <v>208006000</v>
      </c>
      <c r="F53" s="639">
        <f t="shared" si="10"/>
        <v>208016000</v>
      </c>
      <c r="G53" s="656">
        <f t="shared" si="10"/>
        <v>208019000</v>
      </c>
      <c r="H53" s="657">
        <f t="shared" si="10"/>
        <v>208024000</v>
      </c>
    </row>
    <row r="54" spans="1:8" s="36" customFormat="1" ht="15">
      <c r="A54" s="112" t="str">
        <f>+'INGR. Y EGRE SEC CENT'!A54</f>
        <v>1.2.1</v>
      </c>
      <c r="B54" s="113" t="str">
        <f>+'INGR. Y EGRE SEC CENT'!B54</f>
        <v>Recursos del Balance</v>
      </c>
      <c r="C54" s="625">
        <f aca="true" t="shared" si="11" ref="C54:H54">SUM(C55:C57)</f>
        <v>47153108</v>
      </c>
      <c r="D54" s="747">
        <f t="shared" si="11"/>
        <v>0</v>
      </c>
      <c r="E54" s="626">
        <f t="shared" si="11"/>
        <v>0</v>
      </c>
      <c r="F54" s="624">
        <f t="shared" si="11"/>
        <v>0</v>
      </c>
      <c r="G54" s="652">
        <f t="shared" si="11"/>
        <v>0</v>
      </c>
      <c r="H54" s="626">
        <f t="shared" si="11"/>
        <v>0</v>
      </c>
    </row>
    <row r="55" spans="1:8" s="36" customFormat="1" ht="15">
      <c r="A55" s="9" t="str">
        <f>+'INGR. Y EGRE SEC CENT'!A55</f>
        <v>1.2.1.1</v>
      </c>
      <c r="B55" s="14" t="str">
        <f>+'INGR. Y EGRE SEC CENT'!B55</f>
        <v>Superávit</v>
      </c>
      <c r="C55" s="748">
        <f>'INGR. Y EGRE SEC CENT'!G55</f>
        <v>0</v>
      </c>
      <c r="D55" s="749">
        <v>0</v>
      </c>
      <c r="E55" s="655">
        <v>0</v>
      </c>
      <c r="F55" s="627">
        <v>0</v>
      </c>
      <c r="G55" s="653">
        <v>0</v>
      </c>
      <c r="H55" s="655">
        <v>0</v>
      </c>
    </row>
    <row r="56" spans="1:8" s="36" customFormat="1" ht="15">
      <c r="A56" s="9" t="str">
        <f>+'INGR. Y EGRE SEC CENT'!A56</f>
        <v>1.2.1.2</v>
      </c>
      <c r="B56" s="14" t="str">
        <f>+'INGR. Y EGRE SEC CENT'!B56</f>
        <v>Cancelación de Reservas</v>
      </c>
      <c r="C56" s="748">
        <f>'INGR. Y EGRE SEC CENT'!G56</f>
        <v>47153108</v>
      </c>
      <c r="D56" s="749">
        <v>0</v>
      </c>
      <c r="E56" s="655">
        <v>0</v>
      </c>
      <c r="F56" s="627">
        <v>0</v>
      </c>
      <c r="G56" s="653">
        <v>0</v>
      </c>
      <c r="H56" s="655">
        <v>0</v>
      </c>
    </row>
    <row r="57" spans="1:8" s="36" customFormat="1" ht="15">
      <c r="A57" s="9" t="str">
        <f>+'INGR. Y EGRE SEC CENT'!A57</f>
        <v>1.2.1.3</v>
      </c>
      <c r="B57" s="14" t="str">
        <f>+'INGR. Y EGRE SEC CENT'!B57</f>
        <v>Venta de Activos</v>
      </c>
      <c r="C57" s="748">
        <f>'INGR. Y EGRE SEC CENT'!G57</f>
        <v>0</v>
      </c>
      <c r="D57" s="749">
        <v>0</v>
      </c>
      <c r="E57" s="655">
        <v>0</v>
      </c>
      <c r="F57" s="627">
        <v>0</v>
      </c>
      <c r="G57" s="653">
        <v>0</v>
      </c>
      <c r="H57" s="655">
        <v>0</v>
      </c>
    </row>
    <row r="58" spans="1:8" s="36" customFormat="1" ht="15">
      <c r="A58" s="112" t="str">
        <f>+'INGR. Y EGRE SEC CENT'!A58</f>
        <v>1.2.2</v>
      </c>
      <c r="B58" s="113" t="str">
        <f>+'INGR. Y EGRE SEC CENT'!B58</f>
        <v>Recursos de Cofinanciación</v>
      </c>
      <c r="C58" s="642">
        <f aca="true" t="shared" si="12" ref="C58:H58">SUM(C59:C61)</f>
        <v>0</v>
      </c>
      <c r="D58" s="753">
        <f t="shared" si="12"/>
        <v>208096485</v>
      </c>
      <c r="E58" s="658">
        <f t="shared" si="12"/>
        <v>208000000</v>
      </c>
      <c r="F58" s="739">
        <f t="shared" si="12"/>
        <v>208000000</v>
      </c>
      <c r="G58" s="738">
        <f t="shared" si="12"/>
        <v>208000000</v>
      </c>
      <c r="H58" s="740">
        <f t="shared" si="12"/>
        <v>208000000</v>
      </c>
    </row>
    <row r="59" spans="1:8" s="36" customFormat="1" ht="15">
      <c r="A59" s="9" t="str">
        <f>+'INGR. Y EGRE SEC CENT'!A59</f>
        <v>1.2.2.1</v>
      </c>
      <c r="B59" s="151" t="str">
        <f>+'INGR. Y EGRE SEC CENT'!B59</f>
        <v>Recursos del FIS, DRI, FIU y FCV.</v>
      </c>
      <c r="C59" s="748">
        <f>'INGR. Y EGRE SEC CENT'!G59</f>
        <v>0</v>
      </c>
      <c r="D59" s="754">
        <v>208096485</v>
      </c>
      <c r="E59" s="661">
        <v>208000000</v>
      </c>
      <c r="F59" s="643">
        <v>208000000</v>
      </c>
      <c r="G59" s="659">
        <v>208000000</v>
      </c>
      <c r="H59" s="661">
        <v>208000000</v>
      </c>
    </row>
    <row r="60" spans="1:8" s="36" customFormat="1" ht="15">
      <c r="A60" s="9" t="str">
        <f>+'INGR. Y EGRE SEC CENT'!A60</f>
        <v>1.2.2.2</v>
      </c>
      <c r="B60" s="151" t="str">
        <f>+'INGR. Y EGRE SEC CENT'!B60</f>
        <v>Fondo Nacional de Regalías</v>
      </c>
      <c r="C60" s="748">
        <f>'INGR. Y EGRE SEC CENT'!G60</f>
        <v>0</v>
      </c>
      <c r="D60" s="754">
        <v>0</v>
      </c>
      <c r="E60" s="661">
        <v>0</v>
      </c>
      <c r="F60" s="643">
        <v>0</v>
      </c>
      <c r="G60" s="659">
        <v>0</v>
      </c>
      <c r="H60" s="661">
        <v>0</v>
      </c>
    </row>
    <row r="61" spans="1:8" s="36" customFormat="1" ht="15">
      <c r="A61" s="9" t="str">
        <f>+'INGR. Y EGRE SEC CENT'!A61</f>
        <v>1.2.2.3</v>
      </c>
      <c r="B61" s="151" t="str">
        <f>+'INGR. Y EGRE SEC CENT'!B61</f>
        <v>Otros recursos de Cofinanciación</v>
      </c>
      <c r="C61" s="748">
        <f>'INGR. Y EGRE SEC CENT'!G61</f>
        <v>0</v>
      </c>
      <c r="D61" s="754">
        <v>0</v>
      </c>
      <c r="E61" s="661">
        <v>0</v>
      </c>
      <c r="F61" s="643">
        <v>0</v>
      </c>
      <c r="G61" s="659">
        <v>0</v>
      </c>
      <c r="H61" s="661">
        <v>0</v>
      </c>
    </row>
    <row r="62" spans="1:8" s="36" customFormat="1" ht="15">
      <c r="A62" s="9" t="str">
        <f>+'INGR. Y EGRE SEC CENT'!A62</f>
        <v>1.2.3</v>
      </c>
      <c r="B62" s="12" t="str">
        <f>+'INGR. Y EGRE SEC CENT'!B62</f>
        <v>Donaciones</v>
      </c>
      <c r="C62" s="748">
        <f>'INGR. Y EGRE SEC CENT'!G62</f>
        <v>0</v>
      </c>
      <c r="D62" s="749">
        <v>1000</v>
      </c>
      <c r="E62" s="655">
        <v>1000</v>
      </c>
      <c r="F62" s="627">
        <v>1000</v>
      </c>
      <c r="G62" s="653">
        <v>1000</v>
      </c>
      <c r="H62" s="655">
        <v>1000</v>
      </c>
    </row>
    <row r="63" spans="1:8" s="36" customFormat="1" ht="15">
      <c r="A63" s="112" t="s">
        <v>18</v>
      </c>
      <c r="B63" s="113" t="str">
        <f>+'INGR. Y EGRE SEC CENT'!B63</f>
        <v>Regalías</v>
      </c>
      <c r="C63" s="625">
        <f aca="true" t="shared" si="13" ref="C63:H63">SUM(C64:C68)</f>
        <v>0</v>
      </c>
      <c r="D63" s="747">
        <f t="shared" si="13"/>
        <v>0</v>
      </c>
      <c r="E63" s="626">
        <f t="shared" si="13"/>
        <v>0</v>
      </c>
      <c r="F63" s="624">
        <f t="shared" si="13"/>
        <v>0</v>
      </c>
      <c r="G63" s="652">
        <f t="shared" si="13"/>
        <v>0</v>
      </c>
      <c r="H63" s="626">
        <f t="shared" si="13"/>
        <v>0</v>
      </c>
    </row>
    <row r="64" spans="1:8" s="36" customFormat="1" ht="15">
      <c r="A64" s="9" t="str">
        <f>+'INGR. Y EGRE SEC CENT'!A64</f>
        <v>1.2.4.1</v>
      </c>
      <c r="B64" s="151" t="str">
        <f>+'INGR. Y EGRE SEC CENT'!B64</f>
        <v>Anticipos de Regalías</v>
      </c>
      <c r="C64" s="748">
        <f>'INGR. Y EGRE SEC CENT'!G64</f>
        <v>0</v>
      </c>
      <c r="D64" s="749">
        <v>0</v>
      </c>
      <c r="E64" s="653">
        <v>0</v>
      </c>
      <c r="F64" s="653">
        <v>0</v>
      </c>
      <c r="G64" s="653">
        <v>0</v>
      </c>
      <c r="H64" s="655">
        <v>0</v>
      </c>
    </row>
    <row r="65" spans="1:8" s="36" customFormat="1" ht="15">
      <c r="A65" s="9" t="str">
        <f>+'INGR. Y EGRE SEC CENT'!A65</f>
        <v>1.2.4.2</v>
      </c>
      <c r="B65" s="14" t="str">
        <f>+'INGR. Y EGRE SEC CENT'!B65</f>
        <v>Regalías Petroleras</v>
      </c>
      <c r="C65" s="748">
        <f>'INGR. Y EGRE SEC CENT'!G65</f>
        <v>0</v>
      </c>
      <c r="D65" s="749">
        <v>0</v>
      </c>
      <c r="E65" s="653">
        <v>0</v>
      </c>
      <c r="F65" s="653">
        <v>0</v>
      </c>
      <c r="G65" s="653">
        <v>0</v>
      </c>
      <c r="H65" s="655">
        <v>0</v>
      </c>
    </row>
    <row r="66" spans="1:8" s="36" customFormat="1" ht="15">
      <c r="A66" s="9" t="str">
        <f>+'INGR. Y EGRE SEC CENT'!A66</f>
        <v>1.2.4.3</v>
      </c>
      <c r="B66" s="14" t="str">
        <f>+'INGR. Y EGRE SEC CENT'!B66</f>
        <v>Regalías Carboníferas</v>
      </c>
      <c r="C66" s="748">
        <f>'INGR. Y EGRE SEC CENT'!G66</f>
        <v>0</v>
      </c>
      <c r="D66" s="749">
        <v>0</v>
      </c>
      <c r="E66" s="653">
        <v>0</v>
      </c>
      <c r="F66" s="653">
        <v>0</v>
      </c>
      <c r="G66" s="653">
        <v>0</v>
      </c>
      <c r="H66" s="655">
        <v>0</v>
      </c>
    </row>
    <row r="67" spans="1:8" s="36" customFormat="1" ht="15">
      <c r="A67" s="9" t="str">
        <f>+'INGR. Y EGRE SEC CENT'!A67</f>
        <v>1.2.4.4</v>
      </c>
      <c r="B67" s="14" t="str">
        <f>+'INGR. Y EGRE SEC CENT'!B67</f>
        <v>Regalías por Gas</v>
      </c>
      <c r="C67" s="748">
        <f>'INGR. Y EGRE SEC CENT'!G67</f>
        <v>0</v>
      </c>
      <c r="D67" s="749">
        <v>0</v>
      </c>
      <c r="E67" s="653">
        <v>0</v>
      </c>
      <c r="F67" s="653">
        <v>0</v>
      </c>
      <c r="G67" s="653">
        <v>0</v>
      </c>
      <c r="H67" s="655">
        <v>0</v>
      </c>
    </row>
    <row r="68" spans="1:8" s="36" customFormat="1" ht="15">
      <c r="A68" s="9" t="str">
        <f>+'INGR. Y EGRE SEC CENT'!A68</f>
        <v>1.2.4.5</v>
      </c>
      <c r="B68" s="14" t="str">
        <f>+'INGR. Y EGRE SEC CENT'!B68</f>
        <v>Otras Regalías :</v>
      </c>
      <c r="C68" s="748">
        <f>'INGR. Y EGRE SEC CENT'!G68</f>
        <v>0</v>
      </c>
      <c r="D68" s="749">
        <v>0</v>
      </c>
      <c r="E68" s="653">
        <v>0</v>
      </c>
      <c r="F68" s="653">
        <v>0</v>
      </c>
      <c r="G68" s="653">
        <v>0</v>
      </c>
      <c r="H68" s="655">
        <v>0</v>
      </c>
    </row>
    <row r="69" spans="1:8" s="36" customFormat="1" ht="15">
      <c r="A69" s="112" t="str">
        <f>+'INGR. Y EGRE SEC CENT'!A69</f>
        <v>1.2.5</v>
      </c>
      <c r="B69" s="113" t="str">
        <f>+'INGR. Y EGRE SEC CENT'!B69</f>
        <v>Recursos del Crédito (DESEMBOLSOS)</v>
      </c>
      <c r="C69" s="625">
        <f aca="true" t="shared" si="14" ref="C69:H69">SUM(C70:C71)</f>
        <v>0</v>
      </c>
      <c r="D69" s="747">
        <f t="shared" si="14"/>
        <v>0</v>
      </c>
      <c r="E69" s="626">
        <f t="shared" si="14"/>
        <v>0</v>
      </c>
      <c r="F69" s="624">
        <f t="shared" si="14"/>
        <v>0</v>
      </c>
      <c r="G69" s="652">
        <f t="shared" si="14"/>
        <v>0</v>
      </c>
      <c r="H69" s="626">
        <f t="shared" si="14"/>
        <v>0</v>
      </c>
    </row>
    <row r="70" spans="1:8" s="36" customFormat="1" ht="15">
      <c r="A70" s="9" t="str">
        <f>+'INGR. Y EGRE SEC CENT'!A70</f>
        <v>1.2.5.1</v>
      </c>
      <c r="B70" s="14" t="str">
        <f>+'INGR. Y EGRE SEC CENT'!B70</f>
        <v>Desembolsos Crédito Interno</v>
      </c>
      <c r="C70" s="748">
        <f>'INGR. Y EGRE SEC CENT'!G70</f>
        <v>0</v>
      </c>
      <c r="D70" s="749">
        <v>0</v>
      </c>
      <c r="E70" s="653">
        <v>0</v>
      </c>
      <c r="F70" s="653">
        <v>0</v>
      </c>
      <c r="G70" s="653">
        <v>0</v>
      </c>
      <c r="H70" s="655">
        <v>0</v>
      </c>
    </row>
    <row r="71" spans="1:8" s="36" customFormat="1" ht="15">
      <c r="A71" s="9" t="str">
        <f>+'INGR. Y EGRE SEC CENT'!A71</f>
        <v>1.2.5.2</v>
      </c>
      <c r="B71" s="14" t="str">
        <f>+'INGR. Y EGRE SEC CENT'!B71</f>
        <v>Desembolsos Crédito Externo</v>
      </c>
      <c r="C71" s="748">
        <f>'INGR. Y EGRE SEC CENT'!G71</f>
        <v>0</v>
      </c>
      <c r="D71" s="749">
        <v>0</v>
      </c>
      <c r="E71" s="653">
        <v>0</v>
      </c>
      <c r="F71" s="653">
        <v>0</v>
      </c>
      <c r="G71" s="653">
        <v>0</v>
      </c>
      <c r="H71" s="655">
        <v>0</v>
      </c>
    </row>
    <row r="72" spans="1:8" s="36" customFormat="1" ht="15">
      <c r="A72" s="9" t="str">
        <f>+'INGR. Y EGRE SEC CENT'!A72</f>
        <v>1.2.6</v>
      </c>
      <c r="B72" s="12" t="str">
        <f>+'INGR. Y EGRE SEC CENT'!B72</f>
        <v>Rendimientos Financieros</v>
      </c>
      <c r="C72" s="748">
        <f>'INGR. Y EGRE SEC CENT'!G72</f>
        <v>0</v>
      </c>
      <c r="D72" s="749">
        <v>0</v>
      </c>
      <c r="E72" s="653">
        <v>0</v>
      </c>
      <c r="F72" s="653">
        <v>0</v>
      </c>
      <c r="G72" s="653">
        <v>0</v>
      </c>
      <c r="H72" s="655">
        <v>0</v>
      </c>
    </row>
    <row r="73" spans="1:8" s="36" customFormat="1" ht="15">
      <c r="A73" s="9" t="str">
        <f>+'INGR. Y EGRE SEC CENT'!A73</f>
        <v>1.2.7</v>
      </c>
      <c r="B73" s="12" t="str">
        <f>+'INGR. Y EGRE SEC CENT'!B73</f>
        <v>Excedentes Financieros Ent. Descentralizadas</v>
      </c>
      <c r="C73" s="748">
        <f>'INGR. Y EGRE SEC CENT'!G73</f>
        <v>0</v>
      </c>
      <c r="D73" s="749">
        <v>0</v>
      </c>
      <c r="E73" s="653">
        <v>0</v>
      </c>
      <c r="F73" s="653">
        <v>0</v>
      </c>
      <c r="G73" s="653">
        <v>0</v>
      </c>
      <c r="H73" s="655">
        <v>0</v>
      </c>
    </row>
    <row r="74" spans="1:8" s="36" customFormat="1" ht="15">
      <c r="A74" s="9" t="str">
        <f>+'INGR. Y EGRE SEC CENT'!A74</f>
        <v>1.2.8</v>
      </c>
      <c r="B74" s="12" t="str">
        <f>+'INGR. Y EGRE SEC CENT'!B74</f>
        <v>Venta de Activos</v>
      </c>
      <c r="C74" s="748">
        <f>'INGR. Y EGRE SEC CENT'!G74</f>
        <v>0</v>
      </c>
      <c r="D74" s="749">
        <v>0</v>
      </c>
      <c r="E74" s="653">
        <v>0</v>
      </c>
      <c r="F74" s="653">
        <v>0</v>
      </c>
      <c r="G74" s="653">
        <v>0</v>
      </c>
      <c r="H74" s="655">
        <v>0</v>
      </c>
    </row>
    <row r="75" spans="1:8" s="36" customFormat="1" ht="15">
      <c r="A75" s="112" t="str">
        <f>+'INGR. Y EGRE SEC CENT'!A75</f>
        <v>1.2.9</v>
      </c>
      <c r="B75" s="113" t="str">
        <f>+'INGR. Y EGRE SEC CENT'!B75</f>
        <v>Otros Recursos de Capital</v>
      </c>
      <c r="C75" s="625">
        <f aca="true" t="shared" si="15" ref="C75:H75">SUM(C76:C78)</f>
        <v>0</v>
      </c>
      <c r="D75" s="747">
        <f t="shared" si="15"/>
        <v>1000</v>
      </c>
      <c r="E75" s="626">
        <f t="shared" si="15"/>
        <v>5000</v>
      </c>
      <c r="F75" s="624">
        <f t="shared" si="15"/>
        <v>15000</v>
      </c>
      <c r="G75" s="652">
        <f t="shared" si="15"/>
        <v>18000</v>
      </c>
      <c r="H75" s="626">
        <f t="shared" si="15"/>
        <v>23000</v>
      </c>
    </row>
    <row r="76" spans="1:8" s="36" customFormat="1" ht="15">
      <c r="A76" s="9" t="str">
        <f>+'INGR. Y EGRE SEC CENT'!A76</f>
        <v>1.2.9.1</v>
      </c>
      <c r="B76" s="35" t="str">
        <f>+'INGR. Y EGRE SEC CENT'!B76</f>
        <v>Recurso de Capital</v>
      </c>
      <c r="C76" s="748">
        <f>'INGR. Y EGRE SEC CENT'!G76</f>
        <v>0</v>
      </c>
      <c r="D76" s="749">
        <v>0</v>
      </c>
      <c r="E76" s="653">
        <v>0</v>
      </c>
      <c r="F76" s="627"/>
      <c r="G76" s="653">
        <v>0</v>
      </c>
      <c r="H76" s="655">
        <v>0</v>
      </c>
    </row>
    <row r="77" spans="1:8" s="36" customFormat="1" ht="15">
      <c r="A77" s="9" t="str">
        <f>+'INGR. Y EGRE SEC CENT'!A77</f>
        <v>1.2.9.2</v>
      </c>
      <c r="B77" s="79">
        <f>+'INGR. Y EGRE SEC CENT'!B77</f>
        <v>0</v>
      </c>
      <c r="C77" s="748">
        <f>'INGR. Y EGRE SEC CENT'!G77</f>
        <v>0</v>
      </c>
      <c r="D77" s="749">
        <v>0</v>
      </c>
      <c r="E77" s="653">
        <v>0</v>
      </c>
      <c r="F77" s="627"/>
      <c r="G77" s="653">
        <v>0</v>
      </c>
      <c r="H77" s="655">
        <v>0</v>
      </c>
    </row>
    <row r="78" spans="1:8" s="36" customFormat="1" ht="15.75" thickBot="1">
      <c r="A78" s="10" t="str">
        <f>+'INGR. Y EGRE SEC CENT'!A78</f>
        <v>1.2.9.3</v>
      </c>
      <c r="B78" s="78" t="str">
        <f>+'INGR. Y EGRE SEC CENT'!B78</f>
        <v>Otros</v>
      </c>
      <c r="C78" s="755">
        <f>'INGR. Y EGRE SEC CENT'!G78</f>
        <v>0</v>
      </c>
      <c r="D78" s="756">
        <v>1000</v>
      </c>
      <c r="E78" s="664">
        <v>5000</v>
      </c>
      <c r="F78" s="635">
        <v>15000</v>
      </c>
      <c r="G78" s="662">
        <v>18000</v>
      </c>
      <c r="H78" s="664">
        <v>23000</v>
      </c>
    </row>
    <row r="79" spans="1:8" s="36" customFormat="1" ht="15">
      <c r="A79" s="77">
        <f>+'INGR. Y EGRE SEC CENT'!A79</f>
        <v>0</v>
      </c>
      <c r="B79" s="36">
        <f>+'INGR. Y EGRE SEC CENT'!B79</f>
        <v>0</v>
      </c>
      <c r="C79" s="350"/>
      <c r="D79" s="350"/>
      <c r="E79" s="350"/>
      <c r="F79" s="350"/>
      <c r="G79" s="350"/>
      <c r="H79" s="350"/>
    </row>
    <row r="80" spans="1:8" s="36" customFormat="1" ht="15">
      <c r="A80" s="178"/>
      <c r="C80" s="350"/>
      <c r="D80" s="350"/>
      <c r="E80" s="350"/>
      <c r="F80" s="350"/>
      <c r="G80" s="350"/>
      <c r="H80" s="350"/>
    </row>
    <row r="81" spans="1:8" s="36" customFormat="1" ht="15">
      <c r="A81" s="7"/>
      <c r="C81" s="350"/>
      <c r="D81" s="350"/>
      <c r="E81" s="350"/>
      <c r="F81" s="350"/>
      <c r="G81" s="350"/>
      <c r="H81" s="350"/>
    </row>
    <row r="82" spans="1:8" s="36" customFormat="1" ht="18">
      <c r="A82" s="177" t="s">
        <v>154</v>
      </c>
      <c r="C82" s="350" t="s">
        <v>155</v>
      </c>
      <c r="D82" s="350"/>
      <c r="E82" s="350"/>
      <c r="F82" s="350"/>
      <c r="G82" s="350"/>
      <c r="H82" s="350"/>
    </row>
    <row r="83" spans="1:8" s="36" customFormat="1" ht="15">
      <c r="A83" s="95"/>
      <c r="B83" s="118"/>
      <c r="C83" s="118"/>
      <c r="D83" s="119"/>
      <c r="E83" s="119"/>
      <c r="F83" s="119"/>
      <c r="G83" s="120"/>
      <c r="H83" s="118"/>
    </row>
    <row r="84" spans="1:8" s="36" customFormat="1" ht="15.75" thickBot="1">
      <c r="A84" s="94" t="s">
        <v>21</v>
      </c>
      <c r="B84" s="94"/>
      <c r="C84" s="94"/>
      <c r="D84" s="94"/>
      <c r="E84" s="94"/>
      <c r="F84" s="94"/>
      <c r="G84" s="94"/>
      <c r="H84" s="94"/>
    </row>
    <row r="85" spans="1:8" s="36" customFormat="1" ht="15.75" thickBot="1">
      <c r="A85" s="95"/>
      <c r="B85" s="95" t="s">
        <v>157</v>
      </c>
      <c r="C85" s="219" t="str">
        <f>+C2</f>
        <v>ARIGUANI</v>
      </c>
      <c r="D85" s="94"/>
      <c r="E85" s="120" t="s">
        <v>2</v>
      </c>
      <c r="F85" s="146" t="e">
        <f>+F2</f>
        <v>#REF!</v>
      </c>
      <c r="G85" s="94"/>
      <c r="H85" s="94"/>
    </row>
    <row r="86" spans="1:8" s="36" customFormat="1" ht="16.5" thickBot="1">
      <c r="A86" s="96" t="s">
        <v>389</v>
      </c>
      <c r="B86" s="96"/>
      <c r="C86" s="96"/>
      <c r="D86" s="96"/>
      <c r="E86" s="96"/>
      <c r="F86" s="96"/>
      <c r="G86" s="96"/>
      <c r="H86" s="96"/>
    </row>
    <row r="87" spans="1:8" s="36" customFormat="1" ht="15.75" thickBot="1">
      <c r="A87" s="94"/>
      <c r="B87" s="94"/>
      <c r="C87" s="96"/>
      <c r="D87" s="96"/>
      <c r="E87" s="96"/>
      <c r="F87" s="96"/>
      <c r="G87" s="96"/>
      <c r="H87" s="96"/>
    </row>
    <row r="88" spans="1:8" ht="29.25" customHeight="1" thickBot="1">
      <c r="A88" s="97" t="s">
        <v>4</v>
      </c>
      <c r="B88" s="98"/>
      <c r="C88" s="104">
        <v>1998</v>
      </c>
      <c r="D88" s="140">
        <v>1999</v>
      </c>
      <c r="E88" s="121">
        <v>2000</v>
      </c>
      <c r="F88" s="105">
        <v>2001</v>
      </c>
      <c r="G88" s="106">
        <v>2002</v>
      </c>
      <c r="H88" s="107">
        <v>2003</v>
      </c>
    </row>
    <row r="89" spans="1:8" s="80" customFormat="1" ht="15.75">
      <c r="A89" s="122">
        <f>+'INGR. Y EGRE SEC CENT'!A89</f>
        <v>2</v>
      </c>
      <c r="B89" s="123" t="str">
        <f>+'INGR. Y EGRE SEC CENT'!B89</f>
        <v>TOTAL GASTOS</v>
      </c>
      <c r="C89" s="665">
        <f aca="true" t="shared" si="16" ref="C89:H89">+C90+C142+C151+C154</f>
        <v>1482241037</v>
      </c>
      <c r="D89" s="666">
        <f t="shared" si="16"/>
        <v>1664073313</v>
      </c>
      <c r="E89" s="667">
        <f t="shared" si="16"/>
        <v>1663817135</v>
      </c>
      <c r="F89" s="665">
        <f t="shared" si="16"/>
        <v>1671833327</v>
      </c>
      <c r="G89" s="666">
        <f t="shared" si="16"/>
        <v>1673148297</v>
      </c>
      <c r="H89" s="667">
        <f t="shared" si="16"/>
        <v>1688829384</v>
      </c>
    </row>
    <row r="90" spans="1:8" s="92" customFormat="1" ht="15">
      <c r="A90" s="126">
        <f>+'INGR. Y EGRE SEC CENT'!A90</f>
        <v>2.1</v>
      </c>
      <c r="B90" s="127" t="str">
        <f>+'INGR. Y EGRE SEC CENT'!B90</f>
        <v>GASTOS DE FUNCIONAMIENTO</v>
      </c>
      <c r="C90" s="668">
        <f aca="true" t="shared" si="17" ref="C90:H90">+C91+C114+C118</f>
        <v>914672608</v>
      </c>
      <c r="D90" s="669">
        <f t="shared" si="17"/>
        <v>970477433</v>
      </c>
      <c r="E90" s="670">
        <f t="shared" si="17"/>
        <v>970477433</v>
      </c>
      <c r="F90" s="668">
        <f t="shared" si="17"/>
        <v>966097283</v>
      </c>
      <c r="G90" s="669">
        <f t="shared" si="17"/>
        <v>1004346540</v>
      </c>
      <c r="H90" s="670">
        <f t="shared" si="17"/>
        <v>988665371</v>
      </c>
    </row>
    <row r="91" spans="1:8" s="93" customFormat="1" ht="12.75">
      <c r="A91" s="130" t="str">
        <f>+'INGR. Y EGRE SEC CENT'!A91</f>
        <v>2.1.1</v>
      </c>
      <c r="B91" s="131" t="str">
        <f>+'INGR. Y EGRE SEC CENT'!B91</f>
        <v>GASTOS DE PERSONAL</v>
      </c>
      <c r="C91" s="671">
        <f aca="true" t="shared" si="18" ref="C91:H91">+C92+C101+C104+C113</f>
        <v>506112343</v>
      </c>
      <c r="D91" s="672">
        <f t="shared" si="18"/>
        <v>659789023</v>
      </c>
      <c r="E91" s="673">
        <f t="shared" si="18"/>
        <v>659789023</v>
      </c>
      <c r="F91" s="671">
        <f t="shared" si="18"/>
        <v>696348667</v>
      </c>
      <c r="G91" s="672">
        <f t="shared" si="18"/>
        <v>725247924</v>
      </c>
      <c r="H91" s="673">
        <f t="shared" si="18"/>
        <v>676438921</v>
      </c>
    </row>
    <row r="92" spans="1:8" ht="15">
      <c r="A92" s="114" t="str">
        <f>+'INGR. Y EGRE SEC CENT'!A92</f>
        <v>2.1.1.1</v>
      </c>
      <c r="B92" s="113" t="str">
        <f>+'INGR. Y EGRE SEC CENT'!B92</f>
        <v>Servicios Personales Asociados a la Nomina</v>
      </c>
      <c r="C92" s="671">
        <f aca="true" t="shared" si="19" ref="C92:H92">+C93+C100</f>
        <v>465584991</v>
      </c>
      <c r="D92" s="672">
        <f t="shared" si="19"/>
        <v>606647049</v>
      </c>
      <c r="E92" s="673">
        <f t="shared" si="19"/>
        <v>606647049</v>
      </c>
      <c r="F92" s="671">
        <f t="shared" si="19"/>
        <v>640586637</v>
      </c>
      <c r="G92" s="672">
        <f t="shared" si="19"/>
        <v>667091753</v>
      </c>
      <c r="H92" s="673">
        <f t="shared" si="19"/>
        <v>612156010</v>
      </c>
    </row>
    <row r="93" spans="1:8" ht="15">
      <c r="A93" s="114" t="str">
        <f>+'INGR. Y EGRE SEC CENT'!A93</f>
        <v>2.1.1.1.1</v>
      </c>
      <c r="B93" s="113" t="str">
        <f>+'INGR. Y EGRE SEC CENT'!B93</f>
        <v>Empleados Públicos</v>
      </c>
      <c r="C93" s="671">
        <f aca="true" t="shared" si="20" ref="C93:H93">SUM(C98:C99)+C94</f>
        <v>465584991</v>
      </c>
      <c r="D93" s="672">
        <f t="shared" si="20"/>
        <v>606647049</v>
      </c>
      <c r="E93" s="673">
        <f t="shared" si="20"/>
        <v>606647049</v>
      </c>
      <c r="F93" s="671">
        <f t="shared" si="20"/>
        <v>640586637</v>
      </c>
      <c r="G93" s="672">
        <f t="shared" si="20"/>
        <v>667091753</v>
      </c>
      <c r="H93" s="673">
        <f t="shared" si="20"/>
        <v>612156010</v>
      </c>
    </row>
    <row r="94" spans="1:8" ht="15">
      <c r="A94" s="114" t="str">
        <f>+'INGR. Y EGRE SEC CENT'!A94</f>
        <v>2.1.1.1.1.1</v>
      </c>
      <c r="B94" s="113" t="str">
        <f>+'INGR. Y EGRE SEC CENT'!B94</f>
        <v>Educadores</v>
      </c>
      <c r="C94" s="671">
        <f aca="true" t="shared" si="21" ref="C94:H94">SUM(C95:C97)</f>
        <v>147896924</v>
      </c>
      <c r="D94" s="672">
        <f t="shared" si="21"/>
        <v>203747451</v>
      </c>
      <c r="E94" s="673">
        <f t="shared" si="21"/>
        <v>203747451</v>
      </c>
      <c r="F94" s="671">
        <f t="shared" si="21"/>
        <v>224122196</v>
      </c>
      <c r="G94" s="672">
        <f t="shared" si="21"/>
        <v>224122196</v>
      </c>
      <c r="H94" s="673">
        <f t="shared" si="21"/>
        <v>251016859</v>
      </c>
    </row>
    <row r="95" spans="1:8" ht="15">
      <c r="A95" s="8" t="str">
        <f>+'INGR. Y EGRE SEC CENT'!A95</f>
        <v>2.1.1.1.1.1.1</v>
      </c>
      <c r="B95" s="14" t="str">
        <f>+'INGR. Y EGRE SEC CENT'!B95</f>
        <v>Educadores Financiados con Ingresos Corrientes de la Nación</v>
      </c>
      <c r="C95" s="627">
        <v>147896924</v>
      </c>
      <c r="D95" s="743">
        <v>203747451</v>
      </c>
      <c r="E95" s="744">
        <v>203747451</v>
      </c>
      <c r="F95" s="742">
        <v>224122196</v>
      </c>
      <c r="G95" s="743">
        <v>224122196</v>
      </c>
      <c r="H95" s="744">
        <v>251016859</v>
      </c>
    </row>
    <row r="96" spans="1:8" ht="15">
      <c r="A96" s="8" t="str">
        <f>+'INGR. Y EGRE SEC CENT'!A96</f>
        <v>2.1.1.1.1.1.2</v>
      </c>
      <c r="B96" s="14" t="str">
        <f>+'INGR. Y EGRE SEC CENT'!B96</f>
        <v>Educadores Financiados con Situado Fiscal</v>
      </c>
      <c r="C96" s="627">
        <v>0</v>
      </c>
      <c r="D96" s="743">
        <v>0</v>
      </c>
      <c r="E96" s="744">
        <v>0</v>
      </c>
      <c r="F96" s="742">
        <v>0</v>
      </c>
      <c r="G96" s="743">
        <v>0</v>
      </c>
      <c r="H96" s="744">
        <v>0</v>
      </c>
    </row>
    <row r="97" spans="1:8" ht="15">
      <c r="A97" s="8" t="str">
        <f>+'INGR. Y EGRE SEC CENT'!A97</f>
        <v>2.1.1.1.1.1.3</v>
      </c>
      <c r="B97" s="14" t="str">
        <f>+'INGR. Y EGRE SEC CENT'!B97</f>
        <v>Educadores Financiados con Otros Recursos</v>
      </c>
      <c r="C97" s="627">
        <v>0</v>
      </c>
      <c r="D97" s="743">
        <v>0</v>
      </c>
      <c r="E97" s="744">
        <v>0</v>
      </c>
      <c r="F97" s="742">
        <v>0</v>
      </c>
      <c r="G97" s="743">
        <v>0</v>
      </c>
      <c r="H97" s="744">
        <v>0</v>
      </c>
    </row>
    <row r="98" spans="1:8" ht="15">
      <c r="A98" s="8" t="str">
        <f>+'INGR. Y EGRE SEC CENT'!A98</f>
        <v>2.1.1.1.1.2</v>
      </c>
      <c r="B98" s="14" t="str">
        <f>+'INGR. Y EGRE SEC CENT'!B98</f>
        <v>Médicos, Enfermeros(as) y Promotores de la Salud</v>
      </c>
      <c r="C98" s="627">
        <v>99541411</v>
      </c>
      <c r="D98" s="675">
        <v>137848437</v>
      </c>
      <c r="E98" s="676">
        <v>137848437</v>
      </c>
      <c r="F98" s="674">
        <v>151413280</v>
      </c>
      <c r="G98" s="675">
        <v>151413280</v>
      </c>
      <c r="H98" s="676">
        <v>169582874</v>
      </c>
    </row>
    <row r="99" spans="1:8" ht="15">
      <c r="A99" s="8" t="str">
        <f>+'INGR. Y EGRE SEC CENT'!A99</f>
        <v>2.1.1.1.1.3</v>
      </c>
      <c r="B99" s="14" t="str">
        <f>+'INGR. Y EGRE SEC CENT'!B99</f>
        <v>Resto de Empleados Públicos</v>
      </c>
      <c r="C99" s="627">
        <v>218146656</v>
      </c>
      <c r="D99" s="675">
        <v>265051161</v>
      </c>
      <c r="E99" s="676">
        <v>265051161</v>
      </c>
      <c r="F99" s="674">
        <v>265051161</v>
      </c>
      <c r="G99" s="675">
        <v>291556277</v>
      </c>
      <c r="H99" s="676">
        <v>191556277</v>
      </c>
    </row>
    <row r="100" spans="1:8" ht="15">
      <c r="A100" s="8" t="str">
        <f>+'INGR. Y EGRE SEC CENT'!A100</f>
        <v>2.1.1.1.2</v>
      </c>
      <c r="B100" s="12" t="str">
        <f>+'INGR. Y EGRE SEC CENT'!B100</f>
        <v>Trabajadores Oficiales</v>
      </c>
      <c r="C100" s="627">
        <v>0</v>
      </c>
      <c r="D100" s="675">
        <v>0</v>
      </c>
      <c r="E100" s="676">
        <v>0</v>
      </c>
      <c r="F100" s="674">
        <v>0</v>
      </c>
      <c r="G100" s="675">
        <v>0</v>
      </c>
      <c r="H100" s="676">
        <v>0</v>
      </c>
    </row>
    <row r="101" spans="1:8" ht="15">
      <c r="A101" s="114" t="str">
        <f>+'INGR. Y EGRE SEC CENT'!A101</f>
        <v>2.1.1.2</v>
      </c>
      <c r="B101" s="113" t="str">
        <f>+'INGR. Y EGRE SEC CENT'!B101</f>
        <v>Servicios Personales Indirectos </v>
      </c>
      <c r="C101" s="671">
        <f aca="true" t="shared" si="22" ref="C101:H101">SUM(C102:C103)</f>
        <v>24361745</v>
      </c>
      <c r="D101" s="672">
        <f t="shared" si="22"/>
        <v>9000000</v>
      </c>
      <c r="E101" s="673">
        <f t="shared" si="22"/>
        <v>9000000</v>
      </c>
      <c r="F101" s="671">
        <f t="shared" si="22"/>
        <v>9600000</v>
      </c>
      <c r="G101" s="672">
        <f t="shared" si="22"/>
        <v>9600000</v>
      </c>
      <c r="H101" s="673">
        <f t="shared" si="22"/>
        <v>9900000</v>
      </c>
    </row>
    <row r="102" spans="1:8" ht="15">
      <c r="A102" s="8" t="str">
        <f>+'INGR. Y EGRE SEC CENT'!A102</f>
        <v>2.1.1.2.1</v>
      </c>
      <c r="B102" s="14" t="str">
        <f>+'INGR. Y EGRE SEC CENT'!B102</f>
        <v>Supernumerarios</v>
      </c>
      <c r="C102" s="627">
        <v>4859594</v>
      </c>
      <c r="D102" s="675">
        <v>3000000</v>
      </c>
      <c r="E102" s="676">
        <v>3000000</v>
      </c>
      <c r="F102" s="674">
        <v>3000000</v>
      </c>
      <c r="G102" s="675">
        <v>3000000</v>
      </c>
      <c r="H102" s="676">
        <v>3300000</v>
      </c>
    </row>
    <row r="103" spans="1:8" ht="15">
      <c r="A103" s="8" t="str">
        <f>+'INGR. Y EGRE SEC CENT'!A103</f>
        <v>2.1.1.2.2</v>
      </c>
      <c r="B103" s="14" t="str">
        <f>+'INGR. Y EGRE SEC CENT'!B103</f>
        <v>Contratos de Prestación de Servicios</v>
      </c>
      <c r="C103" s="627">
        <v>19502151</v>
      </c>
      <c r="D103" s="675">
        <v>6000000</v>
      </c>
      <c r="E103" s="676">
        <v>6000000</v>
      </c>
      <c r="F103" s="674">
        <v>6600000</v>
      </c>
      <c r="G103" s="675">
        <v>6600000</v>
      </c>
      <c r="H103" s="676">
        <v>6600000</v>
      </c>
    </row>
    <row r="104" spans="1:8" ht="15">
      <c r="A104" s="114" t="str">
        <f>+'INGR. Y EGRE SEC CENT'!A104</f>
        <v>2.1.1.3</v>
      </c>
      <c r="B104" s="113" t="str">
        <f>+'INGR. Y EGRE SEC CENT'!B104</f>
        <v>Contribuciones inherentes a la nomina :</v>
      </c>
      <c r="C104" s="671">
        <f aca="true" t="shared" si="23" ref="C104:H104">+C105+C112</f>
        <v>16165607</v>
      </c>
      <c r="D104" s="672">
        <f t="shared" si="23"/>
        <v>44141974</v>
      </c>
      <c r="E104" s="673">
        <f t="shared" si="23"/>
        <v>44141974</v>
      </c>
      <c r="F104" s="671">
        <f t="shared" si="23"/>
        <v>46162030</v>
      </c>
      <c r="G104" s="672">
        <f t="shared" si="23"/>
        <v>48556171</v>
      </c>
      <c r="H104" s="673">
        <f t="shared" si="23"/>
        <v>54382911</v>
      </c>
    </row>
    <row r="105" spans="1:8" ht="15">
      <c r="A105" s="114" t="str">
        <f>+'INGR. Y EGRE SEC CENT'!A105</f>
        <v>2.1.1.3.1</v>
      </c>
      <c r="B105" s="113" t="str">
        <f>+'INGR. Y EGRE SEC CENT'!B105</f>
        <v>Previsión Social</v>
      </c>
      <c r="C105" s="671">
        <f aca="true" t="shared" si="24" ref="C105:H105">+C106+C110+C111</f>
        <v>9999851</v>
      </c>
      <c r="D105" s="672">
        <f t="shared" si="24"/>
        <v>20200564</v>
      </c>
      <c r="E105" s="673">
        <f t="shared" si="24"/>
        <v>20200564</v>
      </c>
      <c r="F105" s="671">
        <f t="shared" si="24"/>
        <v>22220620</v>
      </c>
      <c r="G105" s="672">
        <f t="shared" si="24"/>
        <v>22220620</v>
      </c>
      <c r="H105" s="673">
        <f t="shared" si="24"/>
        <v>24887094</v>
      </c>
    </row>
    <row r="106" spans="1:8" ht="15">
      <c r="A106" s="114" t="str">
        <f>+'INGR. Y EGRE SEC CENT'!A106</f>
        <v>2.1.1.3.1.1</v>
      </c>
      <c r="B106" s="113" t="str">
        <f>+'INGR. Y EGRE SEC CENT'!B106</f>
        <v>Empleados Públicos</v>
      </c>
      <c r="C106" s="671">
        <f aca="true" t="shared" si="25" ref="C106:H106">SUM(C107:C109)</f>
        <v>0</v>
      </c>
      <c r="D106" s="672">
        <f t="shared" si="25"/>
        <v>0</v>
      </c>
      <c r="E106" s="673">
        <f t="shared" si="25"/>
        <v>0</v>
      </c>
      <c r="F106" s="671">
        <f t="shared" si="25"/>
        <v>0</v>
      </c>
      <c r="G106" s="672">
        <f t="shared" si="25"/>
        <v>0</v>
      </c>
      <c r="H106" s="673">
        <f t="shared" si="25"/>
        <v>0</v>
      </c>
    </row>
    <row r="107" spans="1:8" ht="15">
      <c r="A107" s="8" t="str">
        <f>+'INGR. Y EGRE SEC CENT'!A107</f>
        <v>2.1.1.3.1.1.1</v>
      </c>
      <c r="B107" s="14" t="str">
        <f>+'INGR. Y EGRE SEC CENT'!B107</f>
        <v>Educadores</v>
      </c>
      <c r="C107" s="627">
        <v>0</v>
      </c>
      <c r="D107" s="675">
        <v>0</v>
      </c>
      <c r="E107" s="676">
        <v>0</v>
      </c>
      <c r="F107" s="676">
        <v>0</v>
      </c>
      <c r="G107" s="676">
        <v>0</v>
      </c>
      <c r="H107" s="676">
        <v>0</v>
      </c>
    </row>
    <row r="108" spans="1:8" ht="15">
      <c r="A108" s="8" t="str">
        <f>+'INGR. Y EGRE SEC CENT'!A108</f>
        <v>2.1.1.3.1.1.2</v>
      </c>
      <c r="B108" s="14" t="str">
        <f>+'INGR. Y EGRE SEC CENT'!B108</f>
        <v>Médicos, Enfermeros(as) y Promotores de la Salud</v>
      </c>
      <c r="C108" s="627">
        <v>0</v>
      </c>
      <c r="D108" s="675">
        <v>0</v>
      </c>
      <c r="E108" s="676">
        <v>0</v>
      </c>
      <c r="F108" s="676">
        <v>0</v>
      </c>
      <c r="G108" s="676">
        <v>0</v>
      </c>
      <c r="H108" s="676">
        <v>0</v>
      </c>
    </row>
    <row r="109" spans="1:8" ht="15">
      <c r="A109" s="8" t="str">
        <f>+'INGR. Y EGRE SEC CENT'!A109</f>
        <v>2.1.1.3.1.1.3</v>
      </c>
      <c r="B109" s="14" t="str">
        <f>+'INGR. Y EGRE SEC CENT'!B109</f>
        <v>Resto de Empleados Públicos</v>
      </c>
      <c r="C109" s="627">
        <v>0</v>
      </c>
      <c r="D109" s="675">
        <v>0</v>
      </c>
      <c r="E109" s="676">
        <v>0</v>
      </c>
      <c r="F109" s="676">
        <v>0</v>
      </c>
      <c r="G109" s="676">
        <v>0</v>
      </c>
      <c r="H109" s="676">
        <v>0</v>
      </c>
    </row>
    <row r="110" spans="1:8" ht="15">
      <c r="A110" s="8" t="str">
        <f>+'INGR. Y EGRE SEC CENT'!A110</f>
        <v>2.1.1.3.1.2</v>
      </c>
      <c r="B110" s="12" t="str">
        <f>+'INGR. Y EGRE SEC CENT'!B110</f>
        <v>Supernumerarios</v>
      </c>
      <c r="C110" s="627">
        <v>9999851</v>
      </c>
      <c r="D110" s="675">
        <v>0</v>
      </c>
      <c r="E110" s="676">
        <v>0</v>
      </c>
      <c r="F110" s="676">
        <v>0</v>
      </c>
      <c r="G110" s="676">
        <v>0</v>
      </c>
      <c r="H110" s="676">
        <v>0</v>
      </c>
    </row>
    <row r="111" spans="1:8" ht="15">
      <c r="A111" s="8" t="str">
        <f>+'INGR. Y EGRE SEC CENT'!A111</f>
        <v>2.1.1.3.1.3</v>
      </c>
      <c r="B111" s="12" t="str">
        <f>+'INGR. Y EGRE SEC CENT'!B111</f>
        <v>Trabajadores Oficiales</v>
      </c>
      <c r="C111" s="627">
        <v>0</v>
      </c>
      <c r="D111" s="675">
        <v>20200564</v>
      </c>
      <c r="E111" s="676">
        <v>20200564</v>
      </c>
      <c r="F111" s="674">
        <v>22220620</v>
      </c>
      <c r="G111" s="675">
        <v>22220620</v>
      </c>
      <c r="H111" s="676">
        <v>24887094</v>
      </c>
    </row>
    <row r="112" spans="1:8" ht="15">
      <c r="A112" s="8" t="str">
        <f>+'INGR. Y EGRE SEC CENT'!A112</f>
        <v>2.1.1.3.2</v>
      </c>
      <c r="B112" s="12" t="str">
        <f>+'INGR. Y EGRE SEC CENT'!B112</f>
        <v>Aportes Legales (Sena, ICBF, Cajas Compensación, etc)</v>
      </c>
      <c r="C112" s="627">
        <v>6165756</v>
      </c>
      <c r="D112" s="675">
        <v>23941410</v>
      </c>
      <c r="E112" s="675">
        <v>23941410</v>
      </c>
      <c r="F112" s="675">
        <v>23941410</v>
      </c>
      <c r="G112" s="675">
        <v>26335551</v>
      </c>
      <c r="H112" s="676">
        <v>29495817</v>
      </c>
    </row>
    <row r="113" spans="1:8" ht="15">
      <c r="A113" s="8" t="str">
        <f>+'INGR. Y EGRE SEC CENT'!A113</f>
        <v>2.1.1.4</v>
      </c>
      <c r="B113" s="12" t="str">
        <f>+'INGR. Y EGRE SEC CENT'!B113</f>
        <v>Planes de Retiro</v>
      </c>
      <c r="C113" s="627">
        <v>0</v>
      </c>
      <c r="D113" s="675">
        <v>0</v>
      </c>
      <c r="E113" s="676">
        <v>0</v>
      </c>
      <c r="F113" s="676">
        <v>0</v>
      </c>
      <c r="G113" s="676">
        <v>0</v>
      </c>
      <c r="H113" s="676">
        <v>0</v>
      </c>
    </row>
    <row r="114" spans="1:8" ht="15">
      <c r="A114" s="130" t="str">
        <f>+'INGR. Y EGRE SEC CENT'!A114</f>
        <v>2.1.2</v>
      </c>
      <c r="B114" s="113" t="str">
        <f>+'INGR. Y EGRE SEC CENT'!B114</f>
        <v>GASTOS GENERALES</v>
      </c>
      <c r="C114" s="671">
        <f aca="true" t="shared" si="26" ref="C114:H114">SUM(C115:C117)</f>
        <v>133719616</v>
      </c>
      <c r="D114" s="672">
        <f t="shared" si="26"/>
        <v>93500000</v>
      </c>
      <c r="E114" s="673">
        <f t="shared" si="26"/>
        <v>93500000</v>
      </c>
      <c r="F114" s="671">
        <f t="shared" si="26"/>
        <v>93500000</v>
      </c>
      <c r="G114" s="672">
        <f t="shared" si="26"/>
        <v>102850000</v>
      </c>
      <c r="H114" s="673">
        <f t="shared" si="26"/>
        <v>115192000</v>
      </c>
    </row>
    <row r="115" spans="1:8" ht="15">
      <c r="A115" s="13" t="str">
        <f>+'INGR. Y EGRE SEC CENT'!A115</f>
        <v>2.1.2.1</v>
      </c>
      <c r="B115" s="14" t="str">
        <f>+'INGR. Y EGRE SEC CENT'!B115</f>
        <v>Adquisición de Bienes y Servicios</v>
      </c>
      <c r="C115" s="627">
        <v>133719616</v>
      </c>
      <c r="D115" s="675">
        <v>93500000</v>
      </c>
      <c r="E115" s="675">
        <v>93500000</v>
      </c>
      <c r="F115" s="675">
        <v>93500000</v>
      </c>
      <c r="G115" s="675">
        <v>102850000</v>
      </c>
      <c r="H115" s="676">
        <v>115192000</v>
      </c>
    </row>
    <row r="116" spans="1:8" ht="15">
      <c r="A116" s="13" t="str">
        <f>+'INGR. Y EGRE SEC CENT'!A116</f>
        <v>2.1.2.2</v>
      </c>
      <c r="B116" s="14" t="str">
        <f>+'INGR. Y EGRE SEC CENT'!B116</f>
        <v>Impuestos y  Multas </v>
      </c>
      <c r="C116" s="675">
        <v>0</v>
      </c>
      <c r="D116" s="675">
        <v>0</v>
      </c>
      <c r="E116" s="675">
        <v>0</v>
      </c>
      <c r="F116" s="675">
        <v>0</v>
      </c>
      <c r="G116" s="675">
        <v>0</v>
      </c>
      <c r="H116" s="675">
        <v>0</v>
      </c>
    </row>
    <row r="117" spans="1:8" ht="15">
      <c r="A117" s="13" t="str">
        <f>+'INGR. Y EGRE SEC CENT'!A117</f>
        <v>2.1.2.3</v>
      </c>
      <c r="B117" s="14" t="str">
        <f>+'INGR. Y EGRE SEC CENT'!B117</f>
        <v>Otros Gastos Generales </v>
      </c>
      <c r="C117" s="675">
        <v>0</v>
      </c>
      <c r="D117" s="675">
        <v>0</v>
      </c>
      <c r="E117" s="675">
        <v>0</v>
      </c>
      <c r="F117" s="675">
        <v>0</v>
      </c>
      <c r="G117" s="675">
        <v>0</v>
      </c>
      <c r="H117" s="675">
        <v>0</v>
      </c>
    </row>
    <row r="118" spans="1:8" s="92" customFormat="1" ht="15">
      <c r="A118" s="126" t="str">
        <f>+'INGR. Y EGRE SEC CENT'!A118</f>
        <v>2.1.3</v>
      </c>
      <c r="B118" s="116" t="str">
        <f>+'INGR. Y EGRE SEC CENT'!B118</f>
        <v>TRANSFERENCIAS DEL MUNICIPIO</v>
      </c>
      <c r="C118" s="668">
        <f aca="true" t="shared" si="27" ref="C118:H118">+C119+C125+C131+C137</f>
        <v>274840649</v>
      </c>
      <c r="D118" s="669">
        <f t="shared" si="27"/>
        <v>217188410</v>
      </c>
      <c r="E118" s="670">
        <f t="shared" si="27"/>
        <v>217188410</v>
      </c>
      <c r="F118" s="668">
        <f t="shared" si="27"/>
        <v>176248616</v>
      </c>
      <c r="G118" s="669">
        <f t="shared" si="27"/>
        <v>176248616</v>
      </c>
      <c r="H118" s="670">
        <f t="shared" si="27"/>
        <v>197034450</v>
      </c>
    </row>
    <row r="119" spans="1:8" ht="15">
      <c r="A119" s="130" t="str">
        <f>+'INGR. Y EGRE SEC CENT'!A119</f>
        <v>2.1.3.1</v>
      </c>
      <c r="B119" s="113" t="str">
        <f>+'INGR. Y EGRE SEC CENT'!B119</f>
        <v>Transferencias al Sector Público</v>
      </c>
      <c r="C119" s="671">
        <f aca="true" t="shared" si="28" ref="C119:H119">SUM(C120:C124)</f>
        <v>214912607</v>
      </c>
      <c r="D119" s="672">
        <f t="shared" si="28"/>
        <v>134310910</v>
      </c>
      <c r="E119" s="673">
        <f t="shared" si="28"/>
        <v>134310910</v>
      </c>
      <c r="F119" s="671">
        <f t="shared" si="28"/>
        <v>85583366</v>
      </c>
      <c r="G119" s="672">
        <f t="shared" si="28"/>
        <v>85583366</v>
      </c>
      <c r="H119" s="673">
        <f t="shared" si="28"/>
        <v>95853370</v>
      </c>
    </row>
    <row r="120" spans="1:8" ht="15">
      <c r="A120" s="13" t="str">
        <f>+'INGR. Y EGRE SEC CENT'!A120</f>
        <v>2.1.3.1.1</v>
      </c>
      <c r="B120" s="14" t="str">
        <f>+'INGR. Y EGRE SEC CENT'!B120</f>
        <v>Concejo</v>
      </c>
      <c r="C120" s="627">
        <v>73319003</v>
      </c>
      <c r="D120" s="743">
        <v>39611249</v>
      </c>
      <c r="E120" s="743">
        <v>39611249</v>
      </c>
      <c r="F120" s="742">
        <v>43792428</v>
      </c>
      <c r="G120" s="743">
        <v>43792428</v>
      </c>
      <c r="H120" s="744">
        <v>49047520</v>
      </c>
    </row>
    <row r="121" spans="1:8" ht="15">
      <c r="A121" s="13" t="str">
        <f>+'INGR. Y EGRE SEC CENT'!A121</f>
        <v>2.1.3.1.2</v>
      </c>
      <c r="B121" s="14" t="str">
        <f>+'INGR. Y EGRE SEC CENT'!B121</f>
        <v>Personería</v>
      </c>
      <c r="C121" s="627">
        <v>42837693</v>
      </c>
      <c r="D121" s="675">
        <v>37991762</v>
      </c>
      <c r="E121" s="676">
        <v>37991762</v>
      </c>
      <c r="F121" s="674">
        <v>41790938</v>
      </c>
      <c r="G121" s="675">
        <v>41790938</v>
      </c>
      <c r="H121" s="676">
        <v>46805850</v>
      </c>
    </row>
    <row r="122" spans="1:8" ht="15">
      <c r="A122" s="13" t="str">
        <f>+'INGR. Y EGRE SEC CENT'!A122</f>
        <v>2.1.3.1.3</v>
      </c>
      <c r="B122" s="14" t="str">
        <f>+'INGR. Y EGRE SEC CENT'!B122</f>
        <v>Contraloría</v>
      </c>
      <c r="C122" s="627">
        <v>61239323</v>
      </c>
      <c r="D122" s="675">
        <v>56707899</v>
      </c>
      <c r="E122" s="676">
        <v>56707899</v>
      </c>
      <c r="F122" s="674">
        <v>0</v>
      </c>
      <c r="G122" s="675">
        <v>0</v>
      </c>
      <c r="H122" s="676">
        <v>0</v>
      </c>
    </row>
    <row r="123" spans="1:8" ht="15">
      <c r="A123" s="13" t="str">
        <f>+'INGR. Y EGRE SEC CENT'!A123</f>
        <v>2.1.3.1.4</v>
      </c>
      <c r="B123" s="14" t="str">
        <f>+'INGR. Y EGRE SEC CENT'!B123</f>
        <v>Entidades Descentralizadas (Especificar en Anexo)</v>
      </c>
      <c r="C123" s="627">
        <v>0</v>
      </c>
      <c r="D123" s="675">
        <v>0</v>
      </c>
      <c r="E123" s="676">
        <v>0</v>
      </c>
      <c r="F123" s="674">
        <v>0</v>
      </c>
      <c r="G123" s="675">
        <v>0</v>
      </c>
      <c r="H123" s="676">
        <v>0</v>
      </c>
    </row>
    <row r="124" spans="1:8" ht="15">
      <c r="A124" s="13" t="str">
        <f>+'INGR. Y EGRE SEC CENT'!A124</f>
        <v>2.1.3.1.5</v>
      </c>
      <c r="B124" s="14" t="str">
        <f>+'INGR. Y EGRE SEC CENT'!B124</f>
        <v>Otras Entidades (Especificar en Anexo)</v>
      </c>
      <c r="C124" s="627">
        <v>37516588</v>
      </c>
      <c r="D124" s="675">
        <v>0</v>
      </c>
      <c r="E124" s="676">
        <v>0</v>
      </c>
      <c r="F124" s="674">
        <v>0</v>
      </c>
      <c r="G124" s="675">
        <v>0</v>
      </c>
      <c r="H124" s="676">
        <v>0</v>
      </c>
    </row>
    <row r="125" spans="1:8" ht="15">
      <c r="A125" s="130" t="str">
        <f>+'INGR. Y EGRE SEC CENT'!A125</f>
        <v>2.1.3.2</v>
      </c>
      <c r="B125" s="113" t="str">
        <f>+'INGR. Y EGRE SEC CENT'!B125</f>
        <v>Transferencias al Fondo Territorial de Pensiones</v>
      </c>
      <c r="C125" s="671">
        <f aca="true" t="shared" si="29" ref="C125:H125">+C126+C130</f>
        <v>37368968</v>
      </c>
      <c r="D125" s="672">
        <f t="shared" si="29"/>
        <v>53877500</v>
      </c>
      <c r="E125" s="673">
        <f t="shared" si="29"/>
        <v>53877500</v>
      </c>
      <c r="F125" s="671">
        <f t="shared" si="29"/>
        <v>59265250</v>
      </c>
      <c r="G125" s="672">
        <f t="shared" si="29"/>
        <v>59265250</v>
      </c>
      <c r="H125" s="673">
        <f t="shared" si="29"/>
        <v>66377080</v>
      </c>
    </row>
    <row r="126" spans="1:8" ht="15">
      <c r="A126" s="130" t="str">
        <f>+'INGR. Y EGRE SEC CENT'!A126</f>
        <v>2.1.3.2.1</v>
      </c>
      <c r="B126" s="113" t="str">
        <f>+'INGR. Y EGRE SEC CENT'!B126</f>
        <v>Empleados Públicos</v>
      </c>
      <c r="C126" s="671">
        <f aca="true" t="shared" si="30" ref="C126:H126">SUM(C127:C129)</f>
        <v>37368968</v>
      </c>
      <c r="D126" s="672">
        <f t="shared" si="30"/>
        <v>53877500</v>
      </c>
      <c r="E126" s="673">
        <f t="shared" si="30"/>
        <v>53877500</v>
      </c>
      <c r="F126" s="671">
        <f t="shared" si="30"/>
        <v>59265250</v>
      </c>
      <c r="G126" s="672">
        <f t="shared" si="30"/>
        <v>59265250</v>
      </c>
      <c r="H126" s="673">
        <f t="shared" si="30"/>
        <v>66377080</v>
      </c>
    </row>
    <row r="127" spans="1:8" ht="15">
      <c r="A127" s="13" t="str">
        <f>+'INGR. Y EGRE SEC CENT'!A127</f>
        <v>2.1.3.2.1.1</v>
      </c>
      <c r="B127" s="14" t="str">
        <f>+'INGR. Y EGRE SEC CENT'!B127</f>
        <v>Educadores</v>
      </c>
      <c r="C127" s="674">
        <v>0</v>
      </c>
      <c r="D127" s="675">
        <v>0</v>
      </c>
      <c r="E127" s="676">
        <v>0</v>
      </c>
      <c r="F127" s="674">
        <v>0</v>
      </c>
      <c r="G127" s="675">
        <v>0</v>
      </c>
      <c r="H127" s="676">
        <v>0</v>
      </c>
    </row>
    <row r="128" spans="1:8" ht="15">
      <c r="A128" s="13" t="str">
        <f>+'INGR. Y EGRE SEC CENT'!A128</f>
        <v>2.1.3.2.1.2</v>
      </c>
      <c r="B128" s="14" t="str">
        <f>+'INGR. Y EGRE SEC CENT'!B128</f>
        <v>Médicos, Enfermeros(as) y Promotores de la Salud</v>
      </c>
      <c r="C128" s="674">
        <v>0</v>
      </c>
      <c r="D128" s="675">
        <v>0</v>
      </c>
      <c r="E128" s="676">
        <v>0</v>
      </c>
      <c r="F128" s="674">
        <v>0</v>
      </c>
      <c r="G128" s="675">
        <v>0</v>
      </c>
      <c r="H128" s="676">
        <v>0</v>
      </c>
    </row>
    <row r="129" spans="1:8" ht="15">
      <c r="A129" s="13" t="str">
        <f>+'INGR. Y EGRE SEC CENT'!A129</f>
        <v>2.1.3.2.1.3</v>
      </c>
      <c r="B129" s="14" t="str">
        <f>+'INGR. Y EGRE SEC CENT'!B129</f>
        <v>Resto de Empleados Públicos</v>
      </c>
      <c r="C129" s="674">
        <v>37368968</v>
      </c>
      <c r="D129" s="675">
        <v>53877500</v>
      </c>
      <c r="E129" s="676">
        <v>53877500</v>
      </c>
      <c r="F129" s="674">
        <v>59265250</v>
      </c>
      <c r="G129" s="675">
        <v>59265250</v>
      </c>
      <c r="H129" s="676">
        <v>66377080</v>
      </c>
    </row>
    <row r="130" spans="1:8" ht="15">
      <c r="A130" s="13" t="str">
        <f>+'INGR. Y EGRE SEC CENT'!A130</f>
        <v>2.1.3.2.2</v>
      </c>
      <c r="B130" s="12" t="str">
        <f>+'INGR. Y EGRE SEC CENT'!B130</f>
        <v>Trabajadores Oficiales</v>
      </c>
      <c r="C130" s="674">
        <v>0</v>
      </c>
      <c r="D130" s="675">
        <v>0</v>
      </c>
      <c r="E130" s="676">
        <v>0</v>
      </c>
      <c r="F130" s="674">
        <v>0</v>
      </c>
      <c r="G130" s="675">
        <v>0</v>
      </c>
      <c r="H130" s="676">
        <v>0</v>
      </c>
    </row>
    <row r="131" spans="1:8" ht="15">
      <c r="A131" s="130" t="str">
        <f>+'INGR. Y EGRE SEC CENT'!A131</f>
        <v>2.1.3.1.3</v>
      </c>
      <c r="B131" s="113" t="str">
        <f>+'INGR. Y EGRE SEC CENT'!B131</f>
        <v>Transferencias al Fondo Territorial de Cesantías (Provisiones)</v>
      </c>
      <c r="C131" s="671">
        <f aca="true" t="shared" si="31" ref="C131:H131">+C132+C136</f>
        <v>21559074</v>
      </c>
      <c r="D131" s="672">
        <f t="shared" si="31"/>
        <v>22000000</v>
      </c>
      <c r="E131" s="673">
        <f t="shared" si="31"/>
        <v>22000000</v>
      </c>
      <c r="F131" s="671">
        <f t="shared" si="31"/>
        <v>24200000</v>
      </c>
      <c r="G131" s="672">
        <f t="shared" si="31"/>
        <v>24200000</v>
      </c>
      <c r="H131" s="673">
        <f t="shared" si="31"/>
        <v>27104000</v>
      </c>
    </row>
    <row r="132" spans="1:8" ht="15">
      <c r="A132" s="130" t="str">
        <f>+'INGR. Y EGRE SEC CENT'!A132</f>
        <v>2.1.3.1.3.1</v>
      </c>
      <c r="B132" s="113" t="str">
        <f>+'INGR. Y EGRE SEC CENT'!B132</f>
        <v>Empleados Públicos</v>
      </c>
      <c r="C132" s="671">
        <f aca="true" t="shared" si="32" ref="C132:H132">SUM(C133:C135)</f>
        <v>21559074</v>
      </c>
      <c r="D132" s="672">
        <f t="shared" si="32"/>
        <v>22000000</v>
      </c>
      <c r="E132" s="673">
        <f t="shared" si="32"/>
        <v>22000000</v>
      </c>
      <c r="F132" s="671">
        <f t="shared" si="32"/>
        <v>24200000</v>
      </c>
      <c r="G132" s="672">
        <f t="shared" si="32"/>
        <v>24200000</v>
      </c>
      <c r="H132" s="673">
        <f t="shared" si="32"/>
        <v>27104000</v>
      </c>
    </row>
    <row r="133" spans="1:8" ht="15">
      <c r="A133" s="13" t="str">
        <f>+'INGR. Y EGRE SEC CENT'!A133</f>
        <v>2.1.3.1.3.2</v>
      </c>
      <c r="B133" s="14" t="str">
        <f>+'INGR. Y EGRE SEC CENT'!B133</f>
        <v>Educadores</v>
      </c>
      <c r="C133" s="674">
        <v>0</v>
      </c>
      <c r="D133" s="675">
        <v>0</v>
      </c>
      <c r="E133" s="676">
        <v>0</v>
      </c>
      <c r="F133" s="674">
        <v>0</v>
      </c>
      <c r="G133" s="675">
        <v>0</v>
      </c>
      <c r="H133" s="676">
        <v>0</v>
      </c>
    </row>
    <row r="134" spans="1:8" ht="15">
      <c r="A134" s="13" t="str">
        <f>+'INGR. Y EGRE SEC CENT'!A134</f>
        <v>2.1.3.1.3.3</v>
      </c>
      <c r="B134" s="14" t="str">
        <f>+'INGR. Y EGRE SEC CENT'!B134</f>
        <v>Médicos, Enfermeros(as) y Promotores de la Salud</v>
      </c>
      <c r="C134" s="674">
        <v>0</v>
      </c>
      <c r="D134" s="675">
        <v>0</v>
      </c>
      <c r="E134" s="676">
        <v>0</v>
      </c>
      <c r="F134" s="674">
        <v>0</v>
      </c>
      <c r="G134" s="675">
        <v>0</v>
      </c>
      <c r="H134" s="676">
        <v>0</v>
      </c>
    </row>
    <row r="135" spans="1:8" ht="15">
      <c r="A135" s="13" t="str">
        <f>+'INGR. Y EGRE SEC CENT'!A135</f>
        <v>2.1.3.1.3.4</v>
      </c>
      <c r="B135" s="14" t="str">
        <f>+'INGR. Y EGRE SEC CENT'!B135</f>
        <v>Resto de Empleados Públicos</v>
      </c>
      <c r="C135" s="674">
        <v>21559074</v>
      </c>
      <c r="D135" s="675">
        <v>22000000</v>
      </c>
      <c r="E135" s="676">
        <v>22000000</v>
      </c>
      <c r="F135" s="674">
        <v>24200000</v>
      </c>
      <c r="G135" s="675">
        <v>24200000</v>
      </c>
      <c r="H135" s="676">
        <v>27104000</v>
      </c>
    </row>
    <row r="136" spans="1:8" ht="15">
      <c r="A136" s="13" t="str">
        <f>+'INGR. Y EGRE SEC CENT'!A136</f>
        <v>2.1.3.1.3.5</v>
      </c>
      <c r="B136" s="12" t="str">
        <f>+'INGR. Y EGRE SEC CENT'!B136</f>
        <v>Trabajadores Oficiales</v>
      </c>
      <c r="C136" s="674">
        <v>0</v>
      </c>
      <c r="D136" s="675">
        <v>0</v>
      </c>
      <c r="E136" s="676">
        <v>0</v>
      </c>
      <c r="F136" s="674">
        <v>0</v>
      </c>
      <c r="G136" s="675">
        <v>0</v>
      </c>
      <c r="H136" s="676">
        <v>0</v>
      </c>
    </row>
    <row r="137" spans="1:8" ht="15">
      <c r="A137" s="130" t="str">
        <f>+'INGR. Y EGRE SEC CENT'!A137</f>
        <v>2.1.3.1.2</v>
      </c>
      <c r="B137" s="113" t="str">
        <f>+'INGR. Y EGRE SEC CENT'!B137</f>
        <v>Otras Transferencias</v>
      </c>
      <c r="C137" s="671">
        <f aca="true" t="shared" si="33" ref="C137:H137">SUM(C138:C141)</f>
        <v>1000000</v>
      </c>
      <c r="D137" s="672">
        <f t="shared" si="33"/>
        <v>7000000</v>
      </c>
      <c r="E137" s="673">
        <f t="shared" si="33"/>
        <v>7000000</v>
      </c>
      <c r="F137" s="671">
        <f t="shared" si="33"/>
        <v>7200000</v>
      </c>
      <c r="G137" s="672">
        <f t="shared" si="33"/>
        <v>7200000</v>
      </c>
      <c r="H137" s="673">
        <f t="shared" si="33"/>
        <v>7700000</v>
      </c>
    </row>
    <row r="138" spans="1:8" ht="15">
      <c r="A138" s="13" t="str">
        <f>+'INGR. Y EGRE SEC CENT'!A138</f>
        <v>2.1.3.1.2.1</v>
      </c>
      <c r="B138" s="14" t="str">
        <f>+'INGR. Y EGRE SEC CENT'!B138</f>
        <v>Conciliaciones y Sentencias</v>
      </c>
      <c r="C138" s="674">
        <v>0</v>
      </c>
      <c r="D138" s="675">
        <v>2000000</v>
      </c>
      <c r="E138" s="676">
        <v>2000000</v>
      </c>
      <c r="F138" s="674">
        <v>2200000</v>
      </c>
      <c r="G138" s="675">
        <v>2200000</v>
      </c>
      <c r="H138" s="676">
        <v>2200000</v>
      </c>
    </row>
    <row r="139" spans="1:8" ht="15">
      <c r="A139" s="13" t="str">
        <f>+'INGR. Y EGRE SEC CENT'!A139</f>
        <v>2.1.3.1.2.2</v>
      </c>
      <c r="B139" s="35">
        <f>+'INGR. Y EGRE SEC CENT'!B139</f>
        <v>0</v>
      </c>
      <c r="C139" s="674">
        <v>0</v>
      </c>
      <c r="D139" s="675">
        <v>0</v>
      </c>
      <c r="E139" s="676">
        <v>0</v>
      </c>
      <c r="F139" s="674">
        <v>0</v>
      </c>
      <c r="G139" s="675">
        <v>0</v>
      </c>
      <c r="H139" s="676">
        <v>0</v>
      </c>
    </row>
    <row r="140" spans="1:8" ht="15">
      <c r="A140" s="13" t="str">
        <f>+'INGR. Y EGRE SEC CENT'!A140</f>
        <v>2.1.3.1.2.3</v>
      </c>
      <c r="B140" s="35">
        <f>+'INGR. Y EGRE SEC CENT'!B140</f>
        <v>0</v>
      </c>
      <c r="C140" s="674">
        <v>0</v>
      </c>
      <c r="D140" s="675">
        <v>0</v>
      </c>
      <c r="E140" s="676">
        <v>0</v>
      </c>
      <c r="F140" s="674">
        <v>0</v>
      </c>
      <c r="G140" s="675">
        <v>0</v>
      </c>
      <c r="H140" s="676">
        <v>0</v>
      </c>
    </row>
    <row r="141" spans="1:8" ht="15">
      <c r="A141" s="13" t="str">
        <f>+'INGR. Y EGRE SEC CENT'!A141</f>
        <v>2.1.3.1.2.4</v>
      </c>
      <c r="B141" s="14" t="str">
        <f>+'INGR. Y EGRE SEC CENT'!B141</f>
        <v>Otras</v>
      </c>
      <c r="C141" s="674">
        <v>1000000</v>
      </c>
      <c r="D141" s="675">
        <v>5000000</v>
      </c>
      <c r="E141" s="676">
        <v>5000000</v>
      </c>
      <c r="F141" s="674">
        <v>5000000</v>
      </c>
      <c r="G141" s="675">
        <v>5000000</v>
      </c>
      <c r="H141" s="676">
        <v>5500000</v>
      </c>
    </row>
    <row r="142" spans="1:8" ht="15">
      <c r="A142" s="130">
        <f>+'INGR. Y EGRE SEC CENT'!A142</f>
        <v>2.2</v>
      </c>
      <c r="B142" s="134" t="str">
        <f>+'INGR. Y EGRE SEC CENT'!B142</f>
        <v>SERVICIO DE LA DEUDA</v>
      </c>
      <c r="C142" s="671">
        <f aca="true" t="shared" si="34" ref="C142:H142">+C143+C146</f>
        <v>218345755</v>
      </c>
      <c r="D142" s="672">
        <f t="shared" si="34"/>
        <v>337000000</v>
      </c>
      <c r="E142" s="673">
        <f t="shared" si="34"/>
        <v>336743822</v>
      </c>
      <c r="F142" s="671">
        <f t="shared" si="34"/>
        <v>315200568</v>
      </c>
      <c r="G142" s="672">
        <f t="shared" si="34"/>
        <v>278266281</v>
      </c>
      <c r="H142" s="673">
        <f t="shared" si="34"/>
        <v>264564280</v>
      </c>
    </row>
    <row r="143" spans="1:8" ht="15">
      <c r="A143" s="114" t="str">
        <f>+'INGR. Y EGRE SEC CENT'!A143</f>
        <v>2.2.1 </v>
      </c>
      <c r="B143" s="113" t="str">
        <f>+'INGR. Y EGRE SEC CENT'!B143</f>
        <v>AMORTIZACIONES A CAPITAL</v>
      </c>
      <c r="C143" s="671">
        <f aca="true" t="shared" si="35" ref="C143:H143">SUM(C144:C145)</f>
        <v>50799065</v>
      </c>
      <c r="D143" s="672">
        <f t="shared" si="35"/>
        <v>37000000</v>
      </c>
      <c r="E143" s="673">
        <f t="shared" si="35"/>
        <v>83283513</v>
      </c>
      <c r="F143" s="671">
        <f t="shared" si="35"/>
        <v>104190219</v>
      </c>
      <c r="G143" s="672">
        <f t="shared" si="35"/>
        <v>99848158</v>
      </c>
      <c r="H143" s="673">
        <f t="shared" si="35"/>
        <v>118839429</v>
      </c>
    </row>
    <row r="144" spans="1:8" ht="15">
      <c r="A144" s="8" t="str">
        <f>+'INGR. Y EGRE SEC CENT'!A144</f>
        <v>2.2.1.1 </v>
      </c>
      <c r="B144" s="14" t="str">
        <f>+'INGR. Y EGRE SEC CENT'!B144</f>
        <v>Amortización Deuda Interna</v>
      </c>
      <c r="C144" s="674">
        <v>50799065</v>
      </c>
      <c r="D144" s="675">
        <v>37000000</v>
      </c>
      <c r="E144" s="676">
        <v>83283513</v>
      </c>
      <c r="F144" s="674">
        <v>104190219</v>
      </c>
      <c r="G144" s="675">
        <v>99848158</v>
      </c>
      <c r="H144" s="676">
        <v>118839429</v>
      </c>
    </row>
    <row r="145" spans="1:8" ht="15">
      <c r="A145" s="8" t="str">
        <f>+'INGR. Y EGRE SEC CENT'!A145</f>
        <v>2.2.1.2</v>
      </c>
      <c r="B145" s="14" t="str">
        <f>+'INGR. Y EGRE SEC CENT'!B145</f>
        <v>Amortización Deuda Externa</v>
      </c>
      <c r="C145" s="674">
        <v>0</v>
      </c>
      <c r="D145" s="675">
        <v>0</v>
      </c>
      <c r="E145" s="676">
        <v>0</v>
      </c>
      <c r="F145" s="674">
        <v>0</v>
      </c>
      <c r="G145" s="675">
        <v>0</v>
      </c>
      <c r="H145" s="676">
        <v>0</v>
      </c>
    </row>
    <row r="146" spans="1:8" ht="15">
      <c r="A146" s="114" t="str">
        <f>+'INGR. Y EGRE SEC CENT'!A146</f>
        <v>2.2.2 </v>
      </c>
      <c r="B146" s="113" t="str">
        <f>+'INGR. Y EGRE SEC CENT'!B146</f>
        <v>INTERESES  DE LA DEUDA</v>
      </c>
      <c r="C146" s="671">
        <f aca="true" t="shared" si="36" ref="C146:H146">SUM(C147:C150)</f>
        <v>167546690</v>
      </c>
      <c r="D146" s="672">
        <f t="shared" si="36"/>
        <v>300000000</v>
      </c>
      <c r="E146" s="673">
        <f t="shared" si="36"/>
        <v>253460309</v>
      </c>
      <c r="F146" s="671">
        <f t="shared" si="36"/>
        <v>211010349</v>
      </c>
      <c r="G146" s="672">
        <f t="shared" si="36"/>
        <v>178418123</v>
      </c>
      <c r="H146" s="673">
        <f t="shared" si="36"/>
        <v>145724851</v>
      </c>
    </row>
    <row r="147" spans="1:8" ht="15">
      <c r="A147" s="9" t="str">
        <f>+'INGR. Y EGRE SEC CENT'!A147</f>
        <v>2.2.2.1</v>
      </c>
      <c r="B147" s="14" t="str">
        <f>+'INGR. Y EGRE SEC CENT'!B147</f>
        <v>Intereses  Deuda Interna Vigente</v>
      </c>
      <c r="C147" s="674">
        <v>167546690</v>
      </c>
      <c r="D147" s="675">
        <v>300000000</v>
      </c>
      <c r="E147" s="676">
        <v>253460309</v>
      </c>
      <c r="F147" s="674">
        <v>211010349</v>
      </c>
      <c r="G147" s="675">
        <v>178418123</v>
      </c>
      <c r="H147" s="676">
        <v>145724851</v>
      </c>
    </row>
    <row r="148" spans="1:8" ht="15">
      <c r="A148" s="9" t="str">
        <f>+'INGR. Y EGRE SEC CENT'!A148</f>
        <v>2.2.2.2</v>
      </c>
      <c r="B148" s="14" t="str">
        <f>+'INGR. Y EGRE SEC CENT'!B148</f>
        <v>Intereses  Deuda Externa</v>
      </c>
      <c r="C148" s="674">
        <v>0</v>
      </c>
      <c r="D148" s="676">
        <v>0</v>
      </c>
      <c r="E148" s="676">
        <v>0</v>
      </c>
      <c r="F148" s="676">
        <v>0</v>
      </c>
      <c r="G148" s="676">
        <v>0</v>
      </c>
      <c r="H148" s="676">
        <v>0</v>
      </c>
    </row>
    <row r="149" spans="1:8" ht="15">
      <c r="A149" s="9" t="str">
        <f>+'INGR. Y EGRE SEC CENT'!A149</f>
        <v>2.2.2.3</v>
      </c>
      <c r="B149" s="14" t="str">
        <f>+'INGR. Y EGRE SEC CENT'!B149</f>
        <v>Intereses  Deuda Corto Plazo, Sobregiros, Tesorería y otros</v>
      </c>
      <c r="C149" s="674">
        <v>0</v>
      </c>
      <c r="D149" s="676">
        <v>0</v>
      </c>
      <c r="E149" s="676">
        <v>0</v>
      </c>
      <c r="F149" s="676">
        <v>0</v>
      </c>
      <c r="G149" s="676">
        <v>0</v>
      </c>
      <c r="H149" s="676">
        <v>0</v>
      </c>
    </row>
    <row r="150" spans="1:8" ht="15">
      <c r="A150" s="9" t="str">
        <f>+'INGR. Y EGRE SEC CENT'!A150</f>
        <v>2.2.2.4</v>
      </c>
      <c r="B150" s="14" t="str">
        <f>+'INGR. Y EGRE SEC CENT'!B150</f>
        <v>Intereses del nuevo crédito (Diligenciar sólo en el formato de proyecciones)</v>
      </c>
      <c r="C150" s="674">
        <v>0</v>
      </c>
      <c r="D150" s="676">
        <v>0</v>
      </c>
      <c r="E150" s="676">
        <v>0</v>
      </c>
      <c r="F150" s="676">
        <v>0</v>
      </c>
      <c r="G150" s="676">
        <v>0</v>
      </c>
      <c r="H150" s="676">
        <v>0</v>
      </c>
    </row>
    <row r="151" spans="1:8" ht="15">
      <c r="A151" s="112">
        <f>+'INGR. Y EGRE SEC CENT'!A151</f>
        <v>2.3</v>
      </c>
      <c r="B151" s="134" t="str">
        <f>+'INGR. Y EGRE SEC CENT'!B151</f>
        <v>INVERSION </v>
      </c>
      <c r="C151" s="671">
        <f aca="true" t="shared" si="37" ref="C151:H151">SUM(C152:C153)</f>
        <v>335822249</v>
      </c>
      <c r="D151" s="672">
        <f t="shared" si="37"/>
        <v>341595880</v>
      </c>
      <c r="E151" s="673">
        <f t="shared" si="37"/>
        <v>341595880</v>
      </c>
      <c r="F151" s="671">
        <f t="shared" si="37"/>
        <v>375535476</v>
      </c>
      <c r="G151" s="672">
        <f t="shared" si="37"/>
        <v>375535476</v>
      </c>
      <c r="H151" s="673">
        <f t="shared" si="37"/>
        <v>420599733</v>
      </c>
    </row>
    <row r="152" spans="1:8" ht="15">
      <c r="A152" s="9" t="str">
        <f>+'INGR. Y EGRE SEC CENT'!A152</f>
        <v>2.3.1</v>
      </c>
      <c r="B152" s="14" t="str">
        <f>+'INGR. Y EGRE SEC CENT'!B152</f>
        <v>Formación Bruta de Capital</v>
      </c>
      <c r="C152" s="674">
        <v>0</v>
      </c>
      <c r="D152" s="675">
        <v>0</v>
      </c>
      <c r="E152" s="676">
        <v>0</v>
      </c>
      <c r="F152" s="674">
        <v>0</v>
      </c>
      <c r="G152" s="675">
        <v>0</v>
      </c>
      <c r="H152" s="676">
        <v>0</v>
      </c>
    </row>
    <row r="153" spans="1:8" ht="15">
      <c r="A153" s="9" t="str">
        <f>+'INGR. Y EGRE SEC CENT'!A153</f>
        <v>2.3.2</v>
      </c>
      <c r="B153" s="14" t="str">
        <f>+'INGR. Y EGRE SEC CENT'!B153</f>
        <v>Gastos Operativos de Inversión</v>
      </c>
      <c r="C153" s="674">
        <v>335822249</v>
      </c>
      <c r="D153" s="675">
        <v>341595880</v>
      </c>
      <c r="E153" s="676">
        <v>341595880</v>
      </c>
      <c r="F153" s="674">
        <v>375535476</v>
      </c>
      <c r="G153" s="674">
        <v>375535476</v>
      </c>
      <c r="H153" s="676">
        <v>420599733</v>
      </c>
    </row>
    <row r="154" spans="1:8" ht="15">
      <c r="A154" s="112">
        <f>+'INGR. Y EGRE SEC CENT'!A154</f>
        <v>2.4</v>
      </c>
      <c r="B154" s="113" t="str">
        <f>+'INGR. Y EGRE SEC CENT'!B154</f>
        <v>PAGO DEFICIT VIGENCIAS ANTERIORES</v>
      </c>
      <c r="C154" s="671">
        <f aca="true" t="shared" si="38" ref="C154:H154">SUM(C155:C156)</f>
        <v>13400425</v>
      </c>
      <c r="D154" s="672">
        <f t="shared" si="38"/>
        <v>15000000</v>
      </c>
      <c r="E154" s="673">
        <f t="shared" si="38"/>
        <v>15000000</v>
      </c>
      <c r="F154" s="671">
        <f t="shared" si="38"/>
        <v>15000000</v>
      </c>
      <c r="G154" s="672">
        <f t="shared" si="38"/>
        <v>15000000</v>
      </c>
      <c r="H154" s="673">
        <f t="shared" si="38"/>
        <v>15000000</v>
      </c>
    </row>
    <row r="155" spans="1:8" ht="15">
      <c r="A155" s="9" t="str">
        <f>+'INGR. Y EGRE SEC CENT'!A155</f>
        <v>2.4.1</v>
      </c>
      <c r="B155" s="14" t="str">
        <f>+'INGR. Y EGRE SEC CENT'!B155</f>
        <v>Funcionamiento</v>
      </c>
      <c r="C155" s="674">
        <v>13400425</v>
      </c>
      <c r="D155" s="675">
        <v>15000000</v>
      </c>
      <c r="E155" s="676">
        <v>15000000</v>
      </c>
      <c r="F155" s="674">
        <v>15000000</v>
      </c>
      <c r="G155" s="675">
        <v>15000000</v>
      </c>
      <c r="H155" s="676">
        <v>15000000</v>
      </c>
    </row>
    <row r="156" spans="1:8" ht="15.75" thickBot="1">
      <c r="A156" s="10" t="str">
        <f>+'INGR. Y EGRE SEC CENT'!A156</f>
        <v>2.4.2</v>
      </c>
      <c r="B156" s="38" t="str">
        <f>+'INGR. Y EGRE SEC CENT'!B156</f>
        <v>Inversión</v>
      </c>
      <c r="C156" s="678">
        <v>0</v>
      </c>
      <c r="D156" s="679">
        <v>0</v>
      </c>
      <c r="E156" s="680">
        <v>0</v>
      </c>
      <c r="F156" s="678">
        <v>0</v>
      </c>
      <c r="G156" s="679">
        <v>0</v>
      </c>
      <c r="H156" s="680">
        <v>0</v>
      </c>
    </row>
    <row r="157" spans="1:4" ht="16.5" thickBot="1">
      <c r="A157" s="139"/>
      <c r="C157" s="180"/>
      <c r="D157" s="181"/>
    </row>
    <row r="158" spans="1:8" ht="15">
      <c r="A158" s="182" t="s">
        <v>385</v>
      </c>
      <c r="B158" s="50"/>
      <c r="C158" s="50"/>
      <c r="D158" s="50"/>
      <c r="E158" s="50"/>
      <c r="F158" s="50"/>
      <c r="G158" s="50"/>
      <c r="H158" s="183"/>
    </row>
    <row r="159" spans="1:8" ht="15">
      <c r="A159" s="184"/>
      <c r="C159" s="20"/>
      <c r="D159" s="20"/>
      <c r="E159" s="20"/>
      <c r="F159" s="20"/>
      <c r="G159" s="20"/>
      <c r="H159" s="37"/>
    </row>
    <row r="160" spans="1:8" ht="15">
      <c r="A160" s="184"/>
      <c r="C160" s="20"/>
      <c r="D160" s="20"/>
      <c r="E160" s="20"/>
      <c r="F160" s="20"/>
      <c r="G160" s="20"/>
      <c r="H160" s="37"/>
    </row>
    <row r="161" spans="1:8" ht="15">
      <c r="A161" s="184"/>
      <c r="C161" s="20"/>
      <c r="D161" s="20"/>
      <c r="E161" s="20"/>
      <c r="F161" s="20"/>
      <c r="G161" s="20"/>
      <c r="H161" s="37"/>
    </row>
    <row r="162" spans="1:8" ht="15.75" thickBot="1">
      <c r="A162" s="185"/>
      <c r="B162" s="51"/>
      <c r="C162" s="51"/>
      <c r="D162" s="51"/>
      <c r="E162" s="51"/>
      <c r="F162" s="51"/>
      <c r="G162" s="51"/>
      <c r="H162" s="78"/>
    </row>
    <row r="163" ht="18">
      <c r="A163" s="186" t="s">
        <v>154</v>
      </c>
    </row>
  </sheetData>
  <printOptions horizontalCentered="1" verticalCentered="1"/>
  <pageMargins left="0.3937007874015748" right="0.3937007874015748" top="0.3937007874015748" bottom="0.3937007874015748" header="0.2755905511811024" footer="0.3937007874015748"/>
  <pageSetup horizontalDpi="300" verticalDpi="300" orientation="portrait" scale="50" r:id="rId1"/>
  <headerFooter alignWithMargins="0">
    <oddHeader>&amp;L&amp;"Book Antiqua,Bold"&amp;10MINISTERIO DE HACIENDA Y CREDITO PUBLICO
       DIRECCION GENERAL DE APOYO FISCAL
                     SUBDIRECCION TECNICA</oddHeader>
    <oddFooter>&amp;L&amp;F / &amp;A &amp;D&amp;RPágina &amp;P</oddFooter>
  </headerFooter>
  <rowBreaks count="1" manualBreakCount="1">
    <brk id="8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 topLeftCell="A29">
      <selection activeCell="A33" sqref="A33"/>
    </sheetView>
  </sheetViews>
  <sheetFormatPr defaultColWidth="11.5546875" defaultRowHeight="15"/>
  <cols>
    <col min="1" max="1" width="6.88671875" style="0" customWidth="1"/>
    <col min="2" max="2" width="44.4453125" style="0" customWidth="1"/>
    <col min="3" max="3" width="11.88671875" style="0" customWidth="1"/>
    <col min="5" max="5" width="11.99609375" style="0" customWidth="1"/>
    <col min="6" max="6" width="11.4453125" style="0" customWidth="1"/>
    <col min="7" max="7" width="11.3359375" style="0" customWidth="1"/>
    <col min="8" max="8" width="11.77734375" style="0" customWidth="1"/>
    <col min="10" max="13" width="11.5546875" style="239" customWidth="1"/>
    <col min="14" max="14" width="12.3359375" style="239" customWidth="1"/>
    <col min="15" max="16384" width="11.5546875" style="239" customWidth="1"/>
  </cols>
  <sheetData>
    <row r="1" spans="1:9" ht="15.75" thickBot="1">
      <c r="A1" s="904" t="s">
        <v>21</v>
      </c>
      <c r="B1" s="904"/>
      <c r="C1" s="904"/>
      <c r="D1" s="904"/>
      <c r="E1" s="904"/>
      <c r="F1" s="904"/>
      <c r="G1" s="904"/>
      <c r="H1" s="904"/>
      <c r="I1" s="904"/>
    </row>
    <row r="2" spans="1:9" ht="16.5" thickBot="1">
      <c r="A2" s="239"/>
      <c r="B2" s="946" t="s">
        <v>157</v>
      </c>
      <c r="C2" s="947" t="str">
        <f>+'INGR. Y EGRE SEC CENT'!C2</f>
        <v>ARIGUANI</v>
      </c>
      <c r="D2" s="318"/>
      <c r="E2" s="318"/>
      <c r="F2" s="318"/>
      <c r="G2" s="318"/>
      <c r="H2" s="318"/>
      <c r="I2" s="318"/>
    </row>
    <row r="3" spans="1:9" s="242" customFormat="1" ht="15.75" thickBot="1">
      <c r="A3" s="948" t="s">
        <v>681</v>
      </c>
      <c r="B3" s="948"/>
      <c r="C3" s="948"/>
      <c r="D3" s="948"/>
      <c r="E3" s="948"/>
      <c r="F3" s="948"/>
      <c r="G3" s="948"/>
      <c r="H3" s="948"/>
      <c r="I3" s="948"/>
    </row>
    <row r="4" spans="1:14" ht="25.5">
      <c r="A4" s="907"/>
      <c r="B4" s="949"/>
      <c r="C4" s="950" t="s">
        <v>24</v>
      </c>
      <c r="D4" s="951" t="s">
        <v>285</v>
      </c>
      <c r="E4" s="952" t="s">
        <v>682</v>
      </c>
      <c r="F4" s="952" t="s">
        <v>663</v>
      </c>
      <c r="G4" s="952" t="s">
        <v>663</v>
      </c>
      <c r="H4" s="952" t="s">
        <v>663</v>
      </c>
      <c r="I4" s="952" t="s">
        <v>663</v>
      </c>
      <c r="J4" s="952" t="s">
        <v>663</v>
      </c>
      <c r="K4" s="952" t="s">
        <v>663</v>
      </c>
      <c r="L4" s="952" t="s">
        <v>663</v>
      </c>
      <c r="M4" s="952" t="s">
        <v>663</v>
      </c>
      <c r="N4" s="952" t="s">
        <v>663</v>
      </c>
    </row>
    <row r="5" spans="1:14" ht="15.75" thickBot="1">
      <c r="A5" s="912" t="s">
        <v>391</v>
      </c>
      <c r="B5" s="953"/>
      <c r="C5" s="954">
        <v>1998</v>
      </c>
      <c r="D5" s="955">
        <v>1999</v>
      </c>
      <c r="E5" s="956">
        <v>2000</v>
      </c>
      <c r="F5" s="956">
        <v>2001</v>
      </c>
      <c r="G5" s="956">
        <v>2002</v>
      </c>
      <c r="H5" s="956">
        <v>2003</v>
      </c>
      <c r="I5" s="956">
        <v>2004</v>
      </c>
      <c r="J5" s="956">
        <v>2005</v>
      </c>
      <c r="K5" s="956">
        <v>2006</v>
      </c>
      <c r="L5" s="956">
        <v>2007</v>
      </c>
      <c r="M5" s="956">
        <v>2008</v>
      </c>
      <c r="N5" s="956">
        <v>2009</v>
      </c>
    </row>
    <row r="6" spans="1:14" s="171" customFormat="1" ht="15.75">
      <c r="A6" s="251">
        <v>1</v>
      </c>
      <c r="B6" s="252" t="s">
        <v>392</v>
      </c>
      <c r="C6" s="757">
        <f aca="true" t="shared" si="0" ref="C6:I6">SUM(C7:C12)</f>
        <v>3998707387</v>
      </c>
      <c r="D6" s="757">
        <f t="shared" si="0"/>
        <v>4421428145</v>
      </c>
      <c r="E6" s="757">
        <f t="shared" si="0"/>
        <v>4537570959.5</v>
      </c>
      <c r="F6" s="757">
        <f t="shared" si="0"/>
        <v>4991328055.45</v>
      </c>
      <c r="G6" s="757">
        <f t="shared" si="0"/>
        <v>5490460860.995</v>
      </c>
      <c r="H6" s="757">
        <f t="shared" si="0"/>
        <v>6039506947.094501</v>
      </c>
      <c r="I6" s="757">
        <f t="shared" si="0"/>
        <v>6643457641.803951</v>
      </c>
      <c r="J6" s="757">
        <f>SUM(J7:J12)</f>
        <v>7307803405.984347</v>
      </c>
      <c r="K6" s="757">
        <f>SUM(K7:K12)</f>
        <v>8038583746.582783</v>
      </c>
      <c r="L6" s="757">
        <f>SUM(L7:L12)</f>
        <v>8842442121.241062</v>
      </c>
      <c r="M6" s="757">
        <f>SUM(M7:M12)</f>
        <v>9726686333.36517</v>
      </c>
      <c r="N6" s="757">
        <f>SUM(N7:N12)</f>
        <v>10699354966.701687</v>
      </c>
    </row>
    <row r="7" spans="1:14" ht="15.75">
      <c r="A7" s="253" t="s">
        <v>30</v>
      </c>
      <c r="B7" s="179" t="s">
        <v>31</v>
      </c>
      <c r="C7" s="758">
        <f>+'INGR. Y EGRE SEC CENT'!E8</f>
        <v>126111050</v>
      </c>
      <c r="D7" s="758">
        <f>+'INGR. Y EGRE SEC CENT'!F8</f>
        <v>261100000</v>
      </c>
      <c r="E7" s="759">
        <f>+D7*$E$18</f>
        <v>287210000</v>
      </c>
      <c r="F7" s="759">
        <f aca="true" t="shared" si="1" ref="F7:F12">+E7*$F$18</f>
        <v>315931000</v>
      </c>
      <c r="G7" s="759">
        <f aca="true" t="shared" si="2" ref="G7:G12">+F7*$G$18</f>
        <v>347524100</v>
      </c>
      <c r="H7" s="759">
        <f aca="true" t="shared" si="3" ref="H7:H12">+G7*$H$18</f>
        <v>382276510.00000006</v>
      </c>
      <c r="I7" s="759">
        <f aca="true" t="shared" si="4" ref="I7:J12">+H7*$I$18</f>
        <v>420504161.0000001</v>
      </c>
      <c r="J7" s="759">
        <f t="shared" si="4"/>
        <v>462554577.10000014</v>
      </c>
      <c r="K7" s="759">
        <f aca="true" t="shared" si="5" ref="K7:N12">+J7*$I$18</f>
        <v>508810034.8100002</v>
      </c>
      <c r="L7" s="759">
        <f t="shared" si="5"/>
        <v>559691038.2910002</v>
      </c>
      <c r="M7" s="759">
        <f t="shared" si="5"/>
        <v>615660142.1201004</v>
      </c>
      <c r="N7" s="759">
        <f t="shared" si="5"/>
        <v>677226156.3321105</v>
      </c>
    </row>
    <row r="8" spans="1:14" ht="15">
      <c r="A8" s="13" t="s">
        <v>65</v>
      </c>
      <c r="B8" s="254" t="s">
        <v>66</v>
      </c>
      <c r="C8" s="761">
        <f>+'INGR. Y EGRE SEC CENT'!E28</f>
        <v>119703045</v>
      </c>
      <c r="D8" s="761">
        <f>+'INGR. Y EGRE SEC CENT'!F28</f>
        <v>227319145</v>
      </c>
      <c r="E8" s="759">
        <f>+D8*$E$18</f>
        <v>250051059.50000003</v>
      </c>
      <c r="F8" s="759">
        <f t="shared" si="1"/>
        <v>275056165.45000005</v>
      </c>
      <c r="G8" s="759">
        <f t="shared" si="2"/>
        <v>302561781.99500006</v>
      </c>
      <c r="H8" s="759">
        <f t="shared" si="3"/>
        <v>332817960.1945001</v>
      </c>
      <c r="I8" s="759">
        <f t="shared" si="4"/>
        <v>366099756.2139501</v>
      </c>
      <c r="J8" s="759">
        <f t="shared" si="4"/>
        <v>402709731.83534515</v>
      </c>
      <c r="K8" s="759">
        <f t="shared" si="5"/>
        <v>442980705.0188797</v>
      </c>
      <c r="L8" s="759">
        <f t="shared" si="5"/>
        <v>487278775.52076775</v>
      </c>
      <c r="M8" s="759">
        <f t="shared" si="5"/>
        <v>536006653.07284456</v>
      </c>
      <c r="N8" s="759">
        <f t="shared" si="5"/>
        <v>589607318.3801291</v>
      </c>
    </row>
    <row r="9" spans="1:14" ht="15">
      <c r="A9" s="8" t="s">
        <v>82</v>
      </c>
      <c r="B9" s="178" t="s">
        <v>83</v>
      </c>
      <c r="C9" s="761">
        <f>+'INGR. Y EGRE SEC CENT'!E41</f>
        <v>3752893292</v>
      </c>
      <c r="D9" s="761">
        <f>+'INGR. Y EGRE SEC CENT'!F41</f>
        <v>3933009000</v>
      </c>
      <c r="E9" s="759">
        <f>+(D9*$E$18)-326000000</f>
        <v>4000309900</v>
      </c>
      <c r="F9" s="759">
        <f t="shared" si="1"/>
        <v>4400340890</v>
      </c>
      <c r="G9" s="759">
        <f t="shared" si="2"/>
        <v>4840374979</v>
      </c>
      <c r="H9" s="759">
        <f t="shared" si="3"/>
        <v>5324412476.900001</v>
      </c>
      <c r="I9" s="759">
        <f t="shared" si="4"/>
        <v>5856853724.590001</v>
      </c>
      <c r="J9" s="759">
        <f t="shared" si="4"/>
        <v>6442539097.049002</v>
      </c>
      <c r="K9" s="759">
        <f t="shared" si="5"/>
        <v>7086793006.753902</v>
      </c>
      <c r="L9" s="759">
        <f t="shared" si="5"/>
        <v>7795472307.429294</v>
      </c>
      <c r="M9" s="759">
        <f t="shared" si="5"/>
        <v>8575019538.172224</v>
      </c>
      <c r="N9" s="759">
        <f t="shared" si="5"/>
        <v>9432521491.989447</v>
      </c>
    </row>
    <row r="10" spans="1:14" ht="15.75">
      <c r="A10" s="8" t="s">
        <v>107</v>
      </c>
      <c r="B10" s="278" t="s">
        <v>108</v>
      </c>
      <c r="C10" s="761">
        <f>+'INGR. Y EGRE SEC CENT'!E54</f>
        <v>0</v>
      </c>
      <c r="D10" s="677">
        <f aca="true" t="shared" si="6" ref="D10:E12">+C10*$D$18</f>
        <v>0</v>
      </c>
      <c r="E10" s="759">
        <f t="shared" si="6"/>
        <v>0</v>
      </c>
      <c r="F10" s="759">
        <f t="shared" si="1"/>
        <v>0</v>
      </c>
      <c r="G10" s="759">
        <f t="shared" si="2"/>
        <v>0</v>
      </c>
      <c r="H10" s="759">
        <f t="shared" si="3"/>
        <v>0</v>
      </c>
      <c r="I10" s="759">
        <f t="shared" si="4"/>
        <v>0</v>
      </c>
      <c r="J10" s="759">
        <f t="shared" si="4"/>
        <v>0</v>
      </c>
      <c r="K10" s="759">
        <f t="shared" si="5"/>
        <v>0</v>
      </c>
      <c r="L10" s="759">
        <f t="shared" si="5"/>
        <v>0</v>
      </c>
      <c r="M10" s="759">
        <f t="shared" si="5"/>
        <v>0</v>
      </c>
      <c r="N10" s="759">
        <f t="shared" si="5"/>
        <v>0</v>
      </c>
    </row>
    <row r="11" spans="1:14" ht="15.75">
      <c r="A11" s="13" t="s">
        <v>142</v>
      </c>
      <c r="B11" s="278" t="s">
        <v>125</v>
      </c>
      <c r="C11" s="761">
        <f>+'INGR. Y EGRE SEC CENT'!E63</f>
        <v>0</v>
      </c>
      <c r="D11" s="677">
        <f t="shared" si="6"/>
        <v>0</v>
      </c>
      <c r="E11" s="759">
        <f t="shared" si="6"/>
        <v>0</v>
      </c>
      <c r="F11" s="759">
        <f t="shared" si="1"/>
        <v>0</v>
      </c>
      <c r="G11" s="759">
        <f t="shared" si="2"/>
        <v>0</v>
      </c>
      <c r="H11" s="759">
        <f t="shared" si="3"/>
        <v>0</v>
      </c>
      <c r="I11" s="759">
        <f t="shared" si="4"/>
        <v>0</v>
      </c>
      <c r="J11" s="759">
        <f t="shared" si="4"/>
        <v>0</v>
      </c>
      <c r="K11" s="759">
        <f t="shared" si="5"/>
        <v>0</v>
      </c>
      <c r="L11" s="759">
        <f t="shared" si="5"/>
        <v>0</v>
      </c>
      <c r="M11" s="759">
        <f t="shared" si="5"/>
        <v>0</v>
      </c>
      <c r="N11" s="759">
        <f t="shared" si="5"/>
        <v>0</v>
      </c>
    </row>
    <row r="12" spans="1:14" ht="16.5" thickBot="1">
      <c r="A12" s="8" t="s">
        <v>146</v>
      </c>
      <c r="B12" s="278" t="s">
        <v>143</v>
      </c>
      <c r="C12" s="761">
        <f>+'INGR. Y EGRE SEC CENT'!E72</f>
        <v>0</v>
      </c>
      <c r="D12" s="677">
        <f t="shared" si="6"/>
        <v>0</v>
      </c>
      <c r="E12" s="759">
        <f t="shared" si="6"/>
        <v>0</v>
      </c>
      <c r="F12" s="759">
        <f t="shared" si="1"/>
        <v>0</v>
      </c>
      <c r="G12" s="759">
        <f t="shared" si="2"/>
        <v>0</v>
      </c>
      <c r="H12" s="759">
        <f t="shared" si="3"/>
        <v>0</v>
      </c>
      <c r="I12" s="759">
        <f t="shared" si="4"/>
        <v>0</v>
      </c>
      <c r="J12" s="759">
        <f t="shared" si="4"/>
        <v>0</v>
      </c>
      <c r="K12" s="759">
        <f t="shared" si="5"/>
        <v>0</v>
      </c>
      <c r="L12" s="759">
        <f t="shared" si="5"/>
        <v>0</v>
      </c>
      <c r="M12" s="759">
        <f t="shared" si="5"/>
        <v>0</v>
      </c>
      <c r="N12" s="759">
        <f t="shared" si="5"/>
        <v>0</v>
      </c>
    </row>
    <row r="13" spans="1:14" ht="15.75" thickBot="1">
      <c r="A13" s="256">
        <v>2</v>
      </c>
      <c r="B13" s="257" t="s">
        <v>393</v>
      </c>
      <c r="C13" s="763">
        <f aca="true" t="shared" si="7" ref="C13:I13">SUM(C14:C16)</f>
        <v>1490079320</v>
      </c>
      <c r="D13" s="763">
        <f t="shared" si="7"/>
        <v>2122657027</v>
      </c>
      <c r="E13" s="763">
        <f t="shared" si="7"/>
        <v>2334922729.7000003</v>
      </c>
      <c r="F13" s="763">
        <f t="shared" si="7"/>
        <v>2568415002.67</v>
      </c>
      <c r="G13" s="763">
        <f t="shared" si="7"/>
        <v>2825256502.9370008</v>
      </c>
      <c r="H13" s="763">
        <f t="shared" si="7"/>
        <v>3107782153.2307014</v>
      </c>
      <c r="I13" s="763">
        <f t="shared" si="7"/>
        <v>3418560368.5537715</v>
      </c>
      <c r="J13" s="763">
        <f>SUM(J14:J16)</f>
        <v>3760416405.4091487</v>
      </c>
      <c r="K13" s="763">
        <f>SUM(K14:K16)</f>
        <v>4136458045.950064</v>
      </c>
      <c r="L13" s="763">
        <f>SUM(L14:L16)</f>
        <v>4550103850.545071</v>
      </c>
      <c r="M13" s="763">
        <f>SUM(M14:M16)</f>
        <v>5005114235.599579</v>
      </c>
      <c r="N13" s="763">
        <f>SUM(N14:N16)</f>
        <v>5505625659.159537</v>
      </c>
    </row>
    <row r="14" spans="1:14" ht="15">
      <c r="A14" s="8" t="s">
        <v>163</v>
      </c>
      <c r="B14" s="178" t="s">
        <v>164</v>
      </c>
      <c r="C14" s="764">
        <f>+'INGR. Y EGRE SEC CENT'!E91</f>
        <v>1234539877</v>
      </c>
      <c r="D14" s="764">
        <f>+'INGR. Y EGRE SEC CENT'!F91</f>
        <v>1654403503</v>
      </c>
      <c r="E14" s="677">
        <f>+D14*$E$18</f>
        <v>1819843853.3000002</v>
      </c>
      <c r="F14" s="677">
        <f>+E14*$F$18</f>
        <v>2001828238.6300004</v>
      </c>
      <c r="G14" s="677">
        <f>+F14*$G$18</f>
        <v>2202011062.4930005</v>
      </c>
      <c r="H14" s="677">
        <f>+G14*$H$18</f>
        <v>2422212168.742301</v>
      </c>
      <c r="I14" s="677">
        <f aca="true" t="shared" si="8" ref="I14:N16">+H14*$I$18</f>
        <v>2664433385.6165314</v>
      </c>
      <c r="J14" s="677">
        <f t="shared" si="8"/>
        <v>2930876724.1781845</v>
      </c>
      <c r="K14" s="677">
        <f t="shared" si="8"/>
        <v>3223964396.596003</v>
      </c>
      <c r="L14" s="677">
        <f t="shared" si="8"/>
        <v>3546360836.255604</v>
      </c>
      <c r="M14" s="677">
        <f t="shared" si="8"/>
        <v>3900996919.8811646</v>
      </c>
      <c r="N14" s="677">
        <f t="shared" si="8"/>
        <v>4291096611.8692813</v>
      </c>
    </row>
    <row r="15" spans="1:14" ht="15">
      <c r="A15" s="8" t="s">
        <v>203</v>
      </c>
      <c r="B15" s="178" t="s">
        <v>204</v>
      </c>
      <c r="C15" s="761">
        <f>+'INGR. Y EGRE SEC CENT'!E114</f>
        <v>251325822</v>
      </c>
      <c r="D15" s="761">
        <f>+'INGR. Y EGRE SEC CENT'!F114</f>
        <v>198956553</v>
      </c>
      <c r="E15" s="677">
        <f>+D15*$E$18</f>
        <v>218852208.3</v>
      </c>
      <c r="F15" s="677">
        <f>+E15*$F$18</f>
        <v>240737429.13000003</v>
      </c>
      <c r="G15" s="677">
        <f>+F15*$G$18</f>
        <v>264811172.04300004</v>
      </c>
      <c r="H15" s="677">
        <f>+G15*$H$18</f>
        <v>291292289.2473001</v>
      </c>
      <c r="I15" s="677">
        <f t="shared" si="8"/>
        <v>320421518.17203015</v>
      </c>
      <c r="J15" s="677">
        <f t="shared" si="8"/>
        <v>352463669.9892332</v>
      </c>
      <c r="K15" s="677">
        <f t="shared" si="8"/>
        <v>387710036.98815656</v>
      </c>
      <c r="L15" s="677">
        <f t="shared" si="8"/>
        <v>426481040.68697226</v>
      </c>
      <c r="M15" s="677">
        <f t="shared" si="8"/>
        <v>469129144.75566953</v>
      </c>
      <c r="N15" s="677">
        <f t="shared" si="8"/>
        <v>516042059.2312365</v>
      </c>
    </row>
    <row r="16" spans="1:14" ht="15.75" thickBot="1">
      <c r="A16" s="8" t="s">
        <v>211</v>
      </c>
      <c r="B16" s="178" t="s">
        <v>394</v>
      </c>
      <c r="C16" s="761">
        <f>+'INGR. Y EGRE SEC CENT'!E118</f>
        <v>4213621</v>
      </c>
      <c r="D16" s="761">
        <f>+'INGR. Y EGRE SEC CENT'!F118</f>
        <v>269296971</v>
      </c>
      <c r="E16" s="677">
        <f>+D16*$E$18</f>
        <v>296226668.1</v>
      </c>
      <c r="F16" s="677">
        <f>+E16*$F$18</f>
        <v>325849334.91</v>
      </c>
      <c r="G16" s="677">
        <f>+F16*$G$18</f>
        <v>358434268.4010001</v>
      </c>
      <c r="H16" s="677">
        <f>+G16*$H$18</f>
        <v>394277695.24110013</v>
      </c>
      <c r="I16" s="677">
        <f t="shared" si="8"/>
        <v>433705464.76521015</v>
      </c>
      <c r="J16" s="677">
        <f t="shared" si="8"/>
        <v>477076011.2417312</v>
      </c>
      <c r="K16" s="677">
        <f t="shared" si="8"/>
        <v>524783612.3659044</v>
      </c>
      <c r="L16" s="677">
        <f t="shared" si="8"/>
        <v>577261973.6024948</v>
      </c>
      <c r="M16" s="677">
        <f t="shared" si="8"/>
        <v>634988170.9627444</v>
      </c>
      <c r="N16" s="677">
        <f t="shared" si="8"/>
        <v>698486988.0590189</v>
      </c>
    </row>
    <row r="17" spans="1:14" ht="15.75" thickBot="1">
      <c r="A17" s="259" t="s">
        <v>395</v>
      </c>
      <c r="B17" s="260" t="s">
        <v>396</v>
      </c>
      <c r="C17" s="765">
        <f aca="true" t="shared" si="9" ref="C17:I17">+(C6-C13)</f>
        <v>2508628067</v>
      </c>
      <c r="D17" s="763">
        <f t="shared" si="9"/>
        <v>2298771118</v>
      </c>
      <c r="E17" s="763">
        <f t="shared" si="9"/>
        <v>2202648229.7999997</v>
      </c>
      <c r="F17" s="763">
        <f t="shared" si="9"/>
        <v>2422913052.7799997</v>
      </c>
      <c r="G17" s="763">
        <f t="shared" si="9"/>
        <v>2665204358.057999</v>
      </c>
      <c r="H17" s="763">
        <f t="shared" si="9"/>
        <v>2931724793.863799</v>
      </c>
      <c r="I17" s="763">
        <f t="shared" si="9"/>
        <v>3224897273.25018</v>
      </c>
      <c r="J17" s="763">
        <f>+(J6-J13)</f>
        <v>3547387000.5751987</v>
      </c>
      <c r="K17" s="763">
        <f>+(K6-K13)</f>
        <v>3902125700.6327186</v>
      </c>
      <c r="L17" s="763">
        <f>+(L6-L13)</f>
        <v>4292338270.6959915</v>
      </c>
      <c r="M17" s="763">
        <f>+(M6-M13)</f>
        <v>4721572097.765591</v>
      </c>
      <c r="N17" s="763">
        <f>+(N6-N13)</f>
        <v>5193729307.54215</v>
      </c>
    </row>
    <row r="18" spans="1:14" ht="15.75" thickBot="1">
      <c r="A18" s="957"/>
      <c r="B18" s="958" t="s">
        <v>397</v>
      </c>
      <c r="C18" s="959"/>
      <c r="D18" s="960"/>
      <c r="E18" s="960">
        <v>1.1</v>
      </c>
      <c r="F18" s="960">
        <v>1.1</v>
      </c>
      <c r="G18" s="960">
        <v>1.1</v>
      </c>
      <c r="H18" s="960">
        <v>1.1</v>
      </c>
      <c r="I18" s="960">
        <v>1.1</v>
      </c>
      <c r="J18" s="960">
        <v>1.1</v>
      </c>
      <c r="K18" s="960">
        <v>1.1</v>
      </c>
      <c r="L18" s="960">
        <v>1.1</v>
      </c>
      <c r="M18" s="960">
        <v>1.1</v>
      </c>
      <c r="N18" s="960">
        <v>1.1</v>
      </c>
    </row>
    <row r="19" spans="1:14" ht="15.75" thickBot="1">
      <c r="A19" s="262"/>
      <c r="B19" s="178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</row>
    <row r="20" spans="1:14" ht="15.75" thickBot="1">
      <c r="A20" s="264"/>
      <c r="B20" s="265" t="s">
        <v>398</v>
      </c>
      <c r="C20" s="266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</row>
    <row r="21" spans="1:14" ht="15">
      <c r="A21" s="268">
        <v>3.1</v>
      </c>
      <c r="B21" s="269" t="s">
        <v>399</v>
      </c>
      <c r="C21" s="270"/>
      <c r="D21" s="767">
        <v>1155926265</v>
      </c>
      <c r="E21" s="767">
        <f aca="true" t="shared" si="10" ref="E21:N21">+D26</f>
        <v>1155926265</v>
      </c>
      <c r="F21" s="767">
        <f t="shared" si="10"/>
        <v>906582647</v>
      </c>
      <c r="G21" s="767">
        <f t="shared" si="10"/>
        <v>2576999776</v>
      </c>
      <c r="H21" s="767">
        <f t="shared" si="10"/>
        <v>4383842208</v>
      </c>
      <c r="I21" s="767">
        <f t="shared" si="10"/>
        <v>4801695404</v>
      </c>
      <c r="J21" s="767">
        <f t="shared" si="10"/>
        <v>4329284214</v>
      </c>
      <c r="K21" s="767">
        <f t="shared" si="10"/>
        <v>3697931326</v>
      </c>
      <c r="L21" s="767">
        <f t="shared" si="10"/>
        <v>3051550660</v>
      </c>
      <c r="M21" s="767">
        <f t="shared" si="10"/>
        <v>2471410660</v>
      </c>
      <c r="N21" s="767">
        <f t="shared" si="10"/>
        <v>1891270660</v>
      </c>
    </row>
    <row r="22" spans="1:14" ht="15.75">
      <c r="A22" s="268">
        <v>3.2</v>
      </c>
      <c r="B22" s="272" t="s">
        <v>400</v>
      </c>
      <c r="C22" s="273"/>
      <c r="D22" s="768">
        <v>0</v>
      </c>
      <c r="E22" s="768">
        <v>0</v>
      </c>
      <c r="F22" s="768"/>
      <c r="G22" s="768"/>
      <c r="H22" s="768"/>
      <c r="I22" s="768"/>
      <c r="J22" s="768"/>
      <c r="K22" s="768"/>
      <c r="L22" s="768"/>
      <c r="M22" s="768"/>
      <c r="N22" s="768"/>
    </row>
    <row r="23" spans="1:14" s="277" customFormat="1" ht="15">
      <c r="A23" s="274">
        <v>3.3</v>
      </c>
      <c r="B23" s="275" t="s">
        <v>401</v>
      </c>
      <c r="C23" s="276"/>
      <c r="D23" s="769">
        <f aca="true" t="shared" si="11" ref="D23:I23">SUM(D24:D25)</f>
        <v>0</v>
      </c>
      <c r="E23" s="769">
        <f>SUM(E25:E25)</f>
        <v>249343618</v>
      </c>
      <c r="F23" s="769">
        <f>SUM(F25:F25)</f>
        <v>229582871</v>
      </c>
      <c r="G23" s="769">
        <f t="shared" si="11"/>
        <v>193157568</v>
      </c>
      <c r="H23" s="769">
        <f t="shared" si="11"/>
        <v>182146804</v>
      </c>
      <c r="I23" s="769">
        <f t="shared" si="11"/>
        <v>472411190</v>
      </c>
      <c r="J23" s="769">
        <f>SUM(J24:J25)</f>
        <v>631352888</v>
      </c>
      <c r="K23" s="769">
        <f>SUM(K24:K25)</f>
        <v>646380666</v>
      </c>
      <c r="L23" s="769">
        <f>SUM(L24:L25)</f>
        <v>580140000</v>
      </c>
      <c r="M23" s="769">
        <f>SUM(M24:M25)</f>
        <v>580140000</v>
      </c>
      <c r="N23" s="769">
        <f>SUM(N24:N25)</f>
        <v>581316000</v>
      </c>
    </row>
    <row r="24" spans="1:14" s="277" customFormat="1" ht="15.75">
      <c r="A24" s="268" t="s">
        <v>402</v>
      </c>
      <c r="B24" s="272" t="s">
        <v>403</v>
      </c>
      <c r="C24" s="278"/>
      <c r="D24" s="770">
        <v>0</v>
      </c>
      <c r="G24" s="770"/>
      <c r="H24" s="770"/>
      <c r="I24" s="770"/>
      <c r="J24" s="770"/>
      <c r="K24" s="770"/>
      <c r="L24" s="770"/>
      <c r="M24" s="770"/>
      <c r="N24" s="770"/>
    </row>
    <row r="25" spans="1:14" s="277" customFormat="1" ht="16.5" thickBot="1">
      <c r="A25" s="268" t="s">
        <v>404</v>
      </c>
      <c r="B25" s="272" t="s">
        <v>405</v>
      </c>
      <c r="C25" s="278"/>
      <c r="D25" s="770">
        <v>0</v>
      </c>
      <c r="E25" s="770">
        <f>+DEUDA!I20</f>
        <v>249343618</v>
      </c>
      <c r="F25" s="770">
        <f>+DEUDA!K20</f>
        <v>229582871</v>
      </c>
      <c r="G25" s="770">
        <f>+DEUDA!M20</f>
        <v>193157568</v>
      </c>
      <c r="H25" s="770">
        <f>+DEUDA!O20</f>
        <v>182146804</v>
      </c>
      <c r="I25" s="770">
        <f>+DEUDA!Q20</f>
        <v>472411190</v>
      </c>
      <c r="J25" s="770">
        <f>+DEUDA!S20</f>
        <v>631352888</v>
      </c>
      <c r="K25" s="770">
        <f>+DEUDA!U20</f>
        <v>646380666</v>
      </c>
      <c r="L25" s="770">
        <f>+DEUDA!W20</f>
        <v>580140000</v>
      </c>
      <c r="M25" s="770">
        <f>+DEUDA!Y20</f>
        <v>580140000</v>
      </c>
      <c r="N25" s="770">
        <f>+DEUDA!AA20</f>
        <v>581316000</v>
      </c>
    </row>
    <row r="26" spans="1:14" s="281" customFormat="1" ht="16.5" thickBot="1">
      <c r="A26" s="279">
        <v>3</v>
      </c>
      <c r="B26" s="279" t="s">
        <v>406</v>
      </c>
      <c r="C26" s="280"/>
      <c r="D26" s="763">
        <f>+D21+D22-D23</f>
        <v>1155926265</v>
      </c>
      <c r="E26" s="763">
        <f>+E21+E22-E23</f>
        <v>906582647</v>
      </c>
      <c r="F26" s="763">
        <f aca="true" t="shared" si="12" ref="F26:N26">+(F21+F22-F23)+F33</f>
        <v>2576999776</v>
      </c>
      <c r="G26" s="763">
        <f t="shared" si="12"/>
        <v>4383842208</v>
      </c>
      <c r="H26" s="763">
        <f t="shared" si="12"/>
        <v>4801695404</v>
      </c>
      <c r="I26" s="763">
        <f t="shared" si="12"/>
        <v>4329284214</v>
      </c>
      <c r="J26" s="763">
        <f t="shared" si="12"/>
        <v>3697931326</v>
      </c>
      <c r="K26" s="763">
        <f t="shared" si="12"/>
        <v>3051550660</v>
      </c>
      <c r="L26" s="763">
        <f t="shared" si="12"/>
        <v>2471410660</v>
      </c>
      <c r="M26" s="763">
        <f t="shared" si="12"/>
        <v>1891270660</v>
      </c>
      <c r="N26" s="763">
        <f t="shared" si="12"/>
        <v>1309954660</v>
      </c>
    </row>
    <row r="27" spans="2:14" ht="15.75" thickBot="1">
      <c r="B27" s="568"/>
      <c r="C27" s="568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</row>
    <row r="28" spans="1:14" s="277" customFormat="1" ht="15.75">
      <c r="A28" s="282">
        <v>4.1</v>
      </c>
      <c r="B28" s="269" t="s">
        <v>407</v>
      </c>
      <c r="C28" s="283"/>
      <c r="D28" s="773">
        <v>0</v>
      </c>
      <c r="E28" s="773">
        <v>0</v>
      </c>
      <c r="F28" s="773"/>
      <c r="G28" s="773"/>
      <c r="H28" s="773"/>
      <c r="I28" s="773"/>
      <c r="J28" s="773"/>
      <c r="K28" s="773"/>
      <c r="L28" s="773"/>
      <c r="M28" s="773"/>
      <c r="N28" s="773"/>
    </row>
    <row r="29" spans="1:14" s="277" customFormat="1" ht="16.5" thickBot="1">
      <c r="A29" s="285">
        <v>4.2</v>
      </c>
      <c r="B29" s="286" t="s">
        <v>408</v>
      </c>
      <c r="C29" s="287"/>
      <c r="D29" s="774">
        <v>0</v>
      </c>
      <c r="E29" s="770">
        <f>+DEUDA!J20</f>
        <v>340124109</v>
      </c>
      <c r="F29" s="770">
        <f>+DEUDA!L20</f>
        <v>352055993</v>
      </c>
      <c r="G29" s="774">
        <f>+DEUDA!N20</f>
        <v>761035964</v>
      </c>
      <c r="H29" s="774">
        <f>+DEUDA!P20</f>
        <v>946823469</v>
      </c>
      <c r="I29" s="774">
        <f>+DEUDA!R20</f>
        <v>957782456</v>
      </c>
      <c r="J29" s="774">
        <f>+DEUDA!T20</f>
        <v>835821090</v>
      </c>
      <c r="K29" s="774">
        <f>+DEUDA!V20</f>
        <v>694062488</v>
      </c>
      <c r="L29" s="774">
        <f>+DEUDA!X20</f>
        <v>567029062</v>
      </c>
      <c r="M29" s="774">
        <f>+DEUDA!Z20</f>
        <v>450408358</v>
      </c>
      <c r="N29" s="774">
        <f>+DEUDA!AB20</f>
        <v>333684636</v>
      </c>
    </row>
    <row r="30" spans="1:14" s="277" customFormat="1" ht="15.75" thickBot="1">
      <c r="A30" s="289">
        <v>4</v>
      </c>
      <c r="B30" s="290" t="s">
        <v>409</v>
      </c>
      <c r="C30" s="291"/>
      <c r="D30" s="775">
        <f aca="true" t="shared" si="13" ref="D30:N30">SUM(D28:D29)</f>
        <v>0</v>
      </c>
      <c r="E30" s="775">
        <f t="shared" si="13"/>
        <v>340124109</v>
      </c>
      <c r="F30" s="775">
        <f t="shared" si="13"/>
        <v>352055993</v>
      </c>
      <c r="G30" s="775">
        <f t="shared" si="13"/>
        <v>761035964</v>
      </c>
      <c r="H30" s="775">
        <f t="shared" si="13"/>
        <v>946823469</v>
      </c>
      <c r="I30" s="775">
        <f t="shared" si="13"/>
        <v>957782456</v>
      </c>
      <c r="J30" s="775">
        <f t="shared" si="13"/>
        <v>835821090</v>
      </c>
      <c r="K30" s="775">
        <f t="shared" si="13"/>
        <v>694062488</v>
      </c>
      <c r="L30" s="775">
        <f t="shared" si="13"/>
        <v>567029062</v>
      </c>
      <c r="M30" s="775">
        <f t="shared" si="13"/>
        <v>450408358</v>
      </c>
      <c r="N30" s="775">
        <f t="shared" si="13"/>
        <v>333684636</v>
      </c>
    </row>
    <row r="31" spans="1:14" ht="15.75" thickBot="1">
      <c r="A31" s="268"/>
      <c r="B31" s="569"/>
      <c r="C31" s="568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</row>
    <row r="32" spans="1:14" ht="15.75" thickBot="1">
      <c r="A32" s="264"/>
      <c r="B32" s="265" t="s">
        <v>410</v>
      </c>
      <c r="C32" s="266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</row>
    <row r="33" spans="1:14" ht="15">
      <c r="A33" s="294">
        <v>5.1</v>
      </c>
      <c r="B33" s="295" t="s">
        <v>411</v>
      </c>
      <c r="C33" s="565"/>
      <c r="D33" s="968">
        <v>0</v>
      </c>
      <c r="E33" s="767">
        <v>0</v>
      </c>
      <c r="F33" s="767">
        <v>1900000000</v>
      </c>
      <c r="G33" s="767">
        <v>2000000000</v>
      </c>
      <c r="H33" s="767">
        <v>600000000</v>
      </c>
      <c r="I33" s="767"/>
      <c r="J33" s="767"/>
      <c r="K33" s="767"/>
      <c r="L33" s="767"/>
      <c r="M33" s="767"/>
      <c r="N33" s="767"/>
    </row>
    <row r="34" spans="1:14" ht="15">
      <c r="A34" s="296">
        <v>5.2</v>
      </c>
      <c r="B34" s="262" t="s">
        <v>412</v>
      </c>
      <c r="C34" s="12"/>
      <c r="D34" s="768">
        <v>0</v>
      </c>
      <c r="E34" s="768">
        <v>0</v>
      </c>
      <c r="F34" s="768"/>
      <c r="G34" s="768"/>
      <c r="H34" s="768"/>
      <c r="I34" s="768"/>
      <c r="J34" s="768"/>
      <c r="K34" s="768"/>
      <c r="L34" s="768"/>
      <c r="M34" s="768"/>
      <c r="N34" s="768"/>
    </row>
    <row r="35" spans="1:14" ht="15.75" thickBot="1">
      <c r="A35" s="297">
        <v>5.3</v>
      </c>
      <c r="B35" s="298" t="s">
        <v>413</v>
      </c>
      <c r="C35" s="299"/>
      <c r="D35" s="969">
        <v>0</v>
      </c>
      <c r="E35" s="969">
        <v>0</v>
      </c>
      <c r="F35" s="778"/>
      <c r="G35" s="778"/>
      <c r="H35" s="778"/>
      <c r="I35" s="778"/>
      <c r="J35" s="778"/>
      <c r="K35" s="778"/>
      <c r="L35" s="778"/>
      <c r="M35" s="778"/>
      <c r="N35" s="778"/>
    </row>
    <row r="36" spans="1:14" ht="15.75" thickBot="1">
      <c r="A36" s="300"/>
      <c r="B36" s="262"/>
      <c r="C36" s="178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</row>
    <row r="37" spans="1:14" ht="16.5" thickBot="1">
      <c r="A37" s="268"/>
      <c r="B37" s="570" t="s">
        <v>414</v>
      </c>
      <c r="C37" s="571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</row>
    <row r="38" spans="1:14" ht="16.5" thickBot="1">
      <c r="A38" s="961">
        <v>5</v>
      </c>
      <c r="B38" s="962" t="s">
        <v>415</v>
      </c>
      <c r="C38" s="963"/>
      <c r="D38" s="964">
        <f aca="true" t="shared" si="14" ref="D38:I38">+D21+D22-D23+D33-D34</f>
        <v>1155926265</v>
      </c>
      <c r="E38" s="964">
        <f t="shared" si="14"/>
        <v>906582647</v>
      </c>
      <c r="F38" s="964">
        <f t="shared" si="14"/>
        <v>2576999776</v>
      </c>
      <c r="G38" s="964">
        <f t="shared" si="14"/>
        <v>4383842208</v>
      </c>
      <c r="H38" s="964">
        <f t="shared" si="14"/>
        <v>4801695404</v>
      </c>
      <c r="I38" s="964">
        <f t="shared" si="14"/>
        <v>4329284214</v>
      </c>
      <c r="J38" s="964">
        <f>+J21+J22-J23+J33-J34</f>
        <v>3697931326</v>
      </c>
      <c r="K38" s="964">
        <f>+K21+K22-K23+K33-K34</f>
        <v>3051550660</v>
      </c>
      <c r="L38" s="964">
        <f>+L21+L22-L23+L33-L34</f>
        <v>2471410660</v>
      </c>
      <c r="M38" s="964">
        <f>+M21+M22-M23+M33-M34</f>
        <v>1891270660</v>
      </c>
      <c r="N38" s="964">
        <f>+N21+N22-N23+N33-N34</f>
        <v>1309954660</v>
      </c>
    </row>
    <row r="39" spans="1:14" ht="16.5" thickBot="1">
      <c r="A39" s="961">
        <v>6</v>
      </c>
      <c r="B39" s="962" t="s">
        <v>416</v>
      </c>
      <c r="C39" s="963"/>
      <c r="D39" s="964">
        <f aca="true" t="shared" si="15" ref="D39:I39">+D30+D35</f>
        <v>0</v>
      </c>
      <c r="E39" s="964">
        <f t="shared" si="15"/>
        <v>340124109</v>
      </c>
      <c r="F39" s="964">
        <f t="shared" si="15"/>
        <v>352055993</v>
      </c>
      <c r="G39" s="964">
        <f t="shared" si="15"/>
        <v>761035964</v>
      </c>
      <c r="H39" s="964">
        <f t="shared" si="15"/>
        <v>946823469</v>
      </c>
      <c r="I39" s="964">
        <f t="shared" si="15"/>
        <v>957782456</v>
      </c>
      <c r="J39" s="964">
        <f>+J30+J35</f>
        <v>835821090</v>
      </c>
      <c r="K39" s="964">
        <f>+K30+K35</f>
        <v>694062488</v>
      </c>
      <c r="L39" s="964">
        <f>+L30+L35</f>
        <v>567029062</v>
      </c>
      <c r="M39" s="964">
        <f>+M30+M35</f>
        <v>450408358</v>
      </c>
      <c r="N39" s="964">
        <f>+N30+N35</f>
        <v>333684636</v>
      </c>
    </row>
    <row r="40" spans="1:14" ht="16.5" thickBot="1">
      <c r="A40" s="961">
        <v>7</v>
      </c>
      <c r="B40" s="965" t="s">
        <v>417</v>
      </c>
      <c r="C40" s="963"/>
      <c r="D40" s="966">
        <f aca="true" t="shared" si="16" ref="D40:N40">IF(D17&gt;0,D39/D17,0)</f>
        <v>0</v>
      </c>
      <c r="E40" s="966">
        <f t="shared" si="16"/>
        <v>0.15441599089605118</v>
      </c>
      <c r="F40" s="966">
        <f t="shared" si="16"/>
        <v>0.14530277617517406</v>
      </c>
      <c r="G40" s="966">
        <f t="shared" si="16"/>
        <v>0.285545069630056</v>
      </c>
      <c r="H40" s="966">
        <f t="shared" si="16"/>
        <v>0.32295782707221843</v>
      </c>
      <c r="I40" s="966">
        <f t="shared" si="16"/>
        <v>0.29699626836011084</v>
      </c>
      <c r="J40" s="966">
        <f t="shared" si="16"/>
        <v>0.23561598716589816</v>
      </c>
      <c r="K40" s="966">
        <f t="shared" si="16"/>
        <v>0.17786779341512748</v>
      </c>
      <c r="L40" s="966">
        <f t="shared" si="16"/>
        <v>0.13210260381180483</v>
      </c>
      <c r="M40" s="966">
        <f t="shared" si="16"/>
        <v>0.09539372663887705</v>
      </c>
      <c r="N40" s="966">
        <f t="shared" si="16"/>
        <v>0.06424759864081384</v>
      </c>
    </row>
    <row r="41" spans="1:14" ht="16.5" thickBot="1">
      <c r="A41" s="961">
        <v>8</v>
      </c>
      <c r="B41" s="298" t="s">
        <v>418</v>
      </c>
      <c r="C41" s="299"/>
      <c r="D41" s="967">
        <f aca="true" t="shared" si="17" ref="D41:I41">IF(D6&gt;0,D38/D6,0)</f>
        <v>0.26143730647464813</v>
      </c>
      <c r="E41" s="967">
        <f t="shared" si="17"/>
        <v>0.19979470405899666</v>
      </c>
      <c r="F41" s="967">
        <f t="shared" si="17"/>
        <v>0.5162954122372683</v>
      </c>
      <c r="G41" s="967">
        <f t="shared" si="17"/>
        <v>0.7984470373231193</v>
      </c>
      <c r="H41" s="967">
        <f t="shared" si="17"/>
        <v>0.7950475835299784</v>
      </c>
      <c r="I41" s="967">
        <f t="shared" si="17"/>
        <v>0.6516612955816837</v>
      </c>
      <c r="J41" s="967">
        <f>IF(J6&gt;0,J38/J6,0)</f>
        <v>0.5060250147084924</v>
      </c>
      <c r="K41" s="967">
        <f>IF(K6&gt;0,K38/K6,0)</f>
        <v>0.37961297116512843</v>
      </c>
      <c r="L41" s="967">
        <f>IF(L6&gt;0,L38/L6,0)</f>
        <v>0.2794941291233615</v>
      </c>
      <c r="M41" s="967">
        <f>IF(M6&gt;0,M38/M6,0)</f>
        <v>0.19444141562501396</v>
      </c>
      <c r="N41" s="967">
        <f>IF(N6&gt;0,N38/N6,0)</f>
        <v>0.12243304984990348</v>
      </c>
    </row>
    <row r="42" spans="2:14" ht="9" customHeight="1" thickBot="1">
      <c r="B42" s="568"/>
      <c r="C42" s="568"/>
      <c r="J42"/>
      <c r="K42"/>
      <c r="L42"/>
      <c r="M42"/>
      <c r="N42"/>
    </row>
    <row r="43" spans="1:14" ht="16.5" thickBot="1">
      <c r="A43" s="262"/>
      <c r="B43" s="828" t="s">
        <v>419</v>
      </c>
      <c r="C43" s="309" t="s">
        <v>420</v>
      </c>
      <c r="D43" s="310" t="str">
        <f aca="true" t="shared" si="18" ref="D43:I43">IF(D40=0,"FALTAN  DATOS",IF(D41&gt;0.8,"ROJO",IF(D40&gt;0.6,"ROJO",IF(D40&lt;=0.4,"VERDE","AMARILLO"))))</f>
        <v>FALTAN  DATOS</v>
      </c>
      <c r="E43" s="310" t="str">
        <f t="shared" si="18"/>
        <v>VERDE</v>
      </c>
      <c r="F43" s="310" t="str">
        <f t="shared" si="18"/>
        <v>VERDE</v>
      </c>
      <c r="G43" s="310" t="str">
        <f t="shared" si="18"/>
        <v>VERDE</v>
      </c>
      <c r="H43" s="310" t="str">
        <f t="shared" si="18"/>
        <v>VERDE</v>
      </c>
      <c r="I43" s="310" t="str">
        <f t="shared" si="18"/>
        <v>VERDE</v>
      </c>
      <c r="J43" s="310" t="str">
        <f>IF(J40=0,"FALTAN  DATOS",IF(J41&gt;0.8,"ROJO",IF(J40&gt;0.6,"ROJO",IF(J40&lt;=0.4,"VERDE","AMARILLO"))))</f>
        <v>VERDE</v>
      </c>
      <c r="K43" s="310" t="str">
        <f>IF(K40=0,"FALTAN  DATOS",IF(K41&gt;0.8,"ROJO",IF(K40&gt;0.6,"ROJO",IF(K40&lt;=0.4,"VERDE","AMARILLO"))))</f>
        <v>VERDE</v>
      </c>
      <c r="L43" s="310" t="str">
        <f>IF(L40=0,"FALTAN  DATOS",IF(L41&gt;0.8,"ROJO",IF(L40&gt;0.6,"ROJO",IF(L40&lt;=0.4,"VERDE","AMARILLO"))))</f>
        <v>VERDE</v>
      </c>
      <c r="M43" s="310" t="str">
        <f>IF(M40=0,"FALTAN  DATOS",IF(M41&gt;0.8,"ROJO",IF(M40&gt;0.6,"ROJO",IF(M40&lt;=0.4,"VERDE","AMARILLO"))))</f>
        <v>VERDE</v>
      </c>
      <c r="N43" s="310" t="str">
        <f>IF(N40=0,"FALTAN  DATOS",IF(N41&gt;0.8,"ROJO",IF(N40&gt;0.6,"ROJO",IF(N40&lt;=0.4,"VERDE","AMARILLO"))))</f>
        <v>VERDE</v>
      </c>
    </row>
    <row r="44" spans="1:14" ht="48.75" thickBot="1">
      <c r="A44" s="311"/>
      <c r="B44" s="572"/>
      <c r="C44" s="312" t="s">
        <v>421</v>
      </c>
      <c r="D44" s="313" t="str">
        <f aca="true" t="shared" si="19" ref="D44:N44">IF(D43="VERDE","NO REQUIERE AUTORIZACION PARA ENDEUDARSE",".-.-.-.")</f>
        <v>.-.-.-.</v>
      </c>
      <c r="E44" s="313" t="str">
        <f t="shared" si="19"/>
        <v>NO REQUIERE AUTORIZACION PARA ENDEUDARSE</v>
      </c>
      <c r="F44" s="313" t="str">
        <f t="shared" si="19"/>
        <v>NO REQUIERE AUTORIZACION PARA ENDEUDARSE</v>
      </c>
      <c r="G44" s="313" t="str">
        <f t="shared" si="19"/>
        <v>NO REQUIERE AUTORIZACION PARA ENDEUDARSE</v>
      </c>
      <c r="H44" s="313" t="str">
        <f t="shared" si="19"/>
        <v>NO REQUIERE AUTORIZACION PARA ENDEUDARSE</v>
      </c>
      <c r="I44" s="313" t="str">
        <f t="shared" si="19"/>
        <v>NO REQUIERE AUTORIZACION PARA ENDEUDARSE</v>
      </c>
      <c r="J44" s="313" t="str">
        <f t="shared" si="19"/>
        <v>NO REQUIERE AUTORIZACION PARA ENDEUDARSE</v>
      </c>
      <c r="K44" s="313" t="str">
        <f t="shared" si="19"/>
        <v>NO REQUIERE AUTORIZACION PARA ENDEUDARSE</v>
      </c>
      <c r="L44" s="313" t="str">
        <f t="shared" si="19"/>
        <v>NO REQUIERE AUTORIZACION PARA ENDEUDARSE</v>
      </c>
      <c r="M44" s="313" t="str">
        <f t="shared" si="19"/>
        <v>NO REQUIERE AUTORIZACION PARA ENDEUDARSE</v>
      </c>
      <c r="N44" s="313" t="str">
        <f t="shared" si="19"/>
        <v>NO REQUIERE AUTORIZACION PARA ENDEUDARSE</v>
      </c>
    </row>
    <row r="45" spans="1:14" ht="24" customHeight="1" thickBot="1">
      <c r="A45" s="311"/>
      <c r="B45" s="572"/>
      <c r="C45" s="312" t="s">
        <v>422</v>
      </c>
      <c r="D45" s="313" t="str">
        <f aca="true" t="shared" si="20" ref="D45:I45">IF(D33=0,".-.-.-.",IF(D21=0,".-.-.-.",IF(D43="FALTAN  DATOS",".-.-.-.",IF(D43="VERDE",".-.-.-.",IF(D43="ROJO",".-.-.-.",IF(((D21+D33)/D21)&lt;=D18,"NO REQUIERE AUTORIZACION PARA ENDEUDARSE","SI REQUIERE AUTORIZACION PARA ENDEUDARSE"))))))</f>
        <v>.-.-.-.</v>
      </c>
      <c r="E45" s="313" t="str">
        <f t="shared" si="20"/>
        <v>.-.-.-.</v>
      </c>
      <c r="F45" s="313" t="str">
        <f t="shared" si="20"/>
        <v>.-.-.-.</v>
      </c>
      <c r="G45" s="313" t="str">
        <f t="shared" si="20"/>
        <v>.-.-.-.</v>
      </c>
      <c r="H45" s="313" t="str">
        <f t="shared" si="20"/>
        <v>.-.-.-.</v>
      </c>
      <c r="I45" s="313" t="str">
        <f t="shared" si="20"/>
        <v>.-.-.-.</v>
      </c>
      <c r="J45" s="313" t="str">
        <f>IF(J33=0,".-.-.-.",IF(J21=0,".-.-.-.",IF(J43="FALTAN  DATOS",".-.-.-.",IF(J43="VERDE",".-.-.-.",IF(J43="ROJO",".-.-.-.",IF(((J21+J33)/J21)&lt;=J18,"NO REQUIERE AUTORIZACION PARA ENDEUDARSE","SI REQUIERE AUTORIZACION PARA ENDEUDARSE"))))))</f>
        <v>.-.-.-.</v>
      </c>
      <c r="K45" s="313" t="str">
        <f>IF(K33=0,".-.-.-.",IF(K21=0,".-.-.-.",IF(K43="FALTAN  DATOS",".-.-.-.",IF(K43="VERDE",".-.-.-.",IF(K43="ROJO",".-.-.-.",IF(((K21+K33)/K21)&lt;=K18,"NO REQUIERE AUTORIZACION PARA ENDEUDARSE","SI REQUIERE AUTORIZACION PARA ENDEUDARSE"))))))</f>
        <v>.-.-.-.</v>
      </c>
      <c r="L45" s="313" t="str">
        <f>IF(L33=0,".-.-.-.",IF(L21=0,".-.-.-.",IF(L43="FALTAN  DATOS",".-.-.-.",IF(L43="VERDE",".-.-.-.",IF(L43="ROJO",".-.-.-.",IF(((L21+L33)/L21)&lt;=L18,"NO REQUIERE AUTORIZACION PARA ENDEUDARSE","SI REQUIERE AUTORIZACION PARA ENDEUDARSE"))))))</f>
        <v>.-.-.-.</v>
      </c>
      <c r="M45" s="313" t="str">
        <f>IF(M33=0,".-.-.-.",IF(M21=0,".-.-.-.",IF(M43="FALTAN  DATOS",".-.-.-.",IF(M43="VERDE",".-.-.-.",IF(M43="ROJO",".-.-.-.",IF(((M21+M33)/M21)&lt;=M18,"NO REQUIERE AUTORIZACION PARA ENDEUDARSE","SI REQUIERE AUTORIZACION PARA ENDEUDARSE"))))))</f>
        <v>.-.-.-.</v>
      </c>
      <c r="N45" s="313" t="str">
        <f>IF(N33=0,".-.-.-.",IF(N21=0,".-.-.-.",IF(N43="FALTAN  DATOS",".-.-.-.",IF(N43="VERDE",".-.-.-.",IF(N43="ROJO",".-.-.-.",IF(((N21+N33)/N21)&lt;=N18,"NO REQUIERE AUTORIZACION PARA ENDEUDARSE","SI REQUIERE AUTORIZACION PARA ENDEUDARSE"))))))</f>
        <v>.-.-.-.</v>
      </c>
    </row>
    <row r="46" spans="1:14" ht="31.5" customHeight="1" thickBot="1">
      <c r="A46" s="311"/>
      <c r="B46" s="573"/>
      <c r="C46" s="315" t="s">
        <v>423</v>
      </c>
      <c r="D46" s="313" t="str">
        <f>IF(D33=0,".-.-.-.",IF(D43="FALTAN  DATOS",".-.-.-.",IF(D43="VERDE",".-.-.-.",IF(D43="AMARILLO",".-.-.-.",IF(D26+D33&lt;=(D26*(((D18-1)*0.4)+1)),"N.R.AUT.","SI REQUIERE AUTORIZACION.")))))</f>
        <v>.-.-.-.</v>
      </c>
      <c r="E46" s="328" t="str">
        <f>IF(E33=0,".-.-.-.",IF(E43="FALTAN  DATOS",".-.-.-.",IF(E43="VERDE",".-.-.-.",IF(E43="AMARILLO",".-.-.-.",IF($B$44="CONVENIO DE DESEMPEÑO VIGENTE","SI REQUIERE AUTORIZACION.",IF(E26+E33&lt;=(E26*(((E18-1)*0.4)+1)),"N.R.AUT.","SI REQUIERE AUTORIZACION."))))))</f>
        <v>.-.-.-.</v>
      </c>
      <c r="F46" s="328" t="str">
        <f aca="true" t="shared" si="21" ref="F46:N46">IF(F33=0,".-.-.-.",IF(F43="FALTAN  DATOS",".-.-.-.",IF(F43="VERDE",".-.-.-.",IF(F43="AMARILLO",".-.-.-.",IF($B$44="CONVENIO DE DESEMPEÑO VIGENTE","SI REQUIERE AUTORIZACION.","SI REQUIERE AUTORIZACION.")))))</f>
        <v>.-.-.-.</v>
      </c>
      <c r="G46" s="328" t="str">
        <f t="shared" si="21"/>
        <v>.-.-.-.</v>
      </c>
      <c r="H46" s="328" t="str">
        <f t="shared" si="21"/>
        <v>.-.-.-.</v>
      </c>
      <c r="I46" s="328" t="str">
        <f t="shared" si="21"/>
        <v>.-.-.-.</v>
      </c>
      <c r="J46" s="328" t="str">
        <f t="shared" si="21"/>
        <v>.-.-.-.</v>
      </c>
      <c r="K46" s="328" t="str">
        <f t="shared" si="21"/>
        <v>.-.-.-.</v>
      </c>
      <c r="L46" s="328" t="str">
        <f t="shared" si="21"/>
        <v>.-.-.-.</v>
      </c>
      <c r="M46" s="328" t="str">
        <f t="shared" si="21"/>
        <v>.-.-.-.</v>
      </c>
      <c r="N46" s="328" t="str">
        <f t="shared" si="21"/>
        <v>.-.-.-.</v>
      </c>
    </row>
    <row r="47" spans="1:3" ht="15.75">
      <c r="A47" s="316"/>
      <c r="B47" s="178"/>
      <c r="C47" s="32"/>
    </row>
    <row r="48" spans="1:3" ht="15.75">
      <c r="A48" s="317"/>
      <c r="B48" s="32"/>
      <c r="C48" s="178"/>
    </row>
    <row r="49" spans="1:9" ht="15.75">
      <c r="A49" s="317"/>
      <c r="B49" s="32"/>
      <c r="C49" s="318"/>
      <c r="D49" s="263"/>
      <c r="E49" s="263"/>
      <c r="F49" s="263"/>
      <c r="G49" s="263"/>
      <c r="H49" s="263"/>
      <c r="I49" s="263"/>
    </row>
    <row r="50" spans="1:9" ht="15">
      <c r="A50" s="319"/>
      <c r="B50" s="178"/>
      <c r="C50" s="263"/>
      <c r="D50" s="320"/>
      <c r="E50" s="320"/>
      <c r="F50" s="320"/>
      <c r="G50" s="320"/>
      <c r="H50" s="320"/>
      <c r="I50" s="320"/>
    </row>
    <row r="51" spans="1:9" ht="15">
      <c r="A51" s="319"/>
      <c r="B51" s="178"/>
      <c r="C51" s="178"/>
      <c r="D51" s="320"/>
      <c r="E51" s="320"/>
      <c r="F51" s="320"/>
      <c r="G51" s="320"/>
      <c r="H51" s="320"/>
      <c r="I51" s="320"/>
    </row>
    <row r="52" spans="1:9" ht="15">
      <c r="A52" s="319"/>
      <c r="B52" s="178"/>
      <c r="C52" s="178"/>
      <c r="D52" s="320"/>
      <c r="E52" s="320"/>
      <c r="F52" s="320"/>
      <c r="G52" s="320"/>
      <c r="H52" s="320"/>
      <c r="I52" s="320"/>
    </row>
    <row r="53" spans="1:9" ht="15">
      <c r="A53" s="319"/>
      <c r="B53" s="321"/>
      <c r="C53" s="321"/>
      <c r="D53" s="322"/>
      <c r="E53" s="322"/>
      <c r="F53" s="322"/>
      <c r="G53" s="322"/>
      <c r="H53" s="322"/>
      <c r="I53" s="322"/>
    </row>
    <row r="54" spans="1:9" ht="15">
      <c r="A54" s="319"/>
      <c r="B54" s="178"/>
      <c r="C54" s="178"/>
      <c r="D54" s="322"/>
      <c r="E54" s="322"/>
      <c r="F54" s="322"/>
      <c r="G54" s="322"/>
      <c r="H54" s="322"/>
      <c r="I54" s="322"/>
    </row>
    <row r="55" spans="1:9" ht="15">
      <c r="A55" s="319"/>
      <c r="B55" s="178"/>
      <c r="C55" s="178"/>
      <c r="D55" s="263"/>
      <c r="E55" s="263"/>
      <c r="F55" s="263"/>
      <c r="G55" s="263"/>
      <c r="H55" s="263"/>
      <c r="I55" s="263"/>
    </row>
    <row r="56" spans="1:9" ht="15">
      <c r="A56" s="319"/>
      <c r="B56" s="321"/>
      <c r="C56" s="321"/>
      <c r="D56" s="322"/>
      <c r="E56" s="322"/>
      <c r="F56" s="322"/>
      <c r="G56" s="322"/>
      <c r="H56" s="322"/>
      <c r="I56" s="322"/>
    </row>
    <row r="57" spans="1:9" ht="15">
      <c r="A57" s="319"/>
      <c r="B57" s="321"/>
      <c r="C57" s="321"/>
      <c r="D57" s="322"/>
      <c r="E57" s="322"/>
      <c r="F57" s="322"/>
      <c r="G57" s="322"/>
      <c r="H57" s="322"/>
      <c r="I57" s="322"/>
    </row>
    <row r="58" spans="1:9" ht="15">
      <c r="A58" s="319"/>
      <c r="B58" s="321"/>
      <c r="C58" s="321"/>
      <c r="D58" s="322"/>
      <c r="E58" s="322"/>
      <c r="F58" s="322"/>
      <c r="G58" s="322"/>
      <c r="H58" s="322"/>
      <c r="I58" s="322"/>
    </row>
    <row r="59" spans="1:9" ht="15">
      <c r="A59" s="319"/>
      <c r="B59" s="321"/>
      <c r="C59" s="321"/>
      <c r="D59" s="322"/>
      <c r="E59" s="322"/>
      <c r="F59" s="322"/>
      <c r="G59" s="322"/>
      <c r="H59" s="322"/>
      <c r="I59" s="322"/>
    </row>
    <row r="60" spans="1:9" ht="15">
      <c r="A60" s="319"/>
      <c r="B60" s="323"/>
      <c r="C60" s="323"/>
      <c r="D60" s="263"/>
      <c r="E60" s="263"/>
      <c r="F60" s="263"/>
      <c r="G60" s="263"/>
      <c r="H60" s="263"/>
      <c r="I60" s="263"/>
    </row>
    <row r="61" spans="1:9" ht="15">
      <c r="A61" s="262"/>
      <c r="B61" s="178"/>
      <c r="C61" s="178"/>
      <c r="D61" s="263"/>
      <c r="E61" s="263"/>
      <c r="F61" s="263"/>
      <c r="G61" s="263"/>
      <c r="H61" s="263"/>
      <c r="I61" s="263"/>
    </row>
    <row r="62" spans="1:9" ht="15">
      <c r="A62" s="262"/>
      <c r="B62" s="321"/>
      <c r="C62" s="321"/>
      <c r="D62" s="322"/>
      <c r="E62" s="322"/>
      <c r="F62" s="322"/>
      <c r="G62" s="322"/>
      <c r="H62" s="322"/>
      <c r="I62" s="322"/>
    </row>
    <row r="63" spans="1:9" ht="15">
      <c r="A63" s="262"/>
      <c r="B63" s="321"/>
      <c r="C63" s="321"/>
      <c r="D63" s="322"/>
      <c r="E63" s="322"/>
      <c r="F63" s="322"/>
      <c r="G63" s="322"/>
      <c r="H63" s="322"/>
      <c r="I63" s="322"/>
    </row>
    <row r="64" spans="1:9" ht="15">
      <c r="A64" s="262"/>
      <c r="B64" s="178"/>
      <c r="C64" s="178"/>
      <c r="D64" s="263"/>
      <c r="E64" s="263"/>
      <c r="F64" s="263"/>
      <c r="G64" s="263"/>
      <c r="H64" s="263"/>
      <c r="I64" s="263"/>
    </row>
    <row r="65" spans="1:9" ht="15">
      <c r="A65" s="178"/>
      <c r="B65" s="321"/>
      <c r="C65" s="321"/>
      <c r="D65" s="322"/>
      <c r="E65" s="322"/>
      <c r="F65" s="322"/>
      <c r="G65" s="322"/>
      <c r="H65" s="322"/>
      <c r="I65" s="322"/>
    </row>
    <row r="66" spans="1:9" ht="15">
      <c r="A66" s="178"/>
      <c r="B66" s="321"/>
      <c r="C66" s="321"/>
      <c r="D66" s="322"/>
      <c r="E66" s="322"/>
      <c r="F66" s="322"/>
      <c r="G66" s="322"/>
      <c r="H66" s="322"/>
      <c r="I66" s="322"/>
    </row>
    <row r="67" spans="1:9" ht="15">
      <c r="A67" s="178"/>
      <c r="B67" s="323"/>
      <c r="C67" s="323"/>
      <c r="D67" s="263"/>
      <c r="E67" s="263"/>
      <c r="F67" s="263"/>
      <c r="G67" s="263"/>
      <c r="H67" s="263"/>
      <c r="I67" s="263"/>
    </row>
    <row r="68" spans="1:9" ht="15">
      <c r="A68" s="178"/>
      <c r="B68" s="321"/>
      <c r="C68" s="321"/>
      <c r="D68" s="322"/>
      <c r="E68" s="322"/>
      <c r="F68" s="322"/>
      <c r="G68" s="322"/>
      <c r="H68" s="322"/>
      <c r="I68" s="322"/>
    </row>
    <row r="69" spans="1:9" ht="15">
      <c r="A69" s="178"/>
      <c r="B69" s="321"/>
      <c r="C69" s="321"/>
      <c r="D69" s="322"/>
      <c r="E69" s="322"/>
      <c r="F69" s="322"/>
      <c r="G69" s="322"/>
      <c r="H69" s="322"/>
      <c r="I69" s="322"/>
    </row>
    <row r="70" spans="1:9" ht="15">
      <c r="A70" s="178"/>
      <c r="B70" s="178"/>
      <c r="C70" s="178"/>
      <c r="D70" s="263"/>
      <c r="E70" s="263"/>
      <c r="F70" s="263"/>
      <c r="G70" s="263"/>
      <c r="H70" s="263"/>
      <c r="I70" s="263"/>
    </row>
    <row r="71" spans="1:9" ht="15">
      <c r="A71" s="178"/>
      <c r="B71" s="321"/>
      <c r="C71" s="321"/>
      <c r="D71" s="322"/>
      <c r="E71" s="322"/>
      <c r="F71" s="322"/>
      <c r="G71" s="322"/>
      <c r="H71" s="322"/>
      <c r="I71" s="322"/>
    </row>
  </sheetData>
  <printOptions horizontalCentered="1" verticalCentered="1"/>
  <pageMargins left="0.3937007874015748" right="0.3937007874015748" top="0.3937007874015748" bottom="0.3937007874015748" header="0.3937007874015748" footer="0.1968503937007874"/>
  <pageSetup fitToHeight="1" fitToWidth="1" horizontalDpi="300" verticalDpi="300" orientation="landscape" scale="71" r:id="rId1"/>
  <headerFooter alignWithMargins="0">
    <oddFooter>&amp;C&amp;9&amp;[65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HACIENDA DEPARTA</dc:creator>
  <cp:keywords/>
  <dc:description/>
  <cp:lastModifiedBy>nelsmuno</cp:lastModifiedBy>
  <cp:lastPrinted>2000-07-19T20:05:48Z</cp:lastPrinted>
  <dcterms:created xsi:type="dcterms:W3CDTF">1997-09-28T21:43:05Z</dcterms:created>
  <dcterms:modified xsi:type="dcterms:W3CDTF">2005-06-16T19:52:06Z</dcterms:modified>
  <cp:category/>
  <cp:version/>
  <cp:contentType/>
  <cp:contentStatus/>
</cp:coreProperties>
</file>