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920" windowHeight="6495" tabRatio="824" firstSheet="3" activeTab="5"/>
  </bookViews>
  <sheets>
    <sheet name="INGSEP98" sheetId="1" state="hidden" r:id="rId1"/>
    <sheet name="evoluc. AHORRO CORRIENTE" sheetId="2" r:id="rId2"/>
    <sheet name="INGRESOS-GASTOS ANUALES" sheetId="3" r:id="rId3"/>
    <sheet name="% VARIACION ANUAL" sheetId="4" r:id="rId4"/>
    <sheet name="PROGRAM. 2004-2007" sheetId="5" r:id="rId5"/>
    <sheet name="PROGRAM. INV. CON ICLD" sheetId="6" r:id="rId6"/>
  </sheets>
  <definedNames>
    <definedName name="_Parse_In" localSheetId="3" hidden="1">'% VARIACION ANUAL'!#REF!</definedName>
    <definedName name="_Parse_In" localSheetId="1" hidden="1">'evoluc. AHORRO CORRIENTE'!#REF!</definedName>
    <definedName name="_Parse_In" localSheetId="2" hidden="1">'INGRESOS-GASTOS ANUALES'!#REF!</definedName>
    <definedName name="_Parse_In" localSheetId="4" hidden="1">'PROGRAM. 2004-2007'!#REF!</definedName>
    <definedName name="_Parse_In" localSheetId="5" hidden="1">'PROGRAM. INV. CON ICLD'!#REF!</definedName>
    <definedName name="_Parse_In" hidden="1">'INGSEP98'!#REF!</definedName>
    <definedName name="_Regression_Int" localSheetId="3" hidden="1">0</definedName>
    <definedName name="_Regression_Int" localSheetId="1" hidden="1">0</definedName>
    <definedName name="_Regression_Int" localSheetId="2" hidden="1">0</definedName>
    <definedName name="_Regression_Int" localSheetId="0" hidden="1">0</definedName>
    <definedName name="_Regression_Int" localSheetId="4" hidden="1">0</definedName>
    <definedName name="_Regression_Int" localSheetId="5" hidden="1">0</definedName>
    <definedName name="A_IMPRESIÓN_IM">#REF!</definedName>
    <definedName name="_xlnm.Print_Area" localSheetId="4">'PROGRAM. 2004-2007'!$A$1:$E$142</definedName>
    <definedName name="Imprimir_área_IM" localSheetId="3">'% VARIACION ANUAL'!#REF!</definedName>
    <definedName name="Imprimir_área_IM" localSheetId="1">'evoluc. AHORRO CORRIENTE'!#REF!</definedName>
    <definedName name="Imprimir_área_IM" localSheetId="2">'INGRESOS-GASTOS ANUALES'!#REF!</definedName>
    <definedName name="Imprimir_área_IM" localSheetId="0">'INGSEP98'!#REF!</definedName>
    <definedName name="Imprimir_área_IM" localSheetId="4">'PROGRAM. 2004-2007'!#REF!</definedName>
    <definedName name="Imprimir_área_IM" localSheetId="5">'PROGRAM. INV. CON ICLD'!#REF!</definedName>
    <definedName name="Imprimir_títulos_IM" localSheetId="3">'% VARIACION ANUAL'!#REF!,'% VARIACION ANUAL'!#REF!</definedName>
    <definedName name="Imprimir_títulos_IM" localSheetId="1">'evoluc. AHORRO CORRIENTE'!#REF!,'evoluc. AHORRO CORRIENTE'!$A:$A</definedName>
    <definedName name="Imprimir_títulos_IM" localSheetId="2">'INGRESOS-GASTOS ANUALES'!#REF!,'INGRESOS-GASTOS ANUALES'!$A:$A</definedName>
    <definedName name="Imprimir_títulos_IM" localSheetId="0">'INGSEP98'!#REF!,'INGSEP98'!$A:$A</definedName>
    <definedName name="Imprimir_títulos_IM" localSheetId="4">'PROGRAM. 2004-2007'!#REF!,'PROGRAM. 2004-2007'!$A:$A</definedName>
    <definedName name="Imprimir_títulos_IM" localSheetId="5">'PROGRAM. INV. CON ICLD'!#REF!,'PROGRAM. INV. CON ICLD'!$A:$A</definedName>
    <definedName name="LIQ96">#REF!</definedName>
    <definedName name="lL131" localSheetId="3">'% VARIACION ANUAL'!#REF!</definedName>
    <definedName name="lL131" localSheetId="1">'evoluc. AHORRO CORRIENTE'!#REF!</definedName>
    <definedName name="lL131" localSheetId="2">'INGRESOS-GASTOS ANUALES'!#REF!</definedName>
    <definedName name="lL131" localSheetId="4">'PROGRAM. 2004-2007'!#REF!</definedName>
    <definedName name="lL131" localSheetId="5">'PROGRAM. INV. CON ICLD'!#REF!</definedName>
    <definedName name="lL131">'INGSEP98'!#REF!</definedName>
    <definedName name="mL131" localSheetId="3">'% VARIACION ANUAL'!#REF!</definedName>
    <definedName name="mL131" localSheetId="1">'evoluc. AHORRO CORRIENTE'!#REF!</definedName>
    <definedName name="mL131" localSheetId="2">'INGRESOS-GASTOS ANUALES'!#REF!</definedName>
    <definedName name="mL131" localSheetId="4">'PROGRAM. 2004-2007'!#REF!</definedName>
    <definedName name="mL131" localSheetId="5">'PROGRAM. INV. CON ICLD'!#REF!</definedName>
    <definedName name="mL131">'INGSEP98'!#REF!</definedName>
    <definedName name="_xlnm.Print_Titles" localSheetId="3">'% VARIACION ANUAL'!$1:$4</definedName>
    <definedName name="_xlnm.Print_Titles" localSheetId="1">'evoluc. AHORRO CORRIENTE'!$1:$4</definedName>
    <definedName name="_xlnm.Print_Titles" localSheetId="2">'INGRESOS-GASTOS ANUALES'!$1:$4</definedName>
    <definedName name="_xlnm.Print_Titles" localSheetId="4">'PROGRAM. 2004-2007'!$1:$3</definedName>
    <definedName name="_xlnm.Print_Titles" localSheetId="5">'PROGRAM. INV. CON ICLD'!$1:$4</definedName>
  </definedNames>
  <calcPr fullCalcOnLoad="1"/>
</workbook>
</file>

<file path=xl/sharedStrings.xml><?xml version="1.0" encoding="utf-8"?>
<sst xmlns="http://schemas.openxmlformats.org/spreadsheetml/2006/main" count="1783" uniqueCount="371">
  <si>
    <t>Remuneración Servicios Técnicos</t>
  </si>
  <si>
    <t>Indemnización Por Vacaciones (Convención)</t>
  </si>
  <si>
    <t>Otros Gastos Personales Indirectos</t>
  </si>
  <si>
    <t>Auxilio Funerario</t>
  </si>
  <si>
    <t>Prima de Pensión</t>
  </si>
  <si>
    <t>CONCEPTO</t>
  </si>
  <si>
    <t>TOTAL 98</t>
  </si>
  <si>
    <t>TOTAL 99</t>
  </si>
  <si>
    <t>TOTAL 2000</t>
  </si>
  <si>
    <t>TOTAL 2001</t>
  </si>
  <si>
    <t>PROMEDIO MENSUAL DE INGRESOS DE LOS AÑOS 1998-1999-2000-2001</t>
  </si>
  <si>
    <t>TOTAL</t>
  </si>
  <si>
    <t>PORCENTAJE RESULTANTE APLICABLE AL PAC MENSUAL DE INGRESOS</t>
  </si>
  <si>
    <t>PROMEDIO</t>
  </si>
  <si>
    <t>Predial Unificado</t>
  </si>
  <si>
    <t>Circulación y Transito</t>
  </si>
  <si>
    <t>Otros Imp Directos(Int.Predial)</t>
  </si>
  <si>
    <t>Industria y Comercio</t>
  </si>
  <si>
    <t>Industria y Comercio del Sector Financiero</t>
  </si>
  <si>
    <t>Avisos y Tableros</t>
  </si>
  <si>
    <t>Espectaculos Públicos</t>
  </si>
  <si>
    <t>Extracción de Materiales</t>
  </si>
  <si>
    <t>Delineación  de Construcción</t>
  </si>
  <si>
    <t>Uso del Subsuelo y excavación en vía pública</t>
  </si>
  <si>
    <t>Ocupación de vias y lugares públicos</t>
  </si>
  <si>
    <t>Registro de Marcas</t>
  </si>
  <si>
    <t>Publicidad, vallas y pasacalles</t>
  </si>
  <si>
    <t>Otros Impuestos indirectos</t>
  </si>
  <si>
    <t>Multas</t>
  </si>
  <si>
    <t>Estudio de Planos</t>
  </si>
  <si>
    <t>Expedición de Licencias de Construcción</t>
  </si>
  <si>
    <t>Pesas y Medidas</t>
  </si>
  <si>
    <t>Deguello de ganado mayor y menor</t>
  </si>
  <si>
    <t>Conceptos de Planeación</t>
  </si>
  <si>
    <t>Publicación gaceta oficial</t>
  </si>
  <si>
    <t>Certificaciones</t>
  </si>
  <si>
    <t>Comercialización Proyectos Umata</t>
  </si>
  <si>
    <t>Otras Tasas</t>
  </si>
  <si>
    <t>Ingresos sobretasa al combustible motor</t>
  </si>
  <si>
    <t>Arrendamiento de maquinaria y Equipo</t>
  </si>
  <si>
    <t>Arrendamiento de bienes Inmuebles</t>
  </si>
  <si>
    <t>Otras Rentas Contractuales</t>
  </si>
  <si>
    <t>Reintegros</t>
  </si>
  <si>
    <t>Intereses Moratorios de la Vigencia</t>
  </si>
  <si>
    <t>aprovechamientos</t>
  </si>
  <si>
    <t>Otras rentas ocasionales</t>
  </si>
  <si>
    <t xml:space="preserve"> </t>
  </si>
  <si>
    <t>Libre  Asiganción</t>
  </si>
  <si>
    <t>Forzosa Inversión</t>
  </si>
  <si>
    <t>Educación</t>
  </si>
  <si>
    <t>Agua Potable y Saneamaiento Básico</t>
  </si>
  <si>
    <t>Deporte, Cultura,Recreación y Aprov. Del T.L.</t>
  </si>
  <si>
    <t>Libre Inversión Sectores Sociales</t>
  </si>
  <si>
    <t>RECURSOS DE CAPITAL</t>
  </si>
  <si>
    <t>RECURSOS DEL BALANCE</t>
  </si>
  <si>
    <t>Cancelación de reservas</t>
  </si>
  <si>
    <t>Recuperación cartera de predial</t>
  </si>
  <si>
    <t>Otros recuperación de cartera</t>
  </si>
  <si>
    <t>RECURSOS DEL CREDITO</t>
  </si>
  <si>
    <t>Creditos Internos con entes financieros</t>
  </si>
  <si>
    <t>RENDIMIENTOS FINANCIEROS</t>
  </si>
  <si>
    <t>Rendimientos Financieros</t>
  </si>
  <si>
    <t>Excedentes Finan. Entidades Descentraliz.</t>
  </si>
  <si>
    <t>Excedentes Financieros del Municipio</t>
  </si>
  <si>
    <t>CONTRIBUCCION DE VALORIZACION</t>
  </si>
  <si>
    <t>Valorización</t>
  </si>
  <si>
    <t>FONDOS ESPECIALES</t>
  </si>
  <si>
    <t>FONDO LOCAL DE SALUD</t>
  </si>
  <si>
    <t>Ingresos Corrientes de la Nación</t>
  </si>
  <si>
    <t>Régimen Subsidiado NBI</t>
  </si>
  <si>
    <t>zona Urbana</t>
  </si>
  <si>
    <t>Zona Rural</t>
  </si>
  <si>
    <t>Otros ingresos para Inversión en salud (10Ptos)</t>
  </si>
  <si>
    <t>Acciones P.A.B.</t>
  </si>
  <si>
    <t>Zona Urbana</t>
  </si>
  <si>
    <t>Situado fiscal</t>
  </si>
  <si>
    <t xml:space="preserve">Con situación de fondos </t>
  </si>
  <si>
    <t>Prevención de enf.y fomento de la salud, PAB</t>
  </si>
  <si>
    <t>promoción de la salud</t>
  </si>
  <si>
    <t>Prestación de servicios</t>
  </si>
  <si>
    <t>Subsisidio a la Demanda</t>
  </si>
  <si>
    <t>Sin situación de fondos</t>
  </si>
  <si>
    <t>Aportes Patronales</t>
  </si>
  <si>
    <t>Aportes Nacionales</t>
  </si>
  <si>
    <t>Cofinanciación de programs especiales</t>
  </si>
  <si>
    <t>FOSYGA</t>
  </si>
  <si>
    <t>Promoción de la salud y prevención de la enfer.</t>
  </si>
  <si>
    <t xml:space="preserve">Régimen Subsidiado  </t>
  </si>
  <si>
    <t>ECOSALUD</t>
  </si>
  <si>
    <t>Aporters de Ecosalud</t>
  </si>
  <si>
    <t>RECURSOS DE ORIGEN DEPARTAMENTAL</t>
  </si>
  <si>
    <t>Aportes, Rentas Cedidas</t>
  </si>
  <si>
    <t>RECURSOS DE ORIGEN MUNICIPAL</t>
  </si>
  <si>
    <t>Impuestos Municipales</t>
  </si>
  <si>
    <t>Juegos, Rifas, apuestas y Premios</t>
  </si>
  <si>
    <t xml:space="preserve">Otros Ingresos Municipales </t>
  </si>
  <si>
    <t>Regalias</t>
  </si>
  <si>
    <t xml:space="preserve">FONDO DE ELECTRIFICACION Y ALUMBRADO </t>
  </si>
  <si>
    <t>PUBLICO</t>
  </si>
  <si>
    <t>Alumbrado Público</t>
  </si>
  <si>
    <t>FONDO DE PREVENCION Y ATENCION DE</t>
  </si>
  <si>
    <t>DESASTRES</t>
  </si>
  <si>
    <t>Aportes</t>
  </si>
  <si>
    <t>VIVIENDA DE INTERES SOCIAL</t>
  </si>
  <si>
    <t>Rentas Propias</t>
  </si>
  <si>
    <t>FONDO DE SEGURIDAD</t>
  </si>
  <si>
    <t>Fondo de Seguridad 5% vías</t>
  </si>
  <si>
    <t>CONVENIOS Y TRANSFERENCIAS</t>
  </si>
  <si>
    <t>Convenios con la Nación</t>
  </si>
  <si>
    <t>Convenios con FIS</t>
  </si>
  <si>
    <t>Convenios con FIU</t>
  </si>
  <si>
    <t>Convenios con DRI</t>
  </si>
  <si>
    <t>Convenios con Red de Solidaridad</t>
  </si>
  <si>
    <t>Convenios con Plante</t>
  </si>
  <si>
    <t>Otros convenios y transferencias</t>
  </si>
  <si>
    <t>Impuesto Predial Unificado 2002</t>
  </si>
  <si>
    <t>Otros Ingresos Directos</t>
  </si>
  <si>
    <t>Impuesto de Industria y Comercio 2002</t>
  </si>
  <si>
    <t>Industria y Comercio Sector Financiero</t>
  </si>
  <si>
    <t>Avisos , Tableros y Vallas</t>
  </si>
  <si>
    <t>Uso del Subsuelo y excavaciones en v¡a p£blica</t>
  </si>
  <si>
    <t>Espectaculos P£blicos</t>
  </si>
  <si>
    <t>Licencias de Construcci¢n</t>
  </si>
  <si>
    <t>Registro patentes, marcas y Herretes</t>
  </si>
  <si>
    <t>Deguello Ganado Menor</t>
  </si>
  <si>
    <t>Ocupaci¢n de v¡as y lugares p£blicos</t>
  </si>
  <si>
    <t>Alumbrado Publico</t>
  </si>
  <si>
    <t>Concepto de Planeaci¢n</t>
  </si>
  <si>
    <t>Estudios de Planos</t>
  </si>
  <si>
    <t>Otros Ingresos Indirectos</t>
  </si>
  <si>
    <t>Sobretasa a la Gasolina</t>
  </si>
  <si>
    <t>Derechos Transito y Transporte</t>
  </si>
  <si>
    <t>Gaceta Municipal</t>
  </si>
  <si>
    <t>Plaza de Mercado</t>
  </si>
  <si>
    <t>Certificados</t>
  </si>
  <si>
    <t>Proyectos comercializaci¢n Umata</t>
  </si>
  <si>
    <t>Arrendamiento Maquinaria, equipo y Vehiculos</t>
  </si>
  <si>
    <t>Arrendamiento Inmuebles</t>
  </si>
  <si>
    <t>Intereses moratorios</t>
  </si>
  <si>
    <t>Otras Rentas Ocasionales</t>
  </si>
  <si>
    <t>TRANSFERENCIAS</t>
  </si>
  <si>
    <t>De la Naci¢n-Sistema General de Transferencias</t>
  </si>
  <si>
    <t>Libre Destinaci¢n 2002</t>
  </si>
  <si>
    <t>Inversi¢n Forzosa</t>
  </si>
  <si>
    <t>Inversi¢n Forzosa a¤os anteriores</t>
  </si>
  <si>
    <t>SISTEMA GENERAL DE PARTICIPACIONES</t>
  </si>
  <si>
    <t>1    ASIGNACION ESPECIAL</t>
  </si>
  <si>
    <t>101  Alimentaci¢n Escolar</t>
  </si>
  <si>
    <t>2    PARTICIPACION PARA EDUCACION</t>
  </si>
  <si>
    <t>201  Prestaci¢n de Servicios</t>
  </si>
  <si>
    <t>202  Aportes Patronales</t>
  </si>
  <si>
    <t>3    PARTICIPACION PARA PROPOSITO GENERAL</t>
  </si>
  <si>
    <t>301  Libre Destinaci¢n</t>
  </si>
  <si>
    <t>302  Inversi¢n Forzosa</t>
  </si>
  <si>
    <t>303  Libre Destinaci¢n a¤os anteriores</t>
  </si>
  <si>
    <t>304  Inversi¢n Forsoza a¤os anteriores</t>
  </si>
  <si>
    <t>Regal¡as Compensaci¢n Petroliferas</t>
  </si>
  <si>
    <t>Del Departamento</t>
  </si>
  <si>
    <t>20% Impuesto Veh¡culos automotores</t>
  </si>
  <si>
    <t xml:space="preserve">Otras Transferencias </t>
  </si>
  <si>
    <t>Fondo de Valorizaci¢n</t>
  </si>
  <si>
    <t>Pavimentaci¢n con asfalto</t>
  </si>
  <si>
    <t>Fondo Sobretasa Bomberil</t>
  </si>
  <si>
    <t>Fondo del Deporte</t>
  </si>
  <si>
    <t>Contrato Interadministrativo No.0237/01</t>
  </si>
  <si>
    <t>Fondo Local de Salud</t>
  </si>
  <si>
    <t>Situado Fiscal</t>
  </si>
  <si>
    <t>Prestaci¢n de Servicios Subsidio de la Oferta</t>
  </si>
  <si>
    <t>Prestaci¢n de Servicios Subsidio de la Demanda</t>
  </si>
  <si>
    <t>Prevenci¢n de enfermedad y fomento de la salud PAB</t>
  </si>
  <si>
    <t>Rentas Cedidas</t>
  </si>
  <si>
    <t>Fosyga</t>
  </si>
  <si>
    <t>R‚gimen subsidiado</t>
  </si>
  <si>
    <t>Ecosalud</t>
  </si>
  <si>
    <t>P.I.C.N.</t>
  </si>
  <si>
    <t>Juegos, Rifas, apuestas y premios</t>
  </si>
  <si>
    <t>Otros Ingresos Municipio</t>
  </si>
  <si>
    <t>Salud P£blica</t>
  </si>
  <si>
    <t>R‚gimen Subsidiado</t>
  </si>
  <si>
    <t>R‚gimen Subsidiado Continuidad</t>
  </si>
  <si>
    <t>R‚gimen Subsidiado Ampliaci¢n</t>
  </si>
  <si>
    <t>Prestaci¢n de Servicios</t>
  </si>
  <si>
    <t>Recursos del Balance</t>
  </si>
  <si>
    <t>Cancelaci¢n Reservas</t>
  </si>
  <si>
    <t>PICN Agua Potable y Saneamiento Basico</t>
  </si>
  <si>
    <t>PICN libre Inversi¢n Inversi¢n Sectores Sociales</t>
  </si>
  <si>
    <t>PICN Fondo Local de Salud Convenio Pab</t>
  </si>
  <si>
    <t>Electrolima Contrato No.283/2001</t>
  </si>
  <si>
    <t>Excedentes Financieros</t>
  </si>
  <si>
    <t>Fondo Nacional regal¡as Electrificaci¢n Vereda la Aurora</t>
  </si>
  <si>
    <t>Fondo Nacional Proyecto Diag.amb. parque de las Hermosas</t>
  </si>
  <si>
    <t>Aportes FAEP</t>
  </si>
  <si>
    <t>Fondo Nacional de Regal¡as Construcci¢n Electrificaci¢n rural vereda Pipi</t>
  </si>
  <si>
    <t>Convenios Fondo Dri</t>
  </si>
  <si>
    <t>Comodato No.146 Dpto del Tolima</t>
  </si>
  <si>
    <t>Convenio con el Departamento</t>
  </si>
  <si>
    <t>Convenio No. 431-2002</t>
  </si>
  <si>
    <t xml:space="preserve">  </t>
  </si>
  <si>
    <t>Situado Fiscal PAB</t>
  </si>
  <si>
    <t>Impuesto Predial Unificado</t>
  </si>
  <si>
    <t xml:space="preserve">Otros Ingresos Directos </t>
  </si>
  <si>
    <t xml:space="preserve"> -   </t>
  </si>
  <si>
    <t xml:space="preserve">Industria y Comercio </t>
  </si>
  <si>
    <t xml:space="preserve">Industria y Comercio Sector Financiero </t>
  </si>
  <si>
    <t xml:space="preserve">Avisos, Tableros y Vallas </t>
  </si>
  <si>
    <t xml:space="preserve">Venta por el Sistema de Clubes </t>
  </si>
  <si>
    <t>Uso del Subsuelo y Excavaciones en vía Pública</t>
  </si>
  <si>
    <t xml:space="preserve">Apuestas Mutuas y Premios </t>
  </si>
  <si>
    <t>Casinos</t>
  </si>
  <si>
    <t>Delineación Urbana, Estudios y Conceptos de Planeación</t>
  </si>
  <si>
    <t>Licencias de Construcción</t>
  </si>
  <si>
    <t xml:space="preserve">Extacción de arena, cascajo y piedra </t>
  </si>
  <si>
    <t>Explotación de Canteras</t>
  </si>
  <si>
    <t>Registro patentes ,marcas y herretes</t>
  </si>
  <si>
    <t xml:space="preserve">Deguello Ganado Menor </t>
  </si>
  <si>
    <t xml:space="preserve">Ocupación de vías y lugares públicos </t>
  </si>
  <si>
    <t>Publicidad, Vallas y Pasacalles</t>
  </si>
  <si>
    <t>MULTAS</t>
  </si>
  <si>
    <t xml:space="preserve">Sobretasa a la Gasolina </t>
  </si>
  <si>
    <t>Coso Municipal</t>
  </si>
  <si>
    <t>Ocupación Plaza y Lugares Públicos</t>
  </si>
  <si>
    <t>Matadero Municipal</t>
  </si>
  <si>
    <t xml:space="preserve">Certificados </t>
  </si>
  <si>
    <t xml:space="preserve">Proyecto comercialización Umata </t>
  </si>
  <si>
    <t>Arrendamiento Maquinaria, Equipo y Vehículos</t>
  </si>
  <si>
    <t xml:space="preserve">Arrendamiento Inmuebles </t>
  </si>
  <si>
    <t xml:space="preserve">Otras Rentas Contractuales </t>
  </si>
  <si>
    <t xml:space="preserve">Aprovechamientos </t>
  </si>
  <si>
    <t>Intereses Moratorios</t>
  </si>
  <si>
    <t>Otra Rentas Ocasionales</t>
  </si>
  <si>
    <t xml:space="preserve">Prestación de Servicios </t>
  </si>
  <si>
    <t>Calidad</t>
  </si>
  <si>
    <t>Libre Disposición 2003</t>
  </si>
  <si>
    <t>Inversión Forzosa Otros Sectores 2003</t>
  </si>
  <si>
    <t>Prestación de Servicios</t>
  </si>
  <si>
    <t xml:space="preserve">Calidad </t>
  </si>
  <si>
    <t>Alimentación Escolar</t>
  </si>
  <si>
    <t>Libre Disposición</t>
  </si>
  <si>
    <t>Inversión Forzosa Otros Sectores</t>
  </si>
  <si>
    <t>REGALIAS</t>
  </si>
  <si>
    <t>20% Impuesto Véhículos Automotores</t>
  </si>
  <si>
    <t>Otras Transferencias</t>
  </si>
  <si>
    <t>Pavimentación con Asfalto</t>
  </si>
  <si>
    <t>Pavimentación con Cemento</t>
  </si>
  <si>
    <t>FONDO SOBRETASA BOMBERIL</t>
  </si>
  <si>
    <t>5% Contratos Vías Públicas</t>
  </si>
  <si>
    <t>FONDO DE REDISTRIBUCION DEL INGRESO</t>
  </si>
  <si>
    <t>FONDO DE FOMENTO Y DESARROLLO DEL DEPORTE</t>
  </si>
  <si>
    <t>ETTESA</t>
  </si>
  <si>
    <t>Salud Pública</t>
  </si>
  <si>
    <t>REGIMEN SUBSIDIADO</t>
  </si>
  <si>
    <t>Régimen Subsidiado Continuidad</t>
  </si>
  <si>
    <t>Régimen Subsidiado Ampliación</t>
  </si>
  <si>
    <t>OFERTA</t>
  </si>
  <si>
    <t>Otros Ingresos del Municipio</t>
  </si>
  <si>
    <t>FONDO ATENCION Y PREVENCION DE DESASTRES</t>
  </si>
  <si>
    <t>FONDO DE VIVIENDA DE INTERES SOCIAL Y REFORMA URBANA</t>
  </si>
  <si>
    <t xml:space="preserve">Convenio con el Departamento </t>
  </si>
  <si>
    <t>Convenio Fundación C.A.C Colomabianos apoyando Colombianos O.N.G.</t>
  </si>
  <si>
    <t>Contrato No.040 DEL 02-12-2003</t>
  </si>
  <si>
    <t>Prestación de servicios años anterior</t>
  </si>
  <si>
    <t>Calidad años anteriores</t>
  </si>
  <si>
    <t>Libre Destinación años anteriores</t>
  </si>
  <si>
    <t>Fondo de Redistribución del Ingreso</t>
  </si>
  <si>
    <t>Aportes ETESA</t>
  </si>
  <si>
    <t>Fondo de Atención y Prevención de Desastres</t>
  </si>
  <si>
    <t>TOTAL 2002</t>
  </si>
  <si>
    <t>TOTAL 2003</t>
  </si>
  <si>
    <t>INCREM</t>
  </si>
  <si>
    <t>2000/1999</t>
  </si>
  <si>
    <t>2001/2000</t>
  </si>
  <si>
    <t>2002/2001</t>
  </si>
  <si>
    <t>2003/2002</t>
  </si>
  <si>
    <t>Sueldos personal  Nomina</t>
  </si>
  <si>
    <t xml:space="preserve">Gastos de Representación </t>
  </si>
  <si>
    <t>Prima de navidad</t>
  </si>
  <si>
    <t>Bonificación por servicios</t>
  </si>
  <si>
    <t>Indemnización Por Vacaciones</t>
  </si>
  <si>
    <t>Licencias Remuneradas</t>
  </si>
  <si>
    <t>Supernumerarios</t>
  </si>
  <si>
    <t>Prima de Vacaciones</t>
  </si>
  <si>
    <t>auxilio de Transporte</t>
  </si>
  <si>
    <t>Prima Técnica</t>
  </si>
  <si>
    <t>Pago de Pensionados</t>
  </si>
  <si>
    <t>Cesantías e Intereses</t>
  </si>
  <si>
    <t>Mesadas Adicionales</t>
  </si>
  <si>
    <t xml:space="preserve">Viaticos y Gastos de viaje </t>
  </si>
  <si>
    <t>Honorarios</t>
  </si>
  <si>
    <t>Indemniz  supresión de cargos</t>
  </si>
  <si>
    <t>Gastos urgentes no previstos</t>
  </si>
  <si>
    <t>Sueldos Trabajadores Oficiales</t>
  </si>
  <si>
    <t>Prima de navidad T. O.</t>
  </si>
  <si>
    <t>Prima de Vacaciones T.O.</t>
  </si>
  <si>
    <t>Bonificación por servicios T.O.</t>
  </si>
  <si>
    <t>auxilio de Transporte T.O</t>
  </si>
  <si>
    <t>Prima de Alimentación T.O.</t>
  </si>
  <si>
    <t>Prima de Mantenimiento T.O</t>
  </si>
  <si>
    <t>Horas Extras, feriados y nocturnos</t>
  </si>
  <si>
    <t>Contratos de Personal Temporal</t>
  </si>
  <si>
    <t>Mantenimiento General</t>
  </si>
  <si>
    <t>Compra de Equipo de oficina</t>
  </si>
  <si>
    <t xml:space="preserve">Materiales y Suministros </t>
  </si>
  <si>
    <t>Impresos y Publicaciones</t>
  </si>
  <si>
    <t xml:space="preserve">Dotación a empleados </t>
  </si>
  <si>
    <t>Servicios de Comunicac y Trans</t>
  </si>
  <si>
    <t>Servicios Públicos</t>
  </si>
  <si>
    <t>Raciones y traslados de presos</t>
  </si>
  <si>
    <t>Orden Público</t>
  </si>
  <si>
    <t>Suscripciones y afiliaciones</t>
  </si>
  <si>
    <t>Gastos Electorales</t>
  </si>
  <si>
    <t>Binestar Social Empleados</t>
  </si>
  <si>
    <t>Recepciones Oficiales</t>
  </si>
  <si>
    <t>Sentencias Judiciales y Concil adm</t>
  </si>
  <si>
    <t xml:space="preserve">seguros </t>
  </si>
  <si>
    <t>Avaluos y Peritazgos</t>
  </si>
  <si>
    <t>Devoluciones</t>
  </si>
  <si>
    <t>Inhumación de cadaveres pobres de solem</t>
  </si>
  <si>
    <t>Gastos Bancarios</t>
  </si>
  <si>
    <t>Capacitación de Funcionarios</t>
  </si>
  <si>
    <t>Gastos varios e Imprevistos</t>
  </si>
  <si>
    <t>Cnacelac. del Deficit y vigencias anteriores</t>
  </si>
  <si>
    <t>Combustible y Lubricantes</t>
  </si>
  <si>
    <t>Comunicaciones</t>
  </si>
  <si>
    <t>Promoción y Divulgación</t>
  </si>
  <si>
    <t>Compromisos Sindicales</t>
  </si>
  <si>
    <t>Otros Servicios Personales</t>
  </si>
  <si>
    <t>Bonificación de Dirección</t>
  </si>
  <si>
    <t>Contribucciones Inherentes a la Nómina Sector Privado</t>
  </si>
  <si>
    <t>Caja Compensación Familiar</t>
  </si>
  <si>
    <t>E.P.S</t>
  </si>
  <si>
    <t>Enfermedad Profesional</t>
  </si>
  <si>
    <t>Fondo Administrador Cesantias</t>
  </si>
  <si>
    <t>Fondo Administrador Pensiones</t>
  </si>
  <si>
    <t>Contribucciones Inherentes a la N¢mina Sector P£blico</t>
  </si>
  <si>
    <t>Sena</t>
  </si>
  <si>
    <t>I.C.B.F.</t>
  </si>
  <si>
    <t>Esap</t>
  </si>
  <si>
    <t>Escuelas Industriales e Institutos T‚cnicos</t>
  </si>
  <si>
    <t>Fondo Nacional del Ahorro</t>
  </si>
  <si>
    <t>Fondo Administrador de Cesant¡as</t>
  </si>
  <si>
    <t>Fondo Administrador de Pensiones</t>
  </si>
  <si>
    <t>E.P.S. Públicas</t>
  </si>
  <si>
    <t>Adquisición de Bienes</t>
  </si>
  <si>
    <t>Adquisición de Servicios</t>
  </si>
  <si>
    <t>Mantenimiento y Conservación</t>
  </si>
  <si>
    <t>Otros Gastos Generales</t>
  </si>
  <si>
    <t>Doatación Trabajadores</t>
  </si>
  <si>
    <t>Impuestos y Multas</t>
  </si>
  <si>
    <t>Transferencias de Previsión y Seguridad Social</t>
  </si>
  <si>
    <t>Cuotas Partes Pensionales</t>
  </si>
  <si>
    <t>VARIACION</t>
  </si>
  <si>
    <t>TOTAL INGRESOS CORRIENTES</t>
  </si>
  <si>
    <t>TOTAL GASTOS CORRIENTES</t>
  </si>
  <si>
    <t>EVOLUCION DE LOS INGRESOS Y GASTOS REALES</t>
  </si>
  <si>
    <t>AHORRO CORRIENTE</t>
  </si>
  <si>
    <t>TRANSFERENCIAS ICN-SGP</t>
  </si>
  <si>
    <t xml:space="preserve">TASAS DE CRECIMIENTO INTERANUALES </t>
  </si>
  <si>
    <t>PROGRAMACIÓN DE INGRESOS Y GASTOS CORRIENTES</t>
  </si>
  <si>
    <t xml:space="preserve">INGRESOS   </t>
  </si>
  <si>
    <t>GASTOS</t>
  </si>
  <si>
    <t>MUNICIPIO DE CHAPARRAL TOLIMA</t>
  </si>
  <si>
    <t>TOTAL PROGRAMACION INGRESOS CORRIENTES</t>
  </si>
  <si>
    <t>MENOS 20% PARA INVERSION</t>
  </si>
  <si>
    <t>SUBTOTAL INGRESOS CORRIENTES</t>
  </si>
  <si>
    <t>TOTAL INGRESOS CORRIENTES (80%)</t>
  </si>
  <si>
    <t>PLAN DE DESARROLLO MUNICIPAL 2004-2007</t>
  </si>
  <si>
    <t>TOTAL PROGRAMACION GASTOS CORRIENTES</t>
  </si>
  <si>
    <t>PROGRAMACION DE GASTOS</t>
  </si>
  <si>
    <t>PROGRAMACIÓN INVERSION CON INGRESOS CORRIENTES DE LIBRE DESTINACION</t>
  </si>
  <si>
    <t>Contribucciones Inherentes a la Nómina Sector Público</t>
  </si>
  <si>
    <t>Fondo Administrador de Cesantías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</si>
</sst>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mmmm"/>
    <numFmt numFmtId="186" formatCode="0.0%"/>
    <numFmt numFmtId="187" formatCode="mmm"/>
    <numFmt numFmtId="188" formatCode="#,##0.000"/>
    <numFmt numFmtId="189" formatCode="0.0"/>
    <numFmt numFmtId="190" formatCode="0.000"/>
    <numFmt numFmtId="191" formatCode="0;[Red]0"/>
    <numFmt numFmtId="192" formatCode="#,##0.00;[Red]#,##0.00"/>
    <numFmt numFmtId="193" formatCode="#,##0_ ;\-#,##0\ "/>
    <numFmt numFmtId="194" formatCode="0.000%"/>
    <numFmt numFmtId="195" formatCode="#,##0;[Red]#,##0"/>
    <numFmt numFmtId="196" formatCode="&quot;$&quot;#,##0.00"/>
  </numFmts>
  <fonts count="17">
    <font>
      <sz val="12"/>
      <name val="Courier"/>
      <family val="0"/>
    </font>
    <font>
      <sz val="10"/>
      <name val="Arial"/>
      <family val="0"/>
    </font>
    <font>
      <sz val="10"/>
      <name val="Courie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20"/>
      <name val="Book Antiqua"/>
      <family val="1"/>
    </font>
    <font>
      <sz val="9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Book Antiqua"/>
      <family val="1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1"/>
      <color indexed="16"/>
      <name val="Book Antiqua"/>
      <family val="1"/>
    </font>
  </fonts>
  <fills count="4">
    <fill>
      <patternFill/>
    </fill>
    <fill>
      <patternFill patternType="gray125"/>
    </fill>
    <fill>
      <patternFill patternType="gray0625">
        <fgColor indexed="12"/>
      </patternFill>
    </fill>
    <fill>
      <patternFill patternType="gray125">
        <fgColor indexed="48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2" fillId="0" borderId="0">
      <alignment/>
      <protection/>
    </xf>
    <xf numFmtId="9" fontId="1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 horizontal="center"/>
    </xf>
    <xf numFmtId="18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39" fontId="6" fillId="0" borderId="8" xfId="0" applyNumberFormat="1" applyFont="1" applyFill="1" applyBorder="1" applyAlignment="1" applyProtection="1">
      <alignment/>
      <protection/>
    </xf>
    <xf numFmtId="3" fontId="3" fillId="0" borderId="5" xfId="21" applyNumberFormat="1" applyFont="1" applyBorder="1" applyAlignment="1" applyProtection="1">
      <alignment horizontal="right"/>
      <protection/>
    </xf>
    <xf numFmtId="184" fontId="3" fillId="0" borderId="5" xfId="15" applyNumberFormat="1" applyFont="1" applyBorder="1" applyAlignment="1" applyProtection="1">
      <alignment horizontal="left"/>
      <protection/>
    </xf>
    <xf numFmtId="3" fontId="4" fillId="0" borderId="8" xfId="21" applyNumberFormat="1" applyFont="1" applyBorder="1" applyAlignment="1" applyProtection="1">
      <alignment horizontal="right"/>
      <protection/>
    </xf>
    <xf numFmtId="39" fontId="3" fillId="0" borderId="8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 horizontal="right"/>
      <protection/>
    </xf>
    <xf numFmtId="3" fontId="3" fillId="0" borderId="6" xfId="0" applyNumberFormat="1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4" fillId="0" borderId="8" xfId="0" applyNumberFormat="1" applyFont="1" applyBorder="1" applyAlignment="1">
      <alignment/>
    </xf>
    <xf numFmtId="3" fontId="3" fillId="0" borderId="5" xfId="0" applyNumberFormat="1" applyFont="1" applyFill="1" applyBorder="1" applyAlignment="1" applyProtection="1">
      <alignment horizontal="right"/>
      <protection/>
    </xf>
    <xf numFmtId="3" fontId="4" fillId="0" borderId="5" xfId="0" applyNumberFormat="1" applyFont="1" applyFill="1" applyBorder="1" applyAlignment="1" applyProtection="1">
      <alignment horizontal="right"/>
      <protection/>
    </xf>
    <xf numFmtId="3" fontId="3" fillId="0" borderId="6" xfId="0" applyNumberFormat="1" applyFont="1" applyFill="1" applyBorder="1" applyAlignment="1" applyProtection="1">
      <alignment horizontal="right"/>
      <protection/>
    </xf>
    <xf numFmtId="39" fontId="3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Border="1" applyAlignment="1">
      <alignment/>
    </xf>
    <xf numFmtId="10" fontId="3" fillId="0" borderId="5" xfId="22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 horizontal="right"/>
      <protection/>
    </xf>
    <xf numFmtId="0" fontId="6" fillId="0" borderId="8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84" fontId="3" fillId="0" borderId="5" xfId="15" applyNumberFormat="1" applyFont="1" applyBorder="1" applyAlignment="1">
      <alignment/>
    </xf>
    <xf numFmtId="0" fontId="3" fillId="0" borderId="5" xfId="0" applyFont="1" applyBorder="1" applyAlignment="1">
      <alignment/>
    </xf>
    <xf numFmtId="10" fontId="3" fillId="0" borderId="0" xfId="22" applyNumberFormat="1" applyFont="1" applyAlignment="1">
      <alignment/>
    </xf>
    <xf numFmtId="3" fontId="3" fillId="0" borderId="5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84" fontId="3" fillId="0" borderId="5" xfId="15" applyNumberFormat="1" applyFont="1" applyBorder="1" applyAlignment="1" applyProtection="1">
      <alignment horizontal="right"/>
      <protection/>
    </xf>
    <xf numFmtId="39" fontId="3" fillId="0" borderId="8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right"/>
      <protection/>
    </xf>
    <xf numFmtId="39" fontId="3" fillId="0" borderId="5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/>
    </xf>
    <xf numFmtId="10" fontId="3" fillId="0" borderId="1" xfId="22" applyNumberFormat="1" applyFont="1" applyBorder="1" applyAlignment="1">
      <alignment/>
    </xf>
    <xf numFmtId="39" fontId="6" fillId="0" borderId="5" xfId="0" applyNumberFormat="1" applyFont="1" applyFill="1" applyBorder="1" applyAlignment="1" applyProtection="1">
      <alignment/>
      <protection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9" fontId="3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3" fontId="3" fillId="0" borderId="8" xfId="21" applyNumberFormat="1" applyFont="1" applyBorder="1" applyAlignment="1" applyProtection="1">
      <alignment horizontal="right"/>
      <protection/>
    </xf>
    <xf numFmtId="3" fontId="3" fillId="0" borderId="8" xfId="0" applyNumberFormat="1" applyFont="1" applyFill="1" applyBorder="1" applyAlignment="1" applyProtection="1">
      <alignment horizontal="right"/>
      <protection/>
    </xf>
    <xf numFmtId="37" fontId="3" fillId="0" borderId="0" xfId="21" applyFont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17" fontId="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193" fontId="3" fillId="0" borderId="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15" xfId="0" applyFont="1" applyBorder="1" applyAlignment="1" quotePrefix="1">
      <alignment/>
    </xf>
    <xf numFmtId="10" fontId="3" fillId="0" borderId="0" xfId="22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21" applyNumberFormat="1" applyFont="1" applyBorder="1" applyAlignment="1" applyProtection="1">
      <alignment horizontal="right"/>
      <protection/>
    </xf>
    <xf numFmtId="184" fontId="3" fillId="0" borderId="0" xfId="15" applyNumberFormat="1" applyFont="1" applyBorder="1" applyAlignment="1" applyProtection="1">
      <alignment horizontal="left"/>
      <protection/>
    </xf>
    <xf numFmtId="3" fontId="4" fillId="0" borderId="0" xfId="21" applyNumberFormat="1" applyFont="1" applyBorder="1" applyAlignment="1" applyProtection="1">
      <alignment horizontal="right"/>
      <protection/>
    </xf>
    <xf numFmtId="193" fontId="3" fillId="0" borderId="0" xfId="0" applyNumberFormat="1" applyFont="1" applyAlignment="1">
      <alignment/>
    </xf>
    <xf numFmtId="170" fontId="3" fillId="0" borderId="0" xfId="17" applyFont="1" applyAlignment="1">
      <alignment/>
    </xf>
    <xf numFmtId="0" fontId="3" fillId="0" borderId="12" xfId="0" applyFont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8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9" fontId="8" fillId="0" borderId="18" xfId="0" applyNumberFormat="1" applyFont="1" applyFill="1" applyBorder="1" applyAlignment="1" applyProtection="1">
      <alignment vertical="center" wrapText="1"/>
      <protection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9" fillId="0" borderId="18" xfId="19" applyFont="1" applyBorder="1" applyAlignment="1">
      <alignment vertical="center" wrapText="1"/>
      <protection/>
    </xf>
    <xf numFmtId="3" fontId="9" fillId="0" borderId="5" xfId="16" applyNumberFormat="1" applyFont="1" applyBorder="1" applyAlignment="1">
      <alignment horizontal="right" vertical="center"/>
    </xf>
    <xf numFmtId="0" fontId="9" fillId="0" borderId="18" xfId="20" applyFont="1" applyBorder="1" applyAlignment="1">
      <alignment vertical="center" wrapText="1"/>
      <protection/>
    </xf>
    <xf numFmtId="0" fontId="9" fillId="0" borderId="17" xfId="0" applyFont="1" applyBorder="1" applyAlignment="1" quotePrefix="1">
      <alignment vertical="center" wrapText="1"/>
    </xf>
    <xf numFmtId="0" fontId="10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9" fontId="8" fillId="0" borderId="24" xfId="0" applyNumberFormat="1" applyFont="1" applyFill="1" applyBorder="1" applyAlignment="1" applyProtection="1">
      <alignment vertical="center" wrapText="1"/>
      <protection/>
    </xf>
    <xf numFmtId="10" fontId="8" fillId="0" borderId="6" xfId="22" applyNumberFormat="1" applyFont="1" applyBorder="1" applyAlignment="1">
      <alignment vertical="center"/>
    </xf>
    <xf numFmtId="10" fontId="8" fillId="0" borderId="25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10" fontId="8" fillId="0" borderId="5" xfId="22" applyNumberFormat="1" applyFont="1" applyBorder="1" applyAlignment="1">
      <alignment vertical="center"/>
    </xf>
    <xf numFmtId="10" fontId="8" fillId="0" borderId="19" xfId="0" applyNumberFormat="1" applyFont="1" applyBorder="1" applyAlignment="1">
      <alignment vertical="center"/>
    </xf>
    <xf numFmtId="171" fontId="8" fillId="0" borderId="5" xfId="15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0" fontId="8" fillId="0" borderId="19" xfId="22" applyNumberFormat="1" applyFont="1" applyBorder="1" applyAlignment="1">
      <alignment vertical="center"/>
    </xf>
    <xf numFmtId="10" fontId="9" fillId="0" borderId="5" xfId="22" applyNumberFormat="1" applyFont="1" applyBorder="1" applyAlignment="1">
      <alignment vertical="center"/>
    </xf>
    <xf numFmtId="10" fontId="9" fillId="0" borderId="22" xfId="22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9" fillId="0" borderId="24" xfId="19" applyFont="1" applyBorder="1" applyAlignment="1">
      <alignment vertical="center" wrapText="1"/>
      <protection/>
    </xf>
    <xf numFmtId="43" fontId="8" fillId="0" borderId="6" xfId="0" applyNumberFormat="1" applyFont="1" applyBorder="1" applyAlignment="1">
      <alignment vertical="center"/>
    </xf>
    <xf numFmtId="43" fontId="8" fillId="0" borderId="25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8" fillId="0" borderId="19" xfId="0" applyNumberFormat="1" applyFont="1" applyBorder="1" applyAlignment="1">
      <alignment vertical="center"/>
    </xf>
    <xf numFmtId="0" fontId="9" fillId="0" borderId="18" xfId="0" applyFont="1" applyBorder="1" applyAlignment="1" quotePrefix="1">
      <alignment vertical="center" wrapText="1"/>
    </xf>
    <xf numFmtId="0" fontId="7" fillId="0" borderId="17" xfId="0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188" fontId="7" fillId="0" borderId="23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39" fontId="1" fillId="0" borderId="29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/>
      <protection/>
    </xf>
    <xf numFmtId="3" fontId="1" fillId="0" borderId="30" xfId="0" applyNumberFormat="1" applyFont="1" applyFill="1" applyBorder="1" applyAlignment="1" applyProtection="1">
      <alignment horizontal="right" vertical="center"/>
      <protection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9" fontId="1" fillId="0" borderId="31" xfId="0" applyNumberFormat="1" applyFont="1" applyFill="1" applyBorder="1" applyAlignment="1" applyProtection="1">
      <alignment vertical="center" wrapText="1"/>
      <protection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3" fontId="1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31" xfId="0" applyFont="1" applyBorder="1" applyAlignment="1">
      <alignment vertical="center" wrapText="1"/>
    </xf>
    <xf numFmtId="0" fontId="1" fillId="0" borderId="31" xfId="0" applyFont="1" applyFill="1" applyBorder="1" applyAlignment="1" applyProtection="1">
      <alignment vertical="center" wrapText="1"/>
      <protection/>
    </xf>
    <xf numFmtId="0" fontId="15" fillId="0" borderId="31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1" xfId="19" applyFont="1" applyBorder="1" applyAlignment="1">
      <alignment vertical="center" wrapText="1"/>
      <protection/>
    </xf>
    <xf numFmtId="3" fontId="1" fillId="0" borderId="5" xfId="16" applyNumberFormat="1" applyFont="1" applyBorder="1" applyAlignment="1">
      <alignment horizontal="right" vertical="center"/>
    </xf>
    <xf numFmtId="184" fontId="1" fillId="0" borderId="28" xfId="15" applyNumberFormat="1" applyFont="1" applyBorder="1" applyAlignment="1">
      <alignment vertical="center"/>
    </xf>
    <xf numFmtId="0" fontId="1" fillId="0" borderId="31" xfId="20" applyFont="1" applyBorder="1" applyAlignment="1">
      <alignment vertical="center" wrapText="1"/>
      <protection/>
    </xf>
    <xf numFmtId="0" fontId="1" fillId="0" borderId="32" xfId="0" applyFont="1" applyBorder="1" applyAlignment="1" quotePrefix="1">
      <alignment vertical="center" wrapText="1"/>
    </xf>
    <xf numFmtId="3" fontId="1" fillId="0" borderId="22" xfId="16" applyNumberFormat="1" applyFont="1" applyBorder="1" applyAlignment="1">
      <alignment horizontal="right" vertical="center"/>
    </xf>
    <xf numFmtId="184" fontId="1" fillId="0" borderId="33" xfId="15" applyNumberFormat="1" applyFont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3" fontId="15" fillId="2" borderId="13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39" fontId="8" fillId="0" borderId="31" xfId="0" applyNumberFormat="1" applyFont="1" applyFill="1" applyBorder="1" applyAlignment="1" applyProtection="1">
      <alignment vertical="center" wrapText="1"/>
      <protection/>
    </xf>
    <xf numFmtId="3" fontId="7" fillId="0" borderId="28" xfId="0" applyNumberFormat="1" applyFont="1" applyFill="1" applyBorder="1" applyAlignment="1" applyProtection="1">
      <alignment horizontal="right" vertical="center"/>
      <protection/>
    </xf>
    <xf numFmtId="0" fontId="8" fillId="0" borderId="31" xfId="0" applyFont="1" applyBorder="1" applyAlignment="1">
      <alignment vertical="center" wrapText="1"/>
    </xf>
    <xf numFmtId="0" fontId="8" fillId="0" borderId="31" xfId="0" applyFont="1" applyFill="1" applyBorder="1" applyAlignment="1" applyProtection="1">
      <alignment vertical="center" wrapText="1"/>
      <protection/>
    </xf>
    <xf numFmtId="0" fontId="7" fillId="0" borderId="31" xfId="0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0" fontId="9" fillId="0" borderId="31" xfId="19" applyFont="1" applyBorder="1" applyAlignment="1">
      <alignment vertical="center" wrapText="1"/>
      <protection/>
    </xf>
    <xf numFmtId="184" fontId="9" fillId="0" borderId="28" xfId="15" applyNumberFormat="1" applyFont="1" applyBorder="1" applyAlignment="1">
      <alignment vertical="center"/>
    </xf>
    <xf numFmtId="0" fontId="9" fillId="0" borderId="31" xfId="20" applyFont="1" applyBorder="1" applyAlignment="1">
      <alignment vertical="center" wrapText="1"/>
      <protection/>
    </xf>
    <xf numFmtId="0" fontId="8" fillId="2" borderId="3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9" fillId="0" borderId="39" xfId="0" applyFont="1" applyBorder="1" applyAlignment="1" quotePrefix="1">
      <alignment vertical="center" wrapText="1"/>
    </xf>
    <xf numFmtId="3" fontId="9" fillId="0" borderId="40" xfId="16" applyNumberFormat="1" applyFont="1" applyBorder="1" applyAlignment="1">
      <alignment horizontal="right" vertical="center"/>
    </xf>
    <xf numFmtId="184" fontId="9" fillId="0" borderId="41" xfId="15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" fontId="3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17" fontId="3" fillId="0" borderId="42" xfId="21" applyNumberFormat="1" applyFont="1" applyBorder="1" applyAlignment="1" quotePrefix="1">
      <alignment horizontal="center" vertical="center" wrapText="1"/>
      <protection/>
    </xf>
    <xf numFmtId="17" fontId="3" fillId="0" borderId="42" xfId="21" applyNumberFormat="1" applyFont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" fontId="3" fillId="0" borderId="42" xfId="0" applyNumberFormat="1" applyFont="1" applyBorder="1" applyAlignment="1" applyProtection="1">
      <alignment horizontal="center" vertical="center" wrapText="1"/>
      <protection/>
    </xf>
    <xf numFmtId="17" fontId="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17" fontId="3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17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vertical="center" wrapText="1"/>
    </xf>
    <xf numFmtId="17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7" fontId="12" fillId="2" borderId="47" xfId="0" applyNumberFormat="1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>
      <alignment vertical="center" wrapText="1"/>
    </xf>
    <xf numFmtId="17" fontId="7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vertical="center" wrapText="1"/>
    </xf>
    <xf numFmtId="17" fontId="7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7" fontId="12" fillId="2" borderId="48" xfId="0" applyNumberFormat="1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17" fontId="13" fillId="2" borderId="48" xfId="0" applyNumberFormat="1" applyFont="1" applyFill="1" applyBorder="1" applyAlignment="1" applyProtection="1">
      <alignment horizontal="center" vertical="center" wrapText="1"/>
      <protection/>
    </xf>
    <xf numFmtId="0" fontId="14" fillId="2" borderId="33" xfId="0" applyFont="1" applyFill="1" applyBorder="1" applyAlignment="1">
      <alignment vertical="center" wrapText="1"/>
    </xf>
    <xf numFmtId="17" fontId="13" fillId="2" borderId="47" xfId="0" applyNumberFormat="1" applyFont="1" applyFill="1" applyBorder="1" applyAlignment="1" applyProtection="1">
      <alignment horizontal="center" vertical="center" wrapText="1"/>
      <protection/>
    </xf>
    <xf numFmtId="0" fontId="14" fillId="2" borderId="2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 wrapText="1"/>
    </xf>
    <xf numFmtId="3" fontId="7" fillId="3" borderId="51" xfId="0" applyNumberFormat="1" applyFont="1" applyFill="1" applyBorder="1" applyAlignment="1">
      <alignment vertical="center"/>
    </xf>
    <xf numFmtId="3" fontId="7" fillId="3" borderId="5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3" fontId="7" fillId="3" borderId="22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ejene- dic99" xfId="19"/>
    <cellStyle name="Normal_INGRESOS Y GASTOS 2002" xfId="20"/>
    <cellStyle name="Normal_INSEP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202"/>
  <sheetViews>
    <sheetView zoomScale="87" zoomScaleNormal="87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2.69921875" defaultRowHeight="15" customHeight="1"/>
  <cols>
    <col min="1" max="1" width="24.8984375" style="7" customWidth="1"/>
    <col min="2" max="2" width="8.59765625" style="7" customWidth="1"/>
    <col min="3" max="8" width="9.59765625" style="7" customWidth="1"/>
    <col min="9" max="9" width="8.796875" style="7" customWidth="1"/>
    <col min="10" max="10" width="9.59765625" style="7" customWidth="1"/>
    <col min="11" max="11" width="7" style="7" customWidth="1"/>
    <col min="12" max="12" width="8.59765625" style="7" customWidth="1"/>
    <col min="13" max="13" width="7.796875" style="7" customWidth="1"/>
    <col min="14" max="14" width="9.796875" style="7" customWidth="1"/>
    <col min="15" max="15" width="29.59765625" style="7" customWidth="1"/>
    <col min="16" max="16" width="8.59765625" style="7" customWidth="1"/>
    <col min="17" max="17" width="7.796875" style="7" customWidth="1"/>
    <col min="18" max="19" width="8.59765625" style="7" customWidth="1"/>
    <col min="20" max="20" width="8.59765625" style="60" customWidth="1"/>
    <col min="21" max="21" width="7.796875" style="7" customWidth="1"/>
    <col min="22" max="22" width="8.59765625" style="7" customWidth="1"/>
    <col min="23" max="23" width="7.796875" style="7" customWidth="1"/>
    <col min="24" max="27" width="8.59765625" style="7" customWidth="1"/>
    <col min="28" max="28" width="10.8984375" style="7" customWidth="1"/>
    <col min="29" max="29" width="29.59765625" style="7" customWidth="1"/>
    <col min="30" max="30" width="8.59765625" style="7" customWidth="1"/>
    <col min="31" max="31" width="7.796875" style="7" customWidth="1"/>
    <col min="32" max="40" width="8.59765625" style="7" customWidth="1"/>
    <col min="41" max="41" width="7.796875" style="7" customWidth="1"/>
    <col min="42" max="42" width="11.69921875" style="7" customWidth="1"/>
    <col min="43" max="46" width="7.796875" style="7" customWidth="1"/>
    <col min="47" max="47" width="8.59765625" style="7" customWidth="1"/>
    <col min="48" max="50" width="7.796875" style="7" customWidth="1"/>
    <col min="51" max="51" width="9.296875" style="7" customWidth="1"/>
    <col min="52" max="53" width="7.796875" style="7" customWidth="1"/>
    <col min="54" max="54" width="8.59765625" style="7" customWidth="1"/>
    <col min="55" max="55" width="11.69921875" style="7" customWidth="1"/>
    <col min="56" max="56" width="28.69921875" style="7" customWidth="1"/>
    <col min="57" max="69" width="11.69921875" style="7" customWidth="1"/>
    <col min="70" max="70" width="22.19921875" style="7" customWidth="1"/>
    <col min="71" max="83" width="11.69921875" style="7" customWidth="1"/>
    <col min="84" max="84" width="29.59765625" style="7" customWidth="1"/>
    <col min="85" max="87" width="8.59765625" style="7" customWidth="1"/>
    <col min="88" max="88" width="7.796875" style="7" customWidth="1"/>
    <col min="89" max="91" width="8.59765625" style="7" customWidth="1"/>
    <col min="92" max="92" width="7.796875" style="7" customWidth="1"/>
    <col min="93" max="95" width="8.59765625" style="7" customWidth="1"/>
    <col min="96" max="96" width="7.796875" style="7" customWidth="1"/>
    <col min="97" max="97" width="8.3984375" style="7" customWidth="1"/>
    <col min="98" max="98" width="29.59765625" style="7" customWidth="1"/>
    <col min="99" max="110" width="7" style="7" customWidth="1"/>
    <col min="111" max="111" width="7" style="6" customWidth="1"/>
    <col min="112" max="112" width="27.796875" style="7" customWidth="1"/>
    <col min="113" max="125" width="12.69921875" style="7" customWidth="1"/>
    <col min="126" max="126" width="26.796875" style="7" customWidth="1"/>
    <col min="127" max="16384" width="12.69921875" style="7" customWidth="1"/>
  </cols>
  <sheetData>
    <row r="1" spans="1:124" ht="15" customHeight="1" thickTop="1">
      <c r="A1" s="204" t="s">
        <v>5</v>
      </c>
      <c r="B1" s="202">
        <v>35796</v>
      </c>
      <c r="C1" s="202">
        <v>35827</v>
      </c>
      <c r="D1" s="202">
        <v>35855</v>
      </c>
      <c r="E1" s="202">
        <v>35886</v>
      </c>
      <c r="F1" s="202">
        <v>35916</v>
      </c>
      <c r="G1" s="202">
        <v>35947</v>
      </c>
      <c r="H1" s="202">
        <v>35977</v>
      </c>
      <c r="I1" s="202">
        <v>36008</v>
      </c>
      <c r="J1" s="202">
        <v>36039</v>
      </c>
      <c r="K1" s="202">
        <v>36069</v>
      </c>
      <c r="L1" s="202">
        <v>36100</v>
      </c>
      <c r="M1" s="202">
        <v>36130</v>
      </c>
      <c r="N1" s="203" t="s">
        <v>6</v>
      </c>
      <c r="O1" s="206" t="s">
        <v>5</v>
      </c>
      <c r="P1" s="200">
        <v>36161</v>
      </c>
      <c r="Q1" s="200">
        <v>36192</v>
      </c>
      <c r="R1" s="200">
        <v>36220</v>
      </c>
      <c r="S1" s="200">
        <v>36251</v>
      </c>
      <c r="T1" s="200">
        <v>36281</v>
      </c>
      <c r="U1" s="200">
        <v>36312</v>
      </c>
      <c r="V1" s="200">
        <v>36342</v>
      </c>
      <c r="W1" s="200">
        <v>36373</v>
      </c>
      <c r="X1" s="200">
        <v>36404</v>
      </c>
      <c r="Y1" s="200">
        <v>36434</v>
      </c>
      <c r="Z1" s="208">
        <v>36465</v>
      </c>
      <c r="AA1" s="200">
        <v>36495</v>
      </c>
      <c r="AB1" s="209" t="s">
        <v>7</v>
      </c>
      <c r="AC1" s="204" t="s">
        <v>5</v>
      </c>
      <c r="AD1" s="211">
        <v>36526</v>
      </c>
      <c r="AE1" s="213">
        <v>36557</v>
      </c>
      <c r="AF1" s="213">
        <v>36586</v>
      </c>
      <c r="AG1" s="213">
        <v>36617</v>
      </c>
      <c r="AH1" s="213">
        <v>36647</v>
      </c>
      <c r="AI1" s="213">
        <v>36678</v>
      </c>
      <c r="AJ1" s="213">
        <v>36708</v>
      </c>
      <c r="AK1" s="213">
        <v>36739</v>
      </c>
      <c r="AL1" s="213">
        <v>36770</v>
      </c>
      <c r="AM1" s="213">
        <v>36800</v>
      </c>
      <c r="AN1" s="213">
        <v>36831</v>
      </c>
      <c r="AO1" s="213">
        <v>36861</v>
      </c>
      <c r="AP1" s="215" t="s">
        <v>8</v>
      </c>
      <c r="AQ1" s="200">
        <v>36892</v>
      </c>
      <c r="AR1" s="200">
        <v>36923</v>
      </c>
      <c r="AS1" s="200">
        <v>36951</v>
      </c>
      <c r="AT1" s="200">
        <v>36982</v>
      </c>
      <c r="AU1" s="200">
        <v>37012</v>
      </c>
      <c r="AV1" s="200">
        <v>37043</v>
      </c>
      <c r="AW1" s="200">
        <v>37073</v>
      </c>
      <c r="AX1" s="200">
        <v>37104</v>
      </c>
      <c r="AY1" s="200">
        <v>37135</v>
      </c>
      <c r="AZ1" s="200">
        <v>37165</v>
      </c>
      <c r="BA1" s="200">
        <v>37196</v>
      </c>
      <c r="BB1" s="200">
        <v>37226</v>
      </c>
      <c r="BC1" s="209" t="s">
        <v>9</v>
      </c>
      <c r="BE1" s="200">
        <v>37257</v>
      </c>
      <c r="BF1" s="200">
        <v>37288</v>
      </c>
      <c r="BG1" s="200">
        <v>37316</v>
      </c>
      <c r="BH1" s="200">
        <v>37347</v>
      </c>
      <c r="BI1" s="200">
        <v>37377</v>
      </c>
      <c r="BJ1" s="200">
        <v>37408</v>
      </c>
      <c r="BK1" s="200">
        <v>37438</v>
      </c>
      <c r="BL1" s="200">
        <v>37469</v>
      </c>
      <c r="BM1" s="200">
        <v>37500</v>
      </c>
      <c r="BN1" s="200">
        <v>37530</v>
      </c>
      <c r="BO1" s="200">
        <v>37561</v>
      </c>
      <c r="BP1" s="200">
        <v>37591</v>
      </c>
      <c r="BQ1" s="61"/>
      <c r="BS1" s="200">
        <v>37622</v>
      </c>
      <c r="BT1" s="200">
        <v>37653</v>
      </c>
      <c r="BU1" s="200">
        <v>37681</v>
      </c>
      <c r="BV1" s="200">
        <v>37712</v>
      </c>
      <c r="BW1" s="200">
        <v>37742</v>
      </c>
      <c r="BX1" s="200">
        <v>37773</v>
      </c>
      <c r="BY1" s="200">
        <v>37803</v>
      </c>
      <c r="BZ1" s="200">
        <v>37834</v>
      </c>
      <c r="CA1" s="200">
        <v>37865</v>
      </c>
      <c r="CB1" s="200">
        <v>37895</v>
      </c>
      <c r="CC1" s="200">
        <v>37926</v>
      </c>
      <c r="CD1" s="200">
        <v>37956</v>
      </c>
      <c r="CE1" s="61"/>
      <c r="CF1" s="204" t="s">
        <v>5</v>
      </c>
      <c r="CG1" s="1" t="s">
        <v>10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" t="s">
        <v>11</v>
      </c>
      <c r="CT1" s="4" t="s">
        <v>5</v>
      </c>
      <c r="CU1" s="5" t="s">
        <v>12</v>
      </c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I1" s="200">
        <v>37257</v>
      </c>
      <c r="DJ1" s="200">
        <v>37288</v>
      </c>
      <c r="DK1" s="200">
        <v>37316</v>
      </c>
      <c r="DL1" s="200">
        <v>37347</v>
      </c>
      <c r="DM1" s="200">
        <v>37377</v>
      </c>
      <c r="DN1" s="200">
        <v>37408</v>
      </c>
      <c r="DO1" s="200">
        <v>37438</v>
      </c>
      <c r="DP1" s="200">
        <v>37469</v>
      </c>
      <c r="DQ1" s="200">
        <v>37500</v>
      </c>
      <c r="DR1" s="200">
        <v>37530</v>
      </c>
      <c r="DS1" s="200">
        <v>37561</v>
      </c>
      <c r="DT1" s="200">
        <v>37591</v>
      </c>
    </row>
    <row r="2" spans="1:256" s="13" customFormat="1" ht="15" customHeight="1" thickBot="1">
      <c r="A2" s="205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7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10"/>
      <c r="AC2" s="205"/>
      <c r="AD2" s="212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10"/>
      <c r="BD2" s="7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62"/>
      <c r="BR2" s="7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62"/>
      <c r="CF2" s="216"/>
      <c r="CG2" s="8">
        <v>1</v>
      </c>
      <c r="CH2" s="8">
        <v>32</v>
      </c>
      <c r="CI2" s="8">
        <v>61</v>
      </c>
      <c r="CJ2" s="8">
        <v>92</v>
      </c>
      <c r="CK2" s="8">
        <v>122</v>
      </c>
      <c r="CL2" s="8">
        <v>153</v>
      </c>
      <c r="CM2" s="8">
        <v>183</v>
      </c>
      <c r="CN2" s="8">
        <v>214</v>
      </c>
      <c r="CO2" s="8">
        <v>245</v>
      </c>
      <c r="CP2" s="8">
        <v>275</v>
      </c>
      <c r="CQ2" s="8">
        <v>306</v>
      </c>
      <c r="CR2" s="8">
        <v>336</v>
      </c>
      <c r="CS2" s="9" t="s">
        <v>13</v>
      </c>
      <c r="CT2" s="10"/>
      <c r="CU2" s="11">
        <v>1</v>
      </c>
      <c r="CV2" s="11">
        <v>32</v>
      </c>
      <c r="CW2" s="11">
        <v>61</v>
      </c>
      <c r="CX2" s="11">
        <v>92</v>
      </c>
      <c r="CY2" s="11">
        <v>122</v>
      </c>
      <c r="CZ2" s="11">
        <v>153</v>
      </c>
      <c r="DA2" s="11">
        <v>183</v>
      </c>
      <c r="DB2" s="11">
        <v>214</v>
      </c>
      <c r="DC2" s="11">
        <v>245</v>
      </c>
      <c r="DD2" s="11">
        <v>275</v>
      </c>
      <c r="DE2" s="11">
        <v>306</v>
      </c>
      <c r="DF2" s="11">
        <v>336</v>
      </c>
      <c r="DG2" s="12" t="s">
        <v>11</v>
      </c>
      <c r="DH2" s="7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7"/>
      <c r="DV2" s="7"/>
      <c r="DW2" s="52"/>
      <c r="DX2" s="7"/>
      <c r="DY2" s="7"/>
      <c r="DZ2" s="7"/>
      <c r="EA2" s="7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38" ht="13.5" customHeight="1" thickTop="1">
      <c r="A3" s="14" t="s">
        <v>14</v>
      </c>
      <c r="B3" s="15">
        <v>24886545</v>
      </c>
      <c r="C3" s="16">
        <v>56441114</v>
      </c>
      <c r="D3" s="16">
        <v>58354400</v>
      </c>
      <c r="E3" s="16">
        <v>24503469</v>
      </c>
      <c r="F3" s="16">
        <v>34380336</v>
      </c>
      <c r="G3" s="16">
        <v>15554739</v>
      </c>
      <c r="H3" s="16">
        <v>13217636</v>
      </c>
      <c r="I3" s="16">
        <v>10974494</v>
      </c>
      <c r="J3" s="16">
        <v>5823728</v>
      </c>
      <c r="K3" s="15">
        <v>6148915</v>
      </c>
      <c r="L3" s="15">
        <v>3656789</v>
      </c>
      <c r="M3" s="15">
        <v>6450595</v>
      </c>
      <c r="N3" s="17">
        <f aca="true" t="shared" si="0" ref="N3:N36">SUM(B3:M3)</f>
        <v>260392760</v>
      </c>
      <c r="O3" s="18" t="s">
        <v>14</v>
      </c>
      <c r="P3" s="19">
        <v>29954679</v>
      </c>
      <c r="Q3" s="19">
        <v>45142575</v>
      </c>
      <c r="R3" s="20">
        <v>83948318.33</v>
      </c>
      <c r="S3" s="21">
        <v>15560266.77</v>
      </c>
      <c r="T3" s="21">
        <v>12639618.43</v>
      </c>
      <c r="U3" s="21">
        <v>8210127</v>
      </c>
      <c r="V3" s="21">
        <v>12137934</v>
      </c>
      <c r="W3" s="21">
        <v>20230974</v>
      </c>
      <c r="X3" s="21">
        <v>6510902</v>
      </c>
      <c r="Y3" s="20">
        <v>3474597</v>
      </c>
      <c r="Z3" s="21">
        <v>7573613</v>
      </c>
      <c r="AA3" s="20">
        <v>4804673</v>
      </c>
      <c r="AB3" s="22">
        <f aca="true" t="shared" si="1" ref="AB3:AB36">SUM(P3:AA3)</f>
        <v>250188277.53</v>
      </c>
      <c r="AC3" s="18" t="s">
        <v>14</v>
      </c>
      <c r="AD3" s="23">
        <v>41514183</v>
      </c>
      <c r="AE3" s="23">
        <v>49150464</v>
      </c>
      <c r="AF3" s="23">
        <v>44333648</v>
      </c>
      <c r="AG3" s="23">
        <v>26255918</v>
      </c>
      <c r="AH3" s="23">
        <v>24965713</v>
      </c>
      <c r="AI3" s="23">
        <v>7198850</v>
      </c>
      <c r="AJ3" s="23">
        <v>8388920</v>
      </c>
      <c r="AK3" s="23">
        <v>4739111</v>
      </c>
      <c r="AL3" s="23">
        <v>1693403</v>
      </c>
      <c r="AM3" s="23">
        <v>1963462</v>
      </c>
      <c r="AN3" s="23">
        <v>1999611</v>
      </c>
      <c r="AO3" s="23">
        <v>2427178</v>
      </c>
      <c r="AP3" s="24">
        <f aca="true" t="shared" si="2" ref="AP3:AP36">SUM(AD3:AO3)</f>
        <v>214630461</v>
      </c>
      <c r="AQ3" s="25">
        <v>18465823</v>
      </c>
      <c r="AR3" s="25">
        <v>42446873</v>
      </c>
      <c r="AS3" s="25">
        <v>87199630</v>
      </c>
      <c r="AT3" s="25">
        <v>12575533</v>
      </c>
      <c r="AU3" s="25">
        <v>14616457</v>
      </c>
      <c r="AV3" s="25">
        <v>10526790</v>
      </c>
      <c r="AW3" s="25">
        <v>4705423</v>
      </c>
      <c r="AX3" s="25">
        <v>5718264</v>
      </c>
      <c r="AY3" s="25">
        <v>1935010</v>
      </c>
      <c r="AZ3" s="25">
        <v>8196218</v>
      </c>
      <c r="BA3" s="25">
        <v>5039079</v>
      </c>
      <c r="BB3" s="25">
        <v>3812000</v>
      </c>
      <c r="BC3" s="24">
        <f aca="true" t="shared" si="3" ref="BC3:BC36">SUM(AQ3:BB3)</f>
        <v>215237100</v>
      </c>
      <c r="BD3" s="37" t="s">
        <v>115</v>
      </c>
      <c r="BE3" s="7">
        <f>17510+4329+1351+3018+311+197</f>
        <v>26716</v>
      </c>
      <c r="BF3" s="52">
        <f>63829+12925+7875+11269+320+1954+1313</f>
        <v>99485</v>
      </c>
      <c r="BG3" s="27">
        <f>71707+17697+13917+12155+690+3023+2872</f>
        <v>122061</v>
      </c>
      <c r="BH3" s="27">
        <f>16872+9497+8075+2817+227+1633+1596</f>
        <v>40717</v>
      </c>
      <c r="BI3" s="63">
        <f>9234+5257+4580+1485+160+855+958</f>
        <v>22529</v>
      </c>
      <c r="BJ3" s="27">
        <f>7569+11850+4843+1268+292+1052+1006</f>
        <v>27880</v>
      </c>
      <c r="BK3" s="64">
        <f>8543+4981+4334+884+116+858+845</f>
        <v>20561</v>
      </c>
      <c r="BL3" s="65">
        <f>5461+5601+5244+728+124+925+1026</f>
        <v>19109</v>
      </c>
      <c r="BM3" s="66">
        <f>4035+4584+3467+560+109+746+669</f>
        <v>14170</v>
      </c>
      <c r="BN3" s="65">
        <f>4964+6678+6240+670+146+1119+1233</f>
        <v>21050</v>
      </c>
      <c r="BO3" s="64">
        <f>15714+17221+9351+1823+437+1768+1684</f>
        <v>47998</v>
      </c>
      <c r="BP3" s="65">
        <f>3207+5416+3155+525+138+707+625</f>
        <v>13773</v>
      </c>
      <c r="BQ3" s="24">
        <f aca="true" t="shared" si="4" ref="BQ3:BQ66">SUM(BE3:BP3)</f>
        <v>476049</v>
      </c>
      <c r="BR3" s="7" t="s">
        <v>199</v>
      </c>
      <c r="BS3" s="52">
        <f>34780+7130</f>
        <v>41910</v>
      </c>
      <c r="BT3" s="52">
        <f>78052+15585</f>
        <v>93637</v>
      </c>
      <c r="BU3" s="52">
        <f>133014+26704</f>
        <v>159718</v>
      </c>
      <c r="BV3" s="52">
        <f>227981+40012</f>
        <v>267993</v>
      </c>
      <c r="BW3" s="52">
        <f>19926+3735</f>
        <v>23661</v>
      </c>
      <c r="BX3" s="52">
        <f>19708+2949</f>
        <v>22657</v>
      </c>
      <c r="BY3" s="52">
        <f>18317+2992</f>
        <v>21309</v>
      </c>
      <c r="BZ3" s="52">
        <f>20066+5136</f>
        <v>25202</v>
      </c>
      <c r="CA3" s="52">
        <f>11761+2006</f>
        <v>13767</v>
      </c>
      <c r="CB3" s="52">
        <f>207759+38825</f>
        <v>246584</v>
      </c>
      <c r="CC3" s="7">
        <f>10099+1780</f>
        <v>11879</v>
      </c>
      <c r="CD3" s="60">
        <f>12948+1772</f>
        <v>14720</v>
      </c>
      <c r="CE3" s="24"/>
      <c r="CF3" s="26" t="s">
        <v>14</v>
      </c>
      <c r="CG3" s="27">
        <f aca="true" t="shared" si="5" ref="CG3:CG36">+SUM(+B3+P3+AD3+AQ3)/4</f>
        <v>28705307.5</v>
      </c>
      <c r="CH3" s="27">
        <f aca="true" t="shared" si="6" ref="CH3:CH36">+SUM(+C3+Q3+AE3+AR3)/4</f>
        <v>48295256.5</v>
      </c>
      <c r="CI3" s="27">
        <f aca="true" t="shared" si="7" ref="CI3:CI36">+SUM(+D3+R3+AF3+AS3)/4</f>
        <v>68458999.0825</v>
      </c>
      <c r="CJ3" s="27">
        <f aca="true" t="shared" si="8" ref="CJ3:CJ36">+SUM(+E3+S3+AG3+AT3)/4</f>
        <v>19723796.6925</v>
      </c>
      <c r="CK3" s="27">
        <f aca="true" t="shared" si="9" ref="CK3:CK36">+SUM(+F3+T3+AH3+AU3)/4</f>
        <v>21650531.1075</v>
      </c>
      <c r="CL3" s="27">
        <f aca="true" t="shared" si="10" ref="CL3:CL36">+SUM(+G3+U3+AI3+AV3)/4</f>
        <v>10372626.5</v>
      </c>
      <c r="CM3" s="27">
        <f aca="true" t="shared" si="11" ref="CM3:CM36">+SUM(+H3+V3+AJ3+AW3)/4</f>
        <v>9612478.25</v>
      </c>
      <c r="CN3" s="27">
        <f aca="true" t="shared" si="12" ref="CN3:CN36">+SUM(+I3+W3+AK3+AX3)/4</f>
        <v>10415710.75</v>
      </c>
      <c r="CO3" s="27">
        <f aca="true" t="shared" si="13" ref="CO3:CO36">+SUM(+J3+X3+AL3+AY3)/4</f>
        <v>3990760.75</v>
      </c>
      <c r="CP3" s="27">
        <f aca="true" t="shared" si="14" ref="CP3:CP36">+SUM(+K3+Y3+AM3+AZ3)/4</f>
        <v>4945798</v>
      </c>
      <c r="CQ3" s="27">
        <f aca="true" t="shared" si="15" ref="CQ3:CQ36">+SUM(+L3+Z3+AN3+BA3)/4</f>
        <v>4567273</v>
      </c>
      <c r="CR3" s="27">
        <f aca="true" t="shared" si="16" ref="CR3:CR36">+SUM(+M3+AA3+AO3+BB3)/4</f>
        <v>4373611.5</v>
      </c>
      <c r="CS3" s="27">
        <f aca="true" t="shared" si="17" ref="CS3:CS36">+SUM(CG3:CR3)</f>
        <v>235112149.6325</v>
      </c>
      <c r="CT3" s="18" t="s">
        <v>14</v>
      </c>
      <c r="CU3" s="28">
        <f aca="true" t="shared" si="18" ref="CU3:DF3">+CG3/$CS$3</f>
        <v>0.12209197842335584</v>
      </c>
      <c r="CV3" s="28">
        <f t="shared" si="18"/>
        <v>0.20541369969816334</v>
      </c>
      <c r="CW3" s="28">
        <f t="shared" si="18"/>
        <v>0.2911759311014218</v>
      </c>
      <c r="CX3" s="28">
        <f t="shared" si="18"/>
        <v>0.08389101423865142</v>
      </c>
      <c r="CY3" s="28">
        <f t="shared" si="18"/>
        <v>0.09208597318914227</v>
      </c>
      <c r="CZ3" s="28">
        <f t="shared" si="18"/>
        <v>0.044117781731881085</v>
      </c>
      <c r="DA3" s="28">
        <f t="shared" si="18"/>
        <v>0.04088465128248417</v>
      </c>
      <c r="DB3" s="28">
        <f t="shared" si="18"/>
        <v>0.044301031513176284</v>
      </c>
      <c r="DC3" s="28">
        <f t="shared" si="18"/>
        <v>0.016973860160939762</v>
      </c>
      <c r="DD3" s="28">
        <f t="shared" si="18"/>
        <v>0.021035909916738448</v>
      </c>
      <c r="DE3" s="28">
        <f t="shared" si="18"/>
        <v>0.019425933568890552</v>
      </c>
      <c r="DF3" s="28">
        <f t="shared" si="18"/>
        <v>0.018602235175155014</v>
      </c>
      <c r="DG3" s="29">
        <f aca="true" t="shared" si="19" ref="DG3:DG50">+SUM(CU3:DF3)</f>
        <v>1</v>
      </c>
      <c r="DH3" s="37" t="s">
        <v>115</v>
      </c>
      <c r="DI3" s="7">
        <f>17510+4329+1351+3018+311+197</f>
        <v>26716</v>
      </c>
      <c r="DJ3" s="52">
        <f>63829+12925+7875+11269+320+1954+1313</f>
        <v>99485</v>
      </c>
      <c r="DK3" s="27">
        <f>71707+17697+13917+12155+690+3023+2872</f>
        <v>122061</v>
      </c>
      <c r="DL3" s="27">
        <f>16872+9497+8075+2817+227+1633+1596</f>
        <v>40717</v>
      </c>
      <c r="DM3" s="63">
        <f>9234+5257+4580+1485+160+855+958</f>
        <v>22529</v>
      </c>
      <c r="DN3" s="27">
        <f>7569+11850+4843+1268+292+1052+1006</f>
        <v>27880</v>
      </c>
      <c r="DO3" s="64">
        <f>8543+4981+4334+884+116+858+845</f>
        <v>20561</v>
      </c>
      <c r="DP3" s="65">
        <f>5461+5601+5244+728+124+925+1026</f>
        <v>19109</v>
      </c>
      <c r="DQ3" s="66">
        <f>4035+4584+3467+560+109+746+669</f>
        <v>14170</v>
      </c>
      <c r="DR3" s="65">
        <f>4964+6678+6240+670+146+1119+1233</f>
        <v>21050</v>
      </c>
      <c r="DS3" s="64">
        <f>15714+17221+9351+1823+437+1768+1684</f>
        <v>47998</v>
      </c>
      <c r="DT3" s="65">
        <f>3207+5416+3155+525+138+707+625</f>
        <v>13773</v>
      </c>
      <c r="DV3" s="7" t="s">
        <v>199</v>
      </c>
      <c r="DW3" s="52">
        <f>34780+7130</f>
        <v>41910</v>
      </c>
      <c r="DX3" s="52">
        <f>78052+15585</f>
        <v>93637</v>
      </c>
      <c r="DY3" s="52">
        <f>133014+26704</f>
        <v>159718</v>
      </c>
      <c r="DZ3" s="52">
        <f>227981+40012</f>
        <v>267993</v>
      </c>
      <c r="EA3" s="52">
        <f>19926+3735</f>
        <v>23661</v>
      </c>
      <c r="EB3" s="52">
        <f>19708+2949</f>
        <v>22657</v>
      </c>
      <c r="EC3" s="52">
        <f>18317+2992</f>
        <v>21309</v>
      </c>
      <c r="ED3" s="52">
        <f>20066+5136</f>
        <v>25202</v>
      </c>
      <c r="EE3" s="52">
        <f>11761+2006</f>
        <v>13767</v>
      </c>
      <c r="EF3" s="52">
        <f>207759+38825</f>
        <v>246584</v>
      </c>
      <c r="EG3" s="7">
        <f>10099+1780</f>
        <v>11879</v>
      </c>
      <c r="EH3" s="60">
        <f>12948+1772</f>
        <v>14720</v>
      </c>
    </row>
    <row r="4" spans="1:138" ht="13.5" customHeight="1">
      <c r="A4" s="14" t="s">
        <v>15</v>
      </c>
      <c r="B4" s="15">
        <v>4464100</v>
      </c>
      <c r="C4" s="16">
        <v>5075100</v>
      </c>
      <c r="D4" s="16">
        <v>2675562</v>
      </c>
      <c r="E4" s="16">
        <v>2683600</v>
      </c>
      <c r="F4" s="16">
        <v>2505000</v>
      </c>
      <c r="G4" s="16">
        <v>1521550</v>
      </c>
      <c r="H4" s="16">
        <v>2540900</v>
      </c>
      <c r="I4" s="16">
        <v>2517900</v>
      </c>
      <c r="J4" s="16">
        <v>2231050</v>
      </c>
      <c r="K4" s="15">
        <v>2133850</v>
      </c>
      <c r="L4" s="15">
        <v>1502100</v>
      </c>
      <c r="M4" s="15">
        <v>3507100</v>
      </c>
      <c r="N4" s="17">
        <f t="shared" si="0"/>
        <v>33357812</v>
      </c>
      <c r="O4" s="18" t="s">
        <v>15</v>
      </c>
      <c r="P4" s="30">
        <v>807450</v>
      </c>
      <c r="Q4" s="30">
        <v>7552378</v>
      </c>
      <c r="R4" s="27">
        <v>3878250</v>
      </c>
      <c r="S4" s="31">
        <v>1953700</v>
      </c>
      <c r="T4" s="31">
        <v>1640250</v>
      </c>
      <c r="U4" s="31">
        <v>1189200</v>
      </c>
      <c r="V4" s="31">
        <v>1024150</v>
      </c>
      <c r="W4" s="31">
        <v>4807257</v>
      </c>
      <c r="X4" s="31">
        <v>1032850</v>
      </c>
      <c r="Y4" s="27">
        <v>652350</v>
      </c>
      <c r="Z4" s="31">
        <v>1358849</v>
      </c>
      <c r="AA4" s="27">
        <v>4107220</v>
      </c>
      <c r="AB4" s="22">
        <f t="shared" si="1"/>
        <v>30003904</v>
      </c>
      <c r="AC4" s="18" t="s">
        <v>15</v>
      </c>
      <c r="AD4" s="23">
        <v>3470600</v>
      </c>
      <c r="AE4" s="23">
        <v>2632040</v>
      </c>
      <c r="AF4" s="23">
        <v>1502200</v>
      </c>
      <c r="AG4" s="23">
        <v>1738400</v>
      </c>
      <c r="AH4" s="23">
        <v>1694500</v>
      </c>
      <c r="AI4" s="23">
        <v>1310600</v>
      </c>
      <c r="AJ4" s="23">
        <v>914900</v>
      </c>
      <c r="AK4" s="23">
        <v>888400</v>
      </c>
      <c r="AL4" s="23">
        <v>953250</v>
      </c>
      <c r="AM4" s="23">
        <v>1562400</v>
      </c>
      <c r="AN4" s="23">
        <v>1345505</v>
      </c>
      <c r="AO4" s="23">
        <v>1876247</v>
      </c>
      <c r="AP4" s="24">
        <f t="shared" si="2"/>
        <v>19889042</v>
      </c>
      <c r="AQ4" s="23">
        <v>6209128</v>
      </c>
      <c r="AR4" s="23">
        <v>2447000</v>
      </c>
      <c r="AS4" s="23">
        <v>1762850</v>
      </c>
      <c r="AT4" s="23">
        <v>2135800</v>
      </c>
      <c r="AU4" s="23">
        <v>2201234</v>
      </c>
      <c r="AV4" s="23">
        <v>1182600</v>
      </c>
      <c r="AW4" s="23">
        <v>1520100</v>
      </c>
      <c r="AX4" s="23">
        <v>1504600</v>
      </c>
      <c r="AY4" s="23">
        <v>847500</v>
      </c>
      <c r="AZ4" s="23">
        <v>814950</v>
      </c>
      <c r="BA4" s="23">
        <v>732300</v>
      </c>
      <c r="BB4" s="23">
        <v>1546000</v>
      </c>
      <c r="BC4" s="24">
        <f t="shared" si="3"/>
        <v>22904062</v>
      </c>
      <c r="BD4" s="37" t="s">
        <v>131</v>
      </c>
      <c r="BE4" s="7">
        <v>5864</v>
      </c>
      <c r="BF4" s="52">
        <v>3090</v>
      </c>
      <c r="BG4" s="27">
        <v>2275</v>
      </c>
      <c r="BH4" s="27">
        <v>2131</v>
      </c>
      <c r="BI4" s="63">
        <v>1271</v>
      </c>
      <c r="BJ4" s="27">
        <v>1819</v>
      </c>
      <c r="BK4" s="64">
        <v>620</v>
      </c>
      <c r="BL4" s="65">
        <v>1377</v>
      </c>
      <c r="BM4" s="66">
        <v>896</v>
      </c>
      <c r="BN4" s="65">
        <v>1103</v>
      </c>
      <c r="BO4" s="64">
        <v>998</v>
      </c>
      <c r="BP4" s="65">
        <v>3620</v>
      </c>
      <c r="BQ4" s="24">
        <f t="shared" si="4"/>
        <v>25064</v>
      </c>
      <c r="BR4" s="7" t="s">
        <v>131</v>
      </c>
      <c r="BS4" s="52">
        <v>6711</v>
      </c>
      <c r="BT4" s="52">
        <v>3681</v>
      </c>
      <c r="BU4" s="52">
        <v>2254</v>
      </c>
      <c r="BV4" s="52">
        <v>2891</v>
      </c>
      <c r="BW4" s="52">
        <v>1765</v>
      </c>
      <c r="BX4" s="52">
        <v>1302</v>
      </c>
      <c r="BY4" s="52">
        <v>1229</v>
      </c>
      <c r="BZ4" s="7">
        <v>0</v>
      </c>
      <c r="CA4" s="52">
        <v>1575</v>
      </c>
      <c r="CB4" s="52">
        <v>2194</v>
      </c>
      <c r="CC4" s="7">
        <v>957</v>
      </c>
      <c r="CD4" s="60">
        <v>2071</v>
      </c>
      <c r="CE4" s="24"/>
      <c r="CF4" s="26" t="s">
        <v>15</v>
      </c>
      <c r="CG4" s="27">
        <f t="shared" si="5"/>
        <v>3737819.5</v>
      </c>
      <c r="CH4" s="27">
        <f t="shared" si="6"/>
        <v>4426629.5</v>
      </c>
      <c r="CI4" s="27">
        <f t="shared" si="7"/>
        <v>2454715.5</v>
      </c>
      <c r="CJ4" s="27">
        <f t="shared" si="8"/>
        <v>2127875</v>
      </c>
      <c r="CK4" s="27">
        <f t="shared" si="9"/>
        <v>2010246</v>
      </c>
      <c r="CL4" s="27">
        <f t="shared" si="10"/>
        <v>1300987.5</v>
      </c>
      <c r="CM4" s="27">
        <f t="shared" si="11"/>
        <v>1500012.5</v>
      </c>
      <c r="CN4" s="27">
        <f t="shared" si="12"/>
        <v>2429539.25</v>
      </c>
      <c r="CO4" s="27">
        <f t="shared" si="13"/>
        <v>1266162.5</v>
      </c>
      <c r="CP4" s="27">
        <f t="shared" si="14"/>
        <v>1290887.5</v>
      </c>
      <c r="CQ4" s="27">
        <f t="shared" si="15"/>
        <v>1234688.5</v>
      </c>
      <c r="CR4" s="27">
        <f t="shared" si="16"/>
        <v>2759141.75</v>
      </c>
      <c r="CS4" s="27">
        <f t="shared" si="17"/>
        <v>26538705</v>
      </c>
      <c r="CT4" s="18" t="s">
        <v>15</v>
      </c>
      <c r="CU4" s="28">
        <f aca="true" t="shared" si="20" ref="CU4:DF4">+CG4/$CS$4</f>
        <v>0.1408440803724221</v>
      </c>
      <c r="CV4" s="28">
        <f t="shared" si="20"/>
        <v>0.16679900168452078</v>
      </c>
      <c r="CW4" s="28">
        <f t="shared" si="20"/>
        <v>0.09249567753965388</v>
      </c>
      <c r="CX4" s="28">
        <f t="shared" si="20"/>
        <v>0.08018006153653692</v>
      </c>
      <c r="CY4" s="28">
        <f t="shared" si="20"/>
        <v>0.0757477050971402</v>
      </c>
      <c r="CZ4" s="28">
        <f t="shared" si="20"/>
        <v>0.04902226766528359</v>
      </c>
      <c r="DA4" s="28">
        <f t="shared" si="20"/>
        <v>0.05652169161984354</v>
      </c>
      <c r="DB4" s="28">
        <f t="shared" si="20"/>
        <v>0.0915470159527377</v>
      </c>
      <c r="DC4" s="28">
        <f t="shared" si="20"/>
        <v>0.047710033326795714</v>
      </c>
      <c r="DD4" s="28">
        <f t="shared" si="20"/>
        <v>0.0486416914465118</v>
      </c>
      <c r="DE4" s="28">
        <f t="shared" si="20"/>
        <v>0.04652406739514984</v>
      </c>
      <c r="DF4" s="28">
        <f t="shared" si="20"/>
        <v>0.10396670636340394</v>
      </c>
      <c r="DG4" s="29">
        <f t="shared" si="19"/>
        <v>1</v>
      </c>
      <c r="DH4" s="37" t="s">
        <v>131</v>
      </c>
      <c r="DI4" s="7">
        <v>5864</v>
      </c>
      <c r="DJ4" s="52">
        <v>3090</v>
      </c>
      <c r="DK4" s="27">
        <v>2275</v>
      </c>
      <c r="DL4" s="27">
        <v>2131</v>
      </c>
      <c r="DM4" s="63">
        <v>1271</v>
      </c>
      <c r="DN4" s="27">
        <v>1819</v>
      </c>
      <c r="DO4" s="64">
        <v>620</v>
      </c>
      <c r="DP4" s="65">
        <v>1377</v>
      </c>
      <c r="DQ4" s="66">
        <v>896</v>
      </c>
      <c r="DR4" s="65">
        <v>1103</v>
      </c>
      <c r="DS4" s="64">
        <v>998</v>
      </c>
      <c r="DT4" s="65">
        <v>3620</v>
      </c>
      <c r="DV4" s="7" t="s">
        <v>131</v>
      </c>
      <c r="DW4" s="52">
        <v>6711</v>
      </c>
      <c r="DX4" s="52">
        <v>3681</v>
      </c>
      <c r="DY4" s="52">
        <v>2254</v>
      </c>
      <c r="DZ4" s="52">
        <v>2891</v>
      </c>
      <c r="EA4" s="52">
        <v>1765</v>
      </c>
      <c r="EB4" s="52">
        <v>1302</v>
      </c>
      <c r="EC4" s="52">
        <v>1229</v>
      </c>
      <c r="ED4" s="7">
        <v>0</v>
      </c>
      <c r="EE4" s="52">
        <v>1575</v>
      </c>
      <c r="EF4" s="52">
        <v>2194</v>
      </c>
      <c r="EG4" s="7">
        <v>957</v>
      </c>
      <c r="EH4" s="60">
        <v>2071</v>
      </c>
    </row>
    <row r="5" spans="1:138" ht="13.5" customHeight="1">
      <c r="A5" s="14" t="s">
        <v>16</v>
      </c>
      <c r="B5" s="15"/>
      <c r="C5" s="16">
        <v>4757537</v>
      </c>
      <c r="D5" s="16">
        <v>7963690</v>
      </c>
      <c r="E5" s="16">
        <v>5874026</v>
      </c>
      <c r="F5" s="16">
        <v>7373062</v>
      </c>
      <c r="G5" s="16">
        <v>5430848</v>
      </c>
      <c r="H5" s="16">
        <v>5996502</v>
      </c>
      <c r="I5" s="16">
        <v>6159606</v>
      </c>
      <c r="J5" s="16">
        <v>2658626</v>
      </c>
      <c r="K5" s="15">
        <v>3594532</v>
      </c>
      <c r="L5" s="15">
        <v>2117064</v>
      </c>
      <c r="M5" s="15">
        <v>2685702</v>
      </c>
      <c r="N5" s="17">
        <f t="shared" si="0"/>
        <v>54611195</v>
      </c>
      <c r="O5" s="18" t="s">
        <v>16</v>
      </c>
      <c r="P5" s="30">
        <v>1216324</v>
      </c>
      <c r="Q5" s="30">
        <v>5878921</v>
      </c>
      <c r="R5" s="27">
        <v>12480664</v>
      </c>
      <c r="S5" s="31">
        <v>5808999</v>
      </c>
      <c r="T5" s="31">
        <v>5636614</v>
      </c>
      <c r="U5" s="31">
        <v>5901098</v>
      </c>
      <c r="V5" s="31">
        <v>2306028</v>
      </c>
      <c r="W5" s="31">
        <v>3369733</v>
      </c>
      <c r="X5" s="31">
        <v>13635192</v>
      </c>
      <c r="Y5" s="27">
        <v>4206196</v>
      </c>
      <c r="Z5" s="31">
        <v>7249114</v>
      </c>
      <c r="AA5" s="27">
        <v>1458113</v>
      </c>
      <c r="AB5" s="22">
        <f t="shared" si="1"/>
        <v>69146996</v>
      </c>
      <c r="AC5" s="18" t="s">
        <v>16</v>
      </c>
      <c r="AD5" s="23">
        <v>1816938</v>
      </c>
      <c r="AE5" s="23">
        <v>3711212</v>
      </c>
      <c r="AF5" s="23">
        <v>12039580</v>
      </c>
      <c r="AG5" s="23">
        <v>6797817</v>
      </c>
      <c r="AH5" s="23">
        <v>6798197</v>
      </c>
      <c r="AI5" s="23">
        <v>3458340</v>
      </c>
      <c r="AJ5" s="23">
        <v>7232577</v>
      </c>
      <c r="AK5" s="23">
        <v>2259394</v>
      </c>
      <c r="AL5" s="23">
        <v>1028372</v>
      </c>
      <c r="AM5" s="23">
        <v>1297992</v>
      </c>
      <c r="AN5" s="23">
        <v>1034973</v>
      </c>
      <c r="AO5" s="23">
        <v>1660428</v>
      </c>
      <c r="AP5" s="24">
        <f t="shared" si="2"/>
        <v>49135820</v>
      </c>
      <c r="AQ5" s="23">
        <v>2046025</v>
      </c>
      <c r="AR5" s="23">
        <v>3791986</v>
      </c>
      <c r="AS5" s="23">
        <v>7074397</v>
      </c>
      <c r="AT5" s="23">
        <v>3242597</v>
      </c>
      <c r="AU5" s="23">
        <v>11324638</v>
      </c>
      <c r="AV5" s="23">
        <v>6387247</v>
      </c>
      <c r="AW5" s="23">
        <v>5450115</v>
      </c>
      <c r="AX5" s="23">
        <v>4610440</v>
      </c>
      <c r="AY5" s="23">
        <v>2426351</v>
      </c>
      <c r="AZ5" s="23">
        <v>8761092</v>
      </c>
      <c r="BA5" s="23">
        <v>6903920</v>
      </c>
      <c r="BB5" s="23">
        <v>3836000</v>
      </c>
      <c r="BC5" s="24">
        <f t="shared" si="3"/>
        <v>65854808</v>
      </c>
      <c r="BD5" s="37" t="s">
        <v>116</v>
      </c>
      <c r="BE5" s="7">
        <v>0</v>
      </c>
      <c r="BF5" s="52">
        <v>0</v>
      </c>
      <c r="BG5" s="27">
        <v>0</v>
      </c>
      <c r="BH5" s="27">
        <v>0</v>
      </c>
      <c r="BI5" s="63">
        <v>0</v>
      </c>
      <c r="BJ5" s="27">
        <v>1523</v>
      </c>
      <c r="BK5" s="64">
        <v>776</v>
      </c>
      <c r="BL5" s="65">
        <v>923</v>
      </c>
      <c r="BM5" s="66">
        <v>598</v>
      </c>
      <c r="BN5" s="65">
        <v>963</v>
      </c>
      <c r="BO5" s="64">
        <v>3386</v>
      </c>
      <c r="BP5" s="65">
        <v>776</v>
      </c>
      <c r="BQ5" s="24">
        <f t="shared" si="4"/>
        <v>8945</v>
      </c>
      <c r="BR5" s="7" t="s">
        <v>200</v>
      </c>
      <c r="BS5" s="7">
        <v>145</v>
      </c>
      <c r="BT5" s="7">
        <v>143</v>
      </c>
      <c r="BU5" s="7">
        <v>4678</v>
      </c>
      <c r="BV5" s="7">
        <v>2107</v>
      </c>
      <c r="BW5" s="7">
        <v>1001</v>
      </c>
      <c r="BX5" s="7">
        <v>925</v>
      </c>
      <c r="BY5" s="7">
        <v>789</v>
      </c>
      <c r="BZ5" s="7">
        <v>5579</v>
      </c>
      <c r="CA5" s="7">
        <v>777</v>
      </c>
      <c r="CB5" s="7">
        <v>7113</v>
      </c>
      <c r="CC5" s="7">
        <v>648</v>
      </c>
      <c r="CD5" s="7">
        <v>607</v>
      </c>
      <c r="CE5" s="24"/>
      <c r="CF5" s="26" t="s">
        <v>16</v>
      </c>
      <c r="CG5" s="27">
        <f t="shared" si="5"/>
        <v>1269821.75</v>
      </c>
      <c r="CH5" s="27">
        <f t="shared" si="6"/>
        <v>4534914</v>
      </c>
      <c r="CI5" s="27">
        <f t="shared" si="7"/>
        <v>9889582.75</v>
      </c>
      <c r="CJ5" s="27">
        <f t="shared" si="8"/>
        <v>5430859.75</v>
      </c>
      <c r="CK5" s="27">
        <f t="shared" si="9"/>
        <v>7783127.75</v>
      </c>
      <c r="CL5" s="27">
        <f t="shared" si="10"/>
        <v>5294383.25</v>
      </c>
      <c r="CM5" s="27">
        <f t="shared" si="11"/>
        <v>5246305.5</v>
      </c>
      <c r="CN5" s="27">
        <f t="shared" si="12"/>
        <v>4099793.25</v>
      </c>
      <c r="CO5" s="27">
        <f t="shared" si="13"/>
        <v>4937135.25</v>
      </c>
      <c r="CP5" s="27">
        <f t="shared" si="14"/>
        <v>4464953</v>
      </c>
      <c r="CQ5" s="27">
        <f t="shared" si="15"/>
        <v>4326267.75</v>
      </c>
      <c r="CR5" s="27">
        <f t="shared" si="16"/>
        <v>2410060.75</v>
      </c>
      <c r="CS5" s="27">
        <f t="shared" si="17"/>
        <v>59687204.75</v>
      </c>
      <c r="CT5" s="18" t="s">
        <v>16</v>
      </c>
      <c r="CU5" s="28">
        <f aca="true" t="shared" si="21" ref="CU5:DF5">+CG5/$CS$5</f>
        <v>0.021274605760458233</v>
      </c>
      <c r="CV5" s="28">
        <f t="shared" si="21"/>
        <v>0.07597799258642615</v>
      </c>
      <c r="CW5" s="28">
        <f t="shared" si="21"/>
        <v>0.16569016410506307</v>
      </c>
      <c r="CX5" s="28">
        <f t="shared" si="21"/>
        <v>0.09098867626231064</v>
      </c>
      <c r="CY5" s="28">
        <f t="shared" si="21"/>
        <v>0.13039859686175034</v>
      </c>
      <c r="CZ5" s="28">
        <f t="shared" si="21"/>
        <v>0.0887021476742886</v>
      </c>
      <c r="DA5" s="28">
        <f t="shared" si="21"/>
        <v>0.0878966525903527</v>
      </c>
      <c r="DB5" s="28">
        <f t="shared" si="21"/>
        <v>0.06868797537381745</v>
      </c>
      <c r="DC5" s="28">
        <f t="shared" si="21"/>
        <v>0.08271681126095957</v>
      </c>
      <c r="DD5" s="28">
        <f t="shared" si="21"/>
        <v>0.07480586532241652</v>
      </c>
      <c r="DE5" s="28">
        <f t="shared" si="21"/>
        <v>0.0724823313157415</v>
      </c>
      <c r="DF5" s="28">
        <f t="shared" si="21"/>
        <v>0.04037818088641519</v>
      </c>
      <c r="DG5" s="29">
        <f t="shared" si="19"/>
        <v>1</v>
      </c>
      <c r="DH5" s="37" t="s">
        <v>116</v>
      </c>
      <c r="DI5" s="7">
        <v>0</v>
      </c>
      <c r="DJ5" s="52">
        <v>0</v>
      </c>
      <c r="DK5" s="27">
        <v>0</v>
      </c>
      <c r="DL5" s="27">
        <v>0</v>
      </c>
      <c r="DM5" s="63">
        <v>0</v>
      </c>
      <c r="DN5" s="27">
        <v>1523</v>
      </c>
      <c r="DO5" s="64">
        <v>776</v>
      </c>
      <c r="DP5" s="65">
        <v>923</v>
      </c>
      <c r="DQ5" s="66">
        <v>598</v>
      </c>
      <c r="DR5" s="65">
        <v>963</v>
      </c>
      <c r="DS5" s="64">
        <v>3386</v>
      </c>
      <c r="DT5" s="65">
        <v>776</v>
      </c>
      <c r="DV5" s="7" t="s">
        <v>200</v>
      </c>
      <c r="DW5" s="7">
        <v>145</v>
      </c>
      <c r="DX5" s="7">
        <v>143</v>
      </c>
      <c r="DY5" s="7">
        <v>4678</v>
      </c>
      <c r="DZ5" s="7">
        <v>2107</v>
      </c>
      <c r="EA5" s="7">
        <v>1001</v>
      </c>
      <c r="EB5" s="7">
        <v>925</v>
      </c>
      <c r="EC5" s="7">
        <v>789</v>
      </c>
      <c r="ED5" s="7">
        <v>5579</v>
      </c>
      <c r="EE5" s="7">
        <v>777</v>
      </c>
      <c r="EF5" s="7">
        <v>7113</v>
      </c>
      <c r="EG5" s="7">
        <v>648</v>
      </c>
      <c r="EH5" s="7">
        <v>607</v>
      </c>
    </row>
    <row r="6" spans="1:138" ht="13.5" customHeight="1">
      <c r="A6" s="14" t="s">
        <v>17</v>
      </c>
      <c r="B6" s="15">
        <v>11857200</v>
      </c>
      <c r="C6" s="16">
        <v>12101950</v>
      </c>
      <c r="D6" s="16">
        <v>37376837</v>
      </c>
      <c r="E6" s="16">
        <v>21338703</v>
      </c>
      <c r="F6" s="16">
        <v>14165150</v>
      </c>
      <c r="G6" s="16">
        <v>5765400</v>
      </c>
      <c r="H6" s="16">
        <v>3949100</v>
      </c>
      <c r="I6" s="16">
        <v>21256000</v>
      </c>
      <c r="J6" s="16">
        <v>4433145</v>
      </c>
      <c r="K6" s="15">
        <v>1642166</v>
      </c>
      <c r="L6" s="15">
        <v>5939019</v>
      </c>
      <c r="M6" s="15">
        <v>12816891</v>
      </c>
      <c r="N6" s="17">
        <f t="shared" si="0"/>
        <v>152641561</v>
      </c>
      <c r="O6" s="18" t="s">
        <v>17</v>
      </c>
      <c r="P6" s="30">
        <v>6231720</v>
      </c>
      <c r="Q6" s="30">
        <v>20641939</v>
      </c>
      <c r="R6" s="27">
        <v>41462187</v>
      </c>
      <c r="S6" s="31">
        <v>7531741</v>
      </c>
      <c r="T6" s="31">
        <v>9596294</v>
      </c>
      <c r="U6" s="31">
        <v>6097532</v>
      </c>
      <c r="V6" s="31">
        <v>5418128</v>
      </c>
      <c r="W6" s="31">
        <v>18134063</v>
      </c>
      <c r="X6" s="31">
        <v>28033525</v>
      </c>
      <c r="Y6" s="27">
        <v>3411928</v>
      </c>
      <c r="Z6" s="31">
        <v>5822364</v>
      </c>
      <c r="AA6" s="27">
        <v>3598867</v>
      </c>
      <c r="AB6" s="22">
        <f t="shared" si="1"/>
        <v>155980288</v>
      </c>
      <c r="AC6" s="18" t="s">
        <v>17</v>
      </c>
      <c r="AD6" s="23">
        <v>2007300</v>
      </c>
      <c r="AE6" s="23">
        <v>15225644</v>
      </c>
      <c r="AF6" s="23">
        <v>32723316</v>
      </c>
      <c r="AG6" s="23">
        <v>13897834</v>
      </c>
      <c r="AH6" s="23">
        <v>3031095</v>
      </c>
      <c r="AI6" s="23">
        <v>3421239</v>
      </c>
      <c r="AJ6" s="23">
        <v>5965411</v>
      </c>
      <c r="AK6" s="23">
        <v>6959268</v>
      </c>
      <c r="AL6" s="23">
        <v>2075359</v>
      </c>
      <c r="AM6" s="23">
        <v>3479240</v>
      </c>
      <c r="AN6" s="23">
        <v>1892600</v>
      </c>
      <c r="AO6" s="23">
        <v>7045962</v>
      </c>
      <c r="AP6" s="24">
        <f t="shared" si="2"/>
        <v>97724268</v>
      </c>
      <c r="AQ6" s="23">
        <v>3342760</v>
      </c>
      <c r="AR6" s="23">
        <v>8596789</v>
      </c>
      <c r="AS6" s="23">
        <v>42336111</v>
      </c>
      <c r="AT6" s="23">
        <v>2899391</v>
      </c>
      <c r="AU6" s="23">
        <v>6179095</v>
      </c>
      <c r="AV6" s="23">
        <v>2276900</v>
      </c>
      <c r="AW6" s="23">
        <v>3163750</v>
      </c>
      <c r="AX6" s="23">
        <v>2895900</v>
      </c>
      <c r="AY6" s="23">
        <v>1530932</v>
      </c>
      <c r="AZ6" s="23">
        <v>5837336</v>
      </c>
      <c r="BA6" s="23">
        <v>29640250</v>
      </c>
      <c r="BB6" s="23">
        <v>4186000</v>
      </c>
      <c r="BC6" s="24">
        <f t="shared" si="3"/>
        <v>112885214</v>
      </c>
      <c r="BD6" s="37" t="s">
        <v>117</v>
      </c>
      <c r="BE6" s="7">
        <f>14368+4433</f>
        <v>18801</v>
      </c>
      <c r="BF6" s="52">
        <f>3827+3133</f>
        <v>6960</v>
      </c>
      <c r="BG6" s="27">
        <f>28344+4223</f>
        <v>32567</v>
      </c>
      <c r="BH6" s="27">
        <f>20563+1138</f>
        <v>21701</v>
      </c>
      <c r="BI6" s="63">
        <f>2101+2155</f>
        <v>4256</v>
      </c>
      <c r="BJ6" s="27">
        <f>3388+1685</f>
        <v>5073</v>
      </c>
      <c r="BK6" s="64">
        <f>5936+2964</f>
        <v>8900</v>
      </c>
      <c r="BL6" s="65">
        <f>2416+1026</f>
        <v>3442</v>
      </c>
      <c r="BM6" s="66">
        <f>1694+1233</f>
        <v>2927</v>
      </c>
      <c r="BN6" s="65">
        <f>4424+707</f>
        <v>5131</v>
      </c>
      <c r="BO6" s="64">
        <f>4892+2961</f>
        <v>7853</v>
      </c>
      <c r="BP6" s="65">
        <f>4454+2265</f>
        <v>6719</v>
      </c>
      <c r="BQ6" s="24">
        <f t="shared" si="4"/>
        <v>124330</v>
      </c>
      <c r="BR6" s="7" t="s">
        <v>202</v>
      </c>
      <c r="BS6" s="52">
        <f>3245+3546+576</f>
        <v>7367</v>
      </c>
      <c r="BT6" s="52">
        <f>4593+2380+264</f>
        <v>7237</v>
      </c>
      <c r="BU6" s="52">
        <f>48602+4375+507</f>
        <v>53484</v>
      </c>
      <c r="BV6" s="52">
        <f>3776+2899+448</f>
        <v>7123</v>
      </c>
      <c r="BW6" s="52">
        <f>763+943+240</f>
        <v>1946</v>
      </c>
      <c r="BX6" s="52">
        <f>18725+15749+2293</f>
        <v>36767</v>
      </c>
      <c r="BY6" s="52">
        <f>5446+1268+448</f>
        <v>7162</v>
      </c>
      <c r="BZ6" s="52">
        <f>10179+3625+1370</f>
        <v>15174</v>
      </c>
      <c r="CA6" s="52">
        <f>1806+866+268</f>
        <v>2940</v>
      </c>
      <c r="CB6" s="52">
        <f>923+567+87</f>
        <v>1577</v>
      </c>
      <c r="CC6" s="7">
        <f>1386+1504+81</f>
        <v>2971</v>
      </c>
      <c r="CD6" s="60">
        <f>5149+1439+478</f>
        <v>7066</v>
      </c>
      <c r="CE6" s="24"/>
      <c r="CF6" s="26" t="s">
        <v>17</v>
      </c>
      <c r="CG6" s="27">
        <f t="shared" si="5"/>
        <v>5859745</v>
      </c>
      <c r="CH6" s="27">
        <f t="shared" si="6"/>
        <v>14141580.5</v>
      </c>
      <c r="CI6" s="27">
        <f t="shared" si="7"/>
        <v>38474612.75</v>
      </c>
      <c r="CJ6" s="27">
        <f t="shared" si="8"/>
        <v>11416917.25</v>
      </c>
      <c r="CK6" s="27">
        <f t="shared" si="9"/>
        <v>8242908.5</v>
      </c>
      <c r="CL6" s="27">
        <f t="shared" si="10"/>
        <v>4390267.75</v>
      </c>
      <c r="CM6" s="27">
        <f t="shared" si="11"/>
        <v>4624097.25</v>
      </c>
      <c r="CN6" s="27">
        <f t="shared" si="12"/>
        <v>12311307.75</v>
      </c>
      <c r="CO6" s="27">
        <f t="shared" si="13"/>
        <v>9018240.25</v>
      </c>
      <c r="CP6" s="27">
        <f t="shared" si="14"/>
        <v>3592667.5</v>
      </c>
      <c r="CQ6" s="27">
        <f t="shared" si="15"/>
        <v>10823558.25</v>
      </c>
      <c r="CR6" s="27">
        <f t="shared" si="16"/>
        <v>6911930</v>
      </c>
      <c r="CS6" s="27">
        <f t="shared" si="17"/>
        <v>129807832.75</v>
      </c>
      <c r="CT6" s="18" t="s">
        <v>17</v>
      </c>
      <c r="CU6" s="28">
        <f aca="true" t="shared" si="22" ref="CU6:DF6">+CG6/$CS$6</f>
        <v>0.045141690419294056</v>
      </c>
      <c r="CV6" s="28">
        <f t="shared" si="22"/>
        <v>0.10894242820643657</v>
      </c>
      <c r="CW6" s="28">
        <f t="shared" si="22"/>
        <v>0.2963966960614709</v>
      </c>
      <c r="CX6" s="28">
        <f t="shared" si="22"/>
        <v>0.08795245254566504</v>
      </c>
      <c r="CY6" s="28">
        <f t="shared" si="22"/>
        <v>0.06350085603751827</v>
      </c>
      <c r="CZ6" s="28">
        <f t="shared" si="22"/>
        <v>0.03382128533380047</v>
      </c>
      <c r="DA6" s="28">
        <f t="shared" si="22"/>
        <v>0.035622636570057056</v>
      </c>
      <c r="DB6" s="28">
        <f t="shared" si="22"/>
        <v>0.0948425644984817</v>
      </c>
      <c r="DC6" s="28">
        <f t="shared" si="22"/>
        <v>0.06947377564933577</v>
      </c>
      <c r="DD6" s="28">
        <f t="shared" si="22"/>
        <v>0.02767681598166117</v>
      </c>
      <c r="DE6" s="28">
        <f t="shared" si="22"/>
        <v>0.08338139556528418</v>
      </c>
      <c r="DF6" s="28">
        <f t="shared" si="22"/>
        <v>0.053247403130994804</v>
      </c>
      <c r="DG6" s="29">
        <f t="shared" si="19"/>
        <v>1</v>
      </c>
      <c r="DH6" s="37" t="s">
        <v>117</v>
      </c>
      <c r="DI6" s="7">
        <f>14368+4433</f>
        <v>18801</v>
      </c>
      <c r="DJ6" s="52">
        <f>3827+3133</f>
        <v>6960</v>
      </c>
      <c r="DK6" s="27">
        <f>28344+4223</f>
        <v>32567</v>
      </c>
      <c r="DL6" s="27">
        <f>20563+1138</f>
        <v>21701</v>
      </c>
      <c r="DM6" s="63">
        <f>2101+2155</f>
        <v>4256</v>
      </c>
      <c r="DN6" s="27">
        <f>3388+1685</f>
        <v>5073</v>
      </c>
      <c r="DO6" s="64">
        <f>5936+2964</f>
        <v>8900</v>
      </c>
      <c r="DP6" s="65">
        <f>2416+1026</f>
        <v>3442</v>
      </c>
      <c r="DQ6" s="66">
        <f>1694+1233</f>
        <v>2927</v>
      </c>
      <c r="DR6" s="65">
        <f>4424+707</f>
        <v>5131</v>
      </c>
      <c r="DS6" s="64">
        <f>4892+2961</f>
        <v>7853</v>
      </c>
      <c r="DT6" s="65">
        <f>4454+2265</f>
        <v>6719</v>
      </c>
      <c r="DV6" s="7" t="s">
        <v>202</v>
      </c>
      <c r="DW6" s="52">
        <f>3245+3546+576</f>
        <v>7367</v>
      </c>
      <c r="DX6" s="52">
        <f>4593+2380+264</f>
        <v>7237</v>
      </c>
      <c r="DY6" s="52">
        <f>48602+4375+507</f>
        <v>53484</v>
      </c>
      <c r="DZ6" s="52">
        <f>3776+2899+448</f>
        <v>7123</v>
      </c>
      <c r="EA6" s="52">
        <f>763+943+240</f>
        <v>1946</v>
      </c>
      <c r="EB6" s="52">
        <f>18725+15749+2293</f>
        <v>36767</v>
      </c>
      <c r="EC6" s="52">
        <f>5446+1268+448</f>
        <v>7162</v>
      </c>
      <c r="ED6" s="52">
        <f>10179+3625+1370</f>
        <v>15174</v>
      </c>
      <c r="EE6" s="52">
        <f>1806+866+268</f>
        <v>2940</v>
      </c>
      <c r="EF6" s="52">
        <f>923+567+87</f>
        <v>1577</v>
      </c>
      <c r="EG6" s="7">
        <f>1386+1504+81</f>
        <v>2971</v>
      </c>
      <c r="EH6" s="60">
        <f>5149+1439+478</f>
        <v>7066</v>
      </c>
    </row>
    <row r="7" spans="1:138" ht="13.5" customHeight="1">
      <c r="A7" s="14" t="s">
        <v>18</v>
      </c>
      <c r="B7" s="15"/>
      <c r="C7" s="16"/>
      <c r="D7" s="16"/>
      <c r="E7" s="16"/>
      <c r="F7" s="16"/>
      <c r="G7" s="16"/>
      <c r="H7" s="16"/>
      <c r="I7" s="16"/>
      <c r="J7" s="16"/>
      <c r="K7" s="15"/>
      <c r="L7" s="15"/>
      <c r="M7" s="15"/>
      <c r="N7" s="17">
        <f t="shared" si="0"/>
        <v>0</v>
      </c>
      <c r="O7" s="18" t="s">
        <v>18</v>
      </c>
      <c r="P7" s="30">
        <v>0</v>
      </c>
      <c r="Q7" s="30">
        <v>7916655</v>
      </c>
      <c r="R7" s="27">
        <v>19863175</v>
      </c>
      <c r="S7" s="31">
        <v>1404851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7">
        <v>0</v>
      </c>
      <c r="Z7" s="31">
        <v>0</v>
      </c>
      <c r="AA7" s="27">
        <v>0</v>
      </c>
      <c r="AB7" s="22">
        <f t="shared" si="1"/>
        <v>29184681</v>
      </c>
      <c r="AC7" s="18" t="s">
        <v>18</v>
      </c>
      <c r="AD7" s="23">
        <v>0</v>
      </c>
      <c r="AE7" s="23">
        <v>9549410</v>
      </c>
      <c r="AF7" s="23">
        <v>5222500</v>
      </c>
      <c r="AG7" s="23"/>
      <c r="AH7" s="23">
        <v>517000</v>
      </c>
      <c r="AI7" s="23">
        <v>28300</v>
      </c>
      <c r="AJ7" s="23"/>
      <c r="AK7" s="23"/>
      <c r="AL7" s="23"/>
      <c r="AM7" s="23"/>
      <c r="AN7" s="23"/>
      <c r="AO7" s="23"/>
      <c r="AP7" s="24">
        <f t="shared" si="2"/>
        <v>15317210</v>
      </c>
      <c r="AQ7" s="23">
        <v>0</v>
      </c>
      <c r="AR7" s="23">
        <v>3372840</v>
      </c>
      <c r="AS7" s="23">
        <v>4212926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4">
        <f t="shared" si="3"/>
        <v>7585766</v>
      </c>
      <c r="BD7" s="37" t="s">
        <v>118</v>
      </c>
      <c r="BE7" s="7">
        <v>0</v>
      </c>
      <c r="BF7" s="52">
        <v>6790</v>
      </c>
      <c r="BG7" s="27">
        <v>1322</v>
      </c>
      <c r="BH7" s="27">
        <v>0</v>
      </c>
      <c r="BI7" s="63">
        <v>0</v>
      </c>
      <c r="BJ7" s="27">
        <v>0</v>
      </c>
      <c r="BK7" s="64">
        <v>0</v>
      </c>
      <c r="BL7" s="65">
        <v>0</v>
      </c>
      <c r="BM7" s="66">
        <v>0</v>
      </c>
      <c r="BN7" s="65">
        <v>0</v>
      </c>
      <c r="BO7" s="64">
        <v>0</v>
      </c>
      <c r="BP7" s="65">
        <v>0</v>
      </c>
      <c r="BQ7" s="24">
        <f t="shared" si="4"/>
        <v>8112</v>
      </c>
      <c r="BR7" s="7" t="s">
        <v>203</v>
      </c>
      <c r="BS7" s="7">
        <v>0</v>
      </c>
      <c r="BT7" s="52">
        <v>5096</v>
      </c>
      <c r="BU7" s="52">
        <v>5289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 t="s">
        <v>201</v>
      </c>
      <c r="CE7" s="24"/>
      <c r="CF7" s="26" t="s">
        <v>18</v>
      </c>
      <c r="CG7" s="27">
        <f t="shared" si="5"/>
        <v>0</v>
      </c>
      <c r="CH7" s="27">
        <f t="shared" si="6"/>
        <v>5209726.25</v>
      </c>
      <c r="CI7" s="27">
        <f t="shared" si="7"/>
        <v>7324650.25</v>
      </c>
      <c r="CJ7" s="27">
        <f t="shared" si="8"/>
        <v>351212.75</v>
      </c>
      <c r="CK7" s="27">
        <f t="shared" si="9"/>
        <v>129250</v>
      </c>
      <c r="CL7" s="27">
        <f t="shared" si="10"/>
        <v>7075</v>
      </c>
      <c r="CM7" s="27">
        <f t="shared" si="11"/>
        <v>0</v>
      </c>
      <c r="CN7" s="27">
        <f t="shared" si="12"/>
        <v>0</v>
      </c>
      <c r="CO7" s="27">
        <f t="shared" si="13"/>
        <v>0</v>
      </c>
      <c r="CP7" s="27">
        <f t="shared" si="14"/>
        <v>0</v>
      </c>
      <c r="CQ7" s="27">
        <f t="shared" si="15"/>
        <v>0</v>
      </c>
      <c r="CR7" s="27">
        <f t="shared" si="16"/>
        <v>0</v>
      </c>
      <c r="CS7" s="27">
        <f t="shared" si="17"/>
        <v>13021914.25</v>
      </c>
      <c r="CT7" s="18" t="s">
        <v>18</v>
      </c>
      <c r="CU7" s="28">
        <f aca="true" t="shared" si="23" ref="CU7:DF7">+CG7/$CS$7</f>
        <v>0</v>
      </c>
      <c r="CV7" s="28">
        <f t="shared" si="23"/>
        <v>0.40007376411651613</v>
      </c>
      <c r="CW7" s="28">
        <f t="shared" si="23"/>
        <v>0.562486444725283</v>
      </c>
      <c r="CX7" s="28">
        <f t="shared" si="23"/>
        <v>0.026970900226900203</v>
      </c>
      <c r="CY7" s="28">
        <f t="shared" si="23"/>
        <v>0.009925576034260862</v>
      </c>
      <c r="CZ7" s="28">
        <f t="shared" si="23"/>
        <v>0.0005433148970398112</v>
      </c>
      <c r="DA7" s="28">
        <f t="shared" si="23"/>
        <v>0</v>
      </c>
      <c r="DB7" s="28">
        <f t="shared" si="23"/>
        <v>0</v>
      </c>
      <c r="DC7" s="28">
        <f t="shared" si="23"/>
        <v>0</v>
      </c>
      <c r="DD7" s="28">
        <f t="shared" si="23"/>
        <v>0</v>
      </c>
      <c r="DE7" s="28">
        <f t="shared" si="23"/>
        <v>0</v>
      </c>
      <c r="DF7" s="28">
        <f t="shared" si="23"/>
        <v>0</v>
      </c>
      <c r="DG7" s="29">
        <f t="shared" si="19"/>
        <v>0.9999999999999999</v>
      </c>
      <c r="DH7" s="37" t="s">
        <v>118</v>
      </c>
      <c r="DI7" s="7">
        <v>0</v>
      </c>
      <c r="DJ7" s="52">
        <v>6790</v>
      </c>
      <c r="DK7" s="27">
        <v>1322</v>
      </c>
      <c r="DL7" s="27">
        <v>0</v>
      </c>
      <c r="DM7" s="63">
        <v>0</v>
      </c>
      <c r="DN7" s="27">
        <v>0</v>
      </c>
      <c r="DO7" s="64">
        <v>0</v>
      </c>
      <c r="DP7" s="65">
        <v>0</v>
      </c>
      <c r="DQ7" s="66">
        <v>0</v>
      </c>
      <c r="DR7" s="65">
        <v>0</v>
      </c>
      <c r="DS7" s="64">
        <v>0</v>
      </c>
      <c r="DT7" s="65">
        <v>0</v>
      </c>
      <c r="DV7" s="7" t="s">
        <v>203</v>
      </c>
      <c r="DW7" s="7">
        <v>0</v>
      </c>
      <c r="DX7" s="52">
        <v>5096</v>
      </c>
      <c r="DY7" s="52">
        <v>5289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 t="s">
        <v>201</v>
      </c>
    </row>
    <row r="8" spans="1:138" ht="13.5" customHeight="1">
      <c r="A8" s="14" t="s">
        <v>19</v>
      </c>
      <c r="B8" s="15">
        <v>1883450</v>
      </c>
      <c r="C8" s="16">
        <v>1939200</v>
      </c>
      <c r="D8" s="16">
        <v>6955994</v>
      </c>
      <c r="E8" s="16">
        <v>3184002</v>
      </c>
      <c r="F8" s="16">
        <v>2266300</v>
      </c>
      <c r="G8" s="16">
        <v>809600</v>
      </c>
      <c r="H8" s="16">
        <v>593650</v>
      </c>
      <c r="I8" s="16">
        <v>3131250</v>
      </c>
      <c r="J8" s="16">
        <v>666950</v>
      </c>
      <c r="K8" s="15">
        <v>212700</v>
      </c>
      <c r="L8" s="15">
        <v>786750</v>
      </c>
      <c r="M8" s="15">
        <v>1437820</v>
      </c>
      <c r="N8" s="17">
        <f t="shared" si="0"/>
        <v>23867666</v>
      </c>
      <c r="O8" s="18" t="s">
        <v>19</v>
      </c>
      <c r="P8" s="30">
        <v>898900</v>
      </c>
      <c r="Q8" s="30">
        <v>4856500</v>
      </c>
      <c r="R8" s="27">
        <v>10334850</v>
      </c>
      <c r="S8" s="31">
        <v>1417150</v>
      </c>
      <c r="T8" s="31">
        <v>1147500</v>
      </c>
      <c r="U8" s="31">
        <v>774100</v>
      </c>
      <c r="V8" s="31">
        <v>553650</v>
      </c>
      <c r="W8" s="31">
        <v>2654650</v>
      </c>
      <c r="X8" s="31">
        <v>4197450</v>
      </c>
      <c r="Y8" s="27">
        <v>502580</v>
      </c>
      <c r="Z8" s="31">
        <v>846130</v>
      </c>
      <c r="AA8" s="27">
        <v>497200</v>
      </c>
      <c r="AB8" s="22">
        <f t="shared" si="1"/>
        <v>28680660</v>
      </c>
      <c r="AC8" s="18" t="s">
        <v>19</v>
      </c>
      <c r="AD8" s="23">
        <v>488700</v>
      </c>
      <c r="AE8" s="23">
        <v>4023524</v>
      </c>
      <c r="AF8" s="23">
        <v>6154012</v>
      </c>
      <c r="AG8" s="23">
        <v>2003750</v>
      </c>
      <c r="AH8" s="23">
        <v>422800</v>
      </c>
      <c r="AI8" s="23">
        <v>278250</v>
      </c>
      <c r="AJ8" s="23">
        <v>956857</v>
      </c>
      <c r="AK8" s="23">
        <v>1018350</v>
      </c>
      <c r="AL8" s="23">
        <v>248688</v>
      </c>
      <c r="AM8" s="23">
        <v>283560</v>
      </c>
      <c r="AN8" s="23">
        <v>411650</v>
      </c>
      <c r="AO8" s="23">
        <v>894201</v>
      </c>
      <c r="AP8" s="24">
        <f t="shared" si="2"/>
        <v>17184342</v>
      </c>
      <c r="AQ8" s="23">
        <v>474700</v>
      </c>
      <c r="AR8" s="23">
        <v>1679441</v>
      </c>
      <c r="AS8" s="23">
        <v>6879029</v>
      </c>
      <c r="AT8" s="23">
        <v>411562</v>
      </c>
      <c r="AU8" s="23">
        <v>889700</v>
      </c>
      <c r="AV8" s="23">
        <v>303460</v>
      </c>
      <c r="AW8" s="23">
        <v>445150</v>
      </c>
      <c r="AX8" s="23">
        <v>414800</v>
      </c>
      <c r="AY8" s="23">
        <v>236700</v>
      </c>
      <c r="AZ8" s="23">
        <v>808361</v>
      </c>
      <c r="BA8" s="23">
        <v>4418520</v>
      </c>
      <c r="BB8" s="23">
        <v>518000</v>
      </c>
      <c r="BC8" s="24">
        <f t="shared" si="3"/>
        <v>17479423</v>
      </c>
      <c r="BD8" s="37" t="s">
        <v>119</v>
      </c>
      <c r="BE8" s="7">
        <v>869</v>
      </c>
      <c r="BF8" s="52">
        <v>1934</v>
      </c>
      <c r="BG8" s="27">
        <v>5051</v>
      </c>
      <c r="BH8" s="27">
        <v>3170</v>
      </c>
      <c r="BI8" s="63">
        <v>700</v>
      </c>
      <c r="BJ8" s="27">
        <v>804</v>
      </c>
      <c r="BK8" s="64">
        <v>1238</v>
      </c>
      <c r="BL8" s="65">
        <v>494</v>
      </c>
      <c r="BM8" s="66">
        <v>303</v>
      </c>
      <c r="BN8" s="65">
        <v>744</v>
      </c>
      <c r="BO8" s="64">
        <v>999</v>
      </c>
      <c r="BP8" s="65">
        <v>762</v>
      </c>
      <c r="BQ8" s="24">
        <f t="shared" si="4"/>
        <v>17068</v>
      </c>
      <c r="BR8" s="7" t="s">
        <v>204</v>
      </c>
      <c r="BS8" s="52">
        <v>1122</v>
      </c>
      <c r="BT8" s="52">
        <v>1672</v>
      </c>
      <c r="BU8" s="52">
        <v>8610</v>
      </c>
      <c r="BV8" s="7">
        <v>705</v>
      </c>
      <c r="BW8" s="7">
        <v>156</v>
      </c>
      <c r="BX8" s="52">
        <v>5006</v>
      </c>
      <c r="BY8" s="7">
        <v>818</v>
      </c>
      <c r="BZ8" s="52">
        <v>1527</v>
      </c>
      <c r="CA8" s="7">
        <v>251</v>
      </c>
      <c r="CB8" s="7">
        <v>99</v>
      </c>
      <c r="CC8" s="7">
        <v>112</v>
      </c>
      <c r="CD8" s="7">
        <v>718</v>
      </c>
      <c r="CE8" s="24"/>
      <c r="CF8" s="26" t="s">
        <v>19</v>
      </c>
      <c r="CG8" s="27">
        <f t="shared" si="5"/>
        <v>936437.5</v>
      </c>
      <c r="CH8" s="27">
        <f t="shared" si="6"/>
        <v>3124666.25</v>
      </c>
      <c r="CI8" s="27">
        <f t="shared" si="7"/>
        <v>7580971.25</v>
      </c>
      <c r="CJ8" s="27">
        <f t="shared" si="8"/>
        <v>1754116</v>
      </c>
      <c r="CK8" s="27">
        <f t="shared" si="9"/>
        <v>1181575</v>
      </c>
      <c r="CL8" s="27">
        <f t="shared" si="10"/>
        <v>541352.5</v>
      </c>
      <c r="CM8" s="27">
        <f t="shared" si="11"/>
        <v>637326.75</v>
      </c>
      <c r="CN8" s="27">
        <f t="shared" si="12"/>
        <v>1804762.5</v>
      </c>
      <c r="CO8" s="27">
        <f t="shared" si="13"/>
        <v>1337447</v>
      </c>
      <c r="CP8" s="27">
        <f t="shared" si="14"/>
        <v>451800.25</v>
      </c>
      <c r="CQ8" s="27">
        <f t="shared" si="15"/>
        <v>1615762.5</v>
      </c>
      <c r="CR8" s="27">
        <f t="shared" si="16"/>
        <v>836805.25</v>
      </c>
      <c r="CS8" s="27">
        <f t="shared" si="17"/>
        <v>21803022.75</v>
      </c>
      <c r="CT8" s="18" t="s">
        <v>19</v>
      </c>
      <c r="CU8" s="28">
        <f aca="true" t="shared" si="24" ref="CU8:DF8">+CG8/$CS$8</f>
        <v>0.04294989326651966</v>
      </c>
      <c r="CV8" s="28">
        <f t="shared" si="24"/>
        <v>0.1433134426280411</v>
      </c>
      <c r="CW8" s="28">
        <f t="shared" si="24"/>
        <v>0.3477027629116243</v>
      </c>
      <c r="CX8" s="28">
        <f t="shared" si="24"/>
        <v>0.0804528812409738</v>
      </c>
      <c r="CY8" s="28">
        <f t="shared" si="24"/>
        <v>0.054193173742388544</v>
      </c>
      <c r="CZ8" s="28">
        <f t="shared" si="24"/>
        <v>0.024829240707002428</v>
      </c>
      <c r="DA8" s="28">
        <f t="shared" si="24"/>
        <v>0.029231118882357722</v>
      </c>
      <c r="DB8" s="28">
        <f t="shared" si="24"/>
        <v>0.08277579309501935</v>
      </c>
      <c r="DC8" s="28">
        <f t="shared" si="24"/>
        <v>0.06134227420369957</v>
      </c>
      <c r="DD8" s="28">
        <f t="shared" si="24"/>
        <v>0.02072190884633187</v>
      </c>
      <c r="DE8" s="28">
        <f t="shared" si="24"/>
        <v>0.07410727028663949</v>
      </c>
      <c r="DF8" s="28">
        <f t="shared" si="24"/>
        <v>0.03838024018940218</v>
      </c>
      <c r="DG8" s="29">
        <f t="shared" si="19"/>
        <v>1</v>
      </c>
      <c r="DH8" s="37" t="s">
        <v>119</v>
      </c>
      <c r="DI8" s="7">
        <v>869</v>
      </c>
      <c r="DJ8" s="52">
        <v>1934</v>
      </c>
      <c r="DK8" s="27">
        <v>5051</v>
      </c>
      <c r="DL8" s="27">
        <v>3170</v>
      </c>
      <c r="DM8" s="63">
        <v>700</v>
      </c>
      <c r="DN8" s="27">
        <v>804</v>
      </c>
      <c r="DO8" s="64">
        <v>1238</v>
      </c>
      <c r="DP8" s="65">
        <v>494</v>
      </c>
      <c r="DQ8" s="66">
        <v>303</v>
      </c>
      <c r="DR8" s="65">
        <v>744</v>
      </c>
      <c r="DS8" s="64">
        <v>999</v>
      </c>
      <c r="DT8" s="65">
        <v>762</v>
      </c>
      <c r="DV8" s="7" t="s">
        <v>204</v>
      </c>
      <c r="DW8" s="52">
        <v>1122</v>
      </c>
      <c r="DX8" s="52">
        <v>1672</v>
      </c>
      <c r="DY8" s="52">
        <v>8610</v>
      </c>
      <c r="DZ8" s="7">
        <v>705</v>
      </c>
      <c r="EA8" s="7">
        <v>156</v>
      </c>
      <c r="EB8" s="52">
        <v>5006</v>
      </c>
      <c r="EC8" s="7">
        <v>818</v>
      </c>
      <c r="ED8" s="52">
        <v>1527</v>
      </c>
      <c r="EE8" s="7">
        <v>251</v>
      </c>
      <c r="EF8" s="7">
        <v>99</v>
      </c>
      <c r="EG8" s="7">
        <v>112</v>
      </c>
      <c r="EH8" s="7">
        <v>718</v>
      </c>
    </row>
    <row r="9" spans="1:138" ht="13.5" customHeight="1">
      <c r="A9" s="14" t="s">
        <v>20</v>
      </c>
      <c r="B9" s="15">
        <v>0</v>
      </c>
      <c r="C9" s="16">
        <v>57000</v>
      </c>
      <c r="D9" s="16">
        <v>0</v>
      </c>
      <c r="E9" s="16">
        <v>122000</v>
      </c>
      <c r="F9" s="16">
        <v>32000</v>
      </c>
      <c r="G9" s="16">
        <v>93300</v>
      </c>
      <c r="H9" s="16">
        <v>2240000</v>
      </c>
      <c r="I9" s="16">
        <v>515300</v>
      </c>
      <c r="J9" s="16">
        <v>388500</v>
      </c>
      <c r="K9" s="15">
        <v>161800</v>
      </c>
      <c r="L9" s="15">
        <v>86600</v>
      </c>
      <c r="M9" s="15">
        <v>38000</v>
      </c>
      <c r="N9" s="17">
        <f t="shared" si="0"/>
        <v>3734500</v>
      </c>
      <c r="O9" s="18" t="s">
        <v>20</v>
      </c>
      <c r="P9" s="30">
        <v>0</v>
      </c>
      <c r="Q9" s="30">
        <v>0</v>
      </c>
      <c r="R9" s="27">
        <v>64850</v>
      </c>
      <c r="S9" s="31">
        <v>0</v>
      </c>
      <c r="T9" s="31">
        <v>2537500</v>
      </c>
      <c r="U9" s="31">
        <v>82000</v>
      </c>
      <c r="V9" s="31">
        <v>310000</v>
      </c>
      <c r="W9" s="31">
        <v>189000</v>
      </c>
      <c r="X9" s="31">
        <v>34000</v>
      </c>
      <c r="Y9" s="27">
        <v>20000</v>
      </c>
      <c r="Z9" s="31">
        <v>160000</v>
      </c>
      <c r="AA9" s="27">
        <v>0</v>
      </c>
      <c r="AB9" s="22">
        <f t="shared" si="1"/>
        <v>3397350</v>
      </c>
      <c r="AC9" s="18" t="s">
        <v>20</v>
      </c>
      <c r="AD9" s="23">
        <v>36100</v>
      </c>
      <c r="AE9" s="23">
        <v>376975</v>
      </c>
      <c r="AF9" s="23"/>
      <c r="AG9" s="23">
        <v>177000</v>
      </c>
      <c r="AH9" s="23">
        <v>12500</v>
      </c>
      <c r="AI9" s="23">
        <v>240950</v>
      </c>
      <c r="AJ9" s="23">
        <v>215000</v>
      </c>
      <c r="AK9" s="23">
        <v>961600</v>
      </c>
      <c r="AL9" s="23">
        <v>30000</v>
      </c>
      <c r="AM9" s="23">
        <v>60000</v>
      </c>
      <c r="AN9" s="23">
        <v>10000</v>
      </c>
      <c r="AO9" s="23">
        <v>500000</v>
      </c>
      <c r="AP9" s="24">
        <f t="shared" si="2"/>
        <v>2620125</v>
      </c>
      <c r="AQ9" s="23">
        <v>0</v>
      </c>
      <c r="AR9" s="23">
        <v>0</v>
      </c>
      <c r="AS9" s="23">
        <v>32000</v>
      </c>
      <c r="AT9" s="23">
        <v>4800</v>
      </c>
      <c r="AU9" s="23">
        <v>0</v>
      </c>
      <c r="AV9" s="23">
        <v>700000</v>
      </c>
      <c r="AW9" s="23">
        <v>2572400</v>
      </c>
      <c r="AX9" s="23">
        <v>0</v>
      </c>
      <c r="AY9" s="23">
        <v>137700</v>
      </c>
      <c r="AZ9" s="23">
        <v>145000</v>
      </c>
      <c r="BA9" s="23">
        <v>30000</v>
      </c>
      <c r="BB9" s="23">
        <v>3943000</v>
      </c>
      <c r="BC9" s="24">
        <f t="shared" si="3"/>
        <v>7564900</v>
      </c>
      <c r="BD9" s="37" t="s">
        <v>121</v>
      </c>
      <c r="BE9" s="7">
        <v>0</v>
      </c>
      <c r="BF9" s="52">
        <v>0</v>
      </c>
      <c r="BG9" s="27">
        <v>0</v>
      </c>
      <c r="BH9" s="27">
        <v>25</v>
      </c>
      <c r="BI9" s="63">
        <v>93</v>
      </c>
      <c r="BJ9" s="27">
        <v>81</v>
      </c>
      <c r="BK9" s="64">
        <v>1041</v>
      </c>
      <c r="BL9" s="65">
        <v>12</v>
      </c>
      <c r="BM9" s="66">
        <v>13</v>
      </c>
      <c r="BN9" s="65">
        <v>156</v>
      </c>
      <c r="BO9" s="64">
        <v>84</v>
      </c>
      <c r="BP9" s="65">
        <v>77</v>
      </c>
      <c r="BQ9" s="24">
        <f t="shared" si="4"/>
        <v>1582</v>
      </c>
      <c r="BR9" s="7" t="s">
        <v>20</v>
      </c>
      <c r="BS9" s="7">
        <v>0</v>
      </c>
      <c r="BT9" s="7">
        <v>339</v>
      </c>
      <c r="BU9" s="7">
        <v>24</v>
      </c>
      <c r="BV9" s="7">
        <v>101</v>
      </c>
      <c r="BW9" s="7">
        <v>38</v>
      </c>
      <c r="BX9" s="7">
        <v>60</v>
      </c>
      <c r="BY9" s="52">
        <v>1486</v>
      </c>
      <c r="BZ9" s="7">
        <v>0</v>
      </c>
      <c r="CA9" s="7">
        <v>32</v>
      </c>
      <c r="CB9" s="7">
        <v>369</v>
      </c>
      <c r="CC9" s="7">
        <v>37</v>
      </c>
      <c r="CD9" s="7">
        <v>246</v>
      </c>
      <c r="CE9" s="24"/>
      <c r="CF9" s="26" t="s">
        <v>20</v>
      </c>
      <c r="CG9" s="27">
        <f t="shared" si="5"/>
        <v>9025</v>
      </c>
      <c r="CH9" s="27">
        <f t="shared" si="6"/>
        <v>108493.75</v>
      </c>
      <c r="CI9" s="27">
        <f t="shared" si="7"/>
        <v>24212.5</v>
      </c>
      <c r="CJ9" s="27">
        <f t="shared" si="8"/>
        <v>75950</v>
      </c>
      <c r="CK9" s="27">
        <f t="shared" si="9"/>
        <v>645500</v>
      </c>
      <c r="CL9" s="27">
        <f t="shared" si="10"/>
        <v>279062.5</v>
      </c>
      <c r="CM9" s="27">
        <f t="shared" si="11"/>
        <v>1334350</v>
      </c>
      <c r="CN9" s="27">
        <f t="shared" si="12"/>
        <v>416475</v>
      </c>
      <c r="CO9" s="27">
        <f t="shared" si="13"/>
        <v>147550</v>
      </c>
      <c r="CP9" s="27">
        <f t="shared" si="14"/>
        <v>96700</v>
      </c>
      <c r="CQ9" s="27">
        <f t="shared" si="15"/>
        <v>71650</v>
      </c>
      <c r="CR9" s="27">
        <f t="shared" si="16"/>
        <v>1120250</v>
      </c>
      <c r="CS9" s="27">
        <f t="shared" si="17"/>
        <v>4329218.75</v>
      </c>
      <c r="CT9" s="18" t="s">
        <v>20</v>
      </c>
      <c r="CU9" s="28">
        <f aca="true" t="shared" si="25" ref="CU9:DF9">+CG9/$CS$9</f>
        <v>0.0020846717436026996</v>
      </c>
      <c r="CV9" s="28">
        <f t="shared" si="25"/>
        <v>0.025060814956509185</v>
      </c>
      <c r="CW9" s="28">
        <f t="shared" si="25"/>
        <v>0.0055928104811058576</v>
      </c>
      <c r="CX9" s="28">
        <f t="shared" si="25"/>
        <v>0.01754358104450139</v>
      </c>
      <c r="CY9" s="28">
        <f t="shared" si="25"/>
        <v>0.1491031147363482</v>
      </c>
      <c r="CZ9" s="28">
        <f t="shared" si="25"/>
        <v>0.06446024470350453</v>
      </c>
      <c r="DA9" s="28">
        <f t="shared" si="25"/>
        <v>0.30821958349875483</v>
      </c>
      <c r="DB9" s="28">
        <f t="shared" si="25"/>
        <v>0.09620096004619771</v>
      </c>
      <c r="DC9" s="28">
        <f t="shared" si="25"/>
        <v>0.03408236185801422</v>
      </c>
      <c r="DD9" s="28">
        <f t="shared" si="25"/>
        <v>0.022336593640596238</v>
      </c>
      <c r="DE9" s="28">
        <f t="shared" si="25"/>
        <v>0.01655033024145523</v>
      </c>
      <c r="DF9" s="28">
        <f t="shared" si="25"/>
        <v>0.2587649330494099</v>
      </c>
      <c r="DG9" s="29">
        <f t="shared" si="19"/>
        <v>1</v>
      </c>
      <c r="DH9" s="37" t="s">
        <v>121</v>
      </c>
      <c r="DI9" s="7">
        <v>0</v>
      </c>
      <c r="DJ9" s="52">
        <v>0</v>
      </c>
      <c r="DK9" s="27">
        <v>0</v>
      </c>
      <c r="DL9" s="27">
        <v>25</v>
      </c>
      <c r="DM9" s="63">
        <v>93</v>
      </c>
      <c r="DN9" s="27">
        <v>81</v>
      </c>
      <c r="DO9" s="64">
        <v>1041</v>
      </c>
      <c r="DP9" s="65">
        <v>12</v>
      </c>
      <c r="DQ9" s="66">
        <v>13</v>
      </c>
      <c r="DR9" s="65">
        <v>156</v>
      </c>
      <c r="DS9" s="64">
        <v>84</v>
      </c>
      <c r="DT9" s="65">
        <v>77</v>
      </c>
      <c r="DV9" s="7" t="s">
        <v>20</v>
      </c>
      <c r="DW9" s="7">
        <v>0</v>
      </c>
      <c r="DX9" s="7">
        <v>339</v>
      </c>
      <c r="DY9" s="7">
        <v>24</v>
      </c>
      <c r="DZ9" s="7">
        <v>101</v>
      </c>
      <c r="EA9" s="7">
        <v>38</v>
      </c>
      <c r="EB9" s="7">
        <v>60</v>
      </c>
      <c r="EC9" s="52">
        <v>1486</v>
      </c>
      <c r="ED9" s="7">
        <v>0</v>
      </c>
      <c r="EE9" s="7">
        <v>32</v>
      </c>
      <c r="EF9" s="7">
        <v>369</v>
      </c>
      <c r="EG9" s="7">
        <v>37</v>
      </c>
      <c r="EH9" s="7">
        <v>246</v>
      </c>
    </row>
    <row r="10" spans="1:138" ht="15" customHeight="1">
      <c r="A10" s="14" t="s">
        <v>21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5">
        <v>0</v>
      </c>
      <c r="L10" s="15">
        <v>0</v>
      </c>
      <c r="M10" s="15">
        <v>0</v>
      </c>
      <c r="N10" s="17">
        <f t="shared" si="0"/>
        <v>0</v>
      </c>
      <c r="O10" s="18" t="s">
        <v>21</v>
      </c>
      <c r="P10" s="30">
        <v>0</v>
      </c>
      <c r="Q10" s="30">
        <v>0</v>
      </c>
      <c r="R10" s="27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27">
        <v>0</v>
      </c>
      <c r="Z10" s="31">
        <v>0</v>
      </c>
      <c r="AA10" s="27">
        <v>0</v>
      </c>
      <c r="AB10" s="22">
        <f t="shared" si="1"/>
        <v>0</v>
      </c>
      <c r="AC10" s="18" t="s">
        <v>21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>
        <f t="shared" si="2"/>
        <v>0</v>
      </c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>
        <f t="shared" si="3"/>
        <v>0</v>
      </c>
      <c r="BE10" s="7" t="s">
        <v>46</v>
      </c>
      <c r="BF10" s="52" t="s">
        <v>46</v>
      </c>
      <c r="BG10" s="27" t="s">
        <v>46</v>
      </c>
      <c r="BH10" s="27" t="s">
        <v>46</v>
      </c>
      <c r="BI10" s="63" t="s">
        <v>46</v>
      </c>
      <c r="BJ10" s="27" t="s">
        <v>46</v>
      </c>
      <c r="BK10" s="64" t="s">
        <v>46</v>
      </c>
      <c r="BL10" s="65" t="s">
        <v>46</v>
      </c>
      <c r="BM10" s="66" t="s">
        <v>46</v>
      </c>
      <c r="BN10" s="65" t="s">
        <v>46</v>
      </c>
      <c r="BO10" s="64" t="s">
        <v>46</v>
      </c>
      <c r="BP10" s="65" t="s">
        <v>46</v>
      </c>
      <c r="BQ10" s="24">
        <f t="shared" si="4"/>
        <v>0</v>
      </c>
      <c r="BR10" s="7" t="s">
        <v>211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 t="s">
        <v>201</v>
      </c>
      <c r="CE10" s="24"/>
      <c r="CF10" s="26" t="s">
        <v>21</v>
      </c>
      <c r="CG10" s="27">
        <f t="shared" si="5"/>
        <v>0</v>
      </c>
      <c r="CH10" s="27">
        <f t="shared" si="6"/>
        <v>0</v>
      </c>
      <c r="CI10" s="27">
        <f t="shared" si="7"/>
        <v>0</v>
      </c>
      <c r="CJ10" s="27">
        <f t="shared" si="8"/>
        <v>0</v>
      </c>
      <c r="CK10" s="27">
        <f t="shared" si="9"/>
        <v>0</v>
      </c>
      <c r="CL10" s="27">
        <f t="shared" si="10"/>
        <v>0</v>
      </c>
      <c r="CM10" s="27">
        <f t="shared" si="11"/>
        <v>0</v>
      </c>
      <c r="CN10" s="27">
        <f t="shared" si="12"/>
        <v>0</v>
      </c>
      <c r="CO10" s="27">
        <f t="shared" si="13"/>
        <v>0</v>
      </c>
      <c r="CP10" s="27">
        <f t="shared" si="14"/>
        <v>0</v>
      </c>
      <c r="CQ10" s="27">
        <f t="shared" si="15"/>
        <v>0</v>
      </c>
      <c r="CR10" s="27">
        <f t="shared" si="16"/>
        <v>0</v>
      </c>
      <c r="CS10" s="27">
        <f t="shared" si="17"/>
        <v>0</v>
      </c>
      <c r="CT10" s="18" t="s">
        <v>21</v>
      </c>
      <c r="CU10" s="28" t="e">
        <f aca="true" t="shared" si="26" ref="CU10:DF10">+CG10/$CS$10</f>
        <v>#DIV/0!</v>
      </c>
      <c r="CV10" s="28" t="e">
        <f t="shared" si="26"/>
        <v>#DIV/0!</v>
      </c>
      <c r="CW10" s="28" t="e">
        <f t="shared" si="26"/>
        <v>#DIV/0!</v>
      </c>
      <c r="CX10" s="28" t="e">
        <f t="shared" si="26"/>
        <v>#DIV/0!</v>
      </c>
      <c r="CY10" s="28" t="e">
        <f t="shared" si="26"/>
        <v>#DIV/0!</v>
      </c>
      <c r="CZ10" s="28" t="e">
        <f t="shared" si="26"/>
        <v>#DIV/0!</v>
      </c>
      <c r="DA10" s="28" t="e">
        <f t="shared" si="26"/>
        <v>#DIV/0!</v>
      </c>
      <c r="DB10" s="28" t="e">
        <f t="shared" si="26"/>
        <v>#DIV/0!</v>
      </c>
      <c r="DC10" s="28" t="e">
        <f t="shared" si="26"/>
        <v>#DIV/0!</v>
      </c>
      <c r="DD10" s="28" t="e">
        <f t="shared" si="26"/>
        <v>#DIV/0!</v>
      </c>
      <c r="DE10" s="28" t="e">
        <f t="shared" si="26"/>
        <v>#DIV/0!</v>
      </c>
      <c r="DF10" s="28" t="e">
        <f t="shared" si="26"/>
        <v>#DIV/0!</v>
      </c>
      <c r="DG10" s="29" t="e">
        <f t="shared" si="19"/>
        <v>#DIV/0!</v>
      </c>
      <c r="DI10" s="7" t="s">
        <v>46</v>
      </c>
      <c r="DJ10" s="52" t="s">
        <v>46</v>
      </c>
      <c r="DK10" s="27" t="s">
        <v>46</v>
      </c>
      <c r="DL10" s="27" t="s">
        <v>46</v>
      </c>
      <c r="DM10" s="63" t="s">
        <v>46</v>
      </c>
      <c r="DN10" s="27" t="s">
        <v>46</v>
      </c>
      <c r="DO10" s="64" t="s">
        <v>46</v>
      </c>
      <c r="DP10" s="65" t="s">
        <v>46</v>
      </c>
      <c r="DQ10" s="66" t="s">
        <v>46</v>
      </c>
      <c r="DR10" s="65" t="s">
        <v>46</v>
      </c>
      <c r="DS10" s="64" t="s">
        <v>46</v>
      </c>
      <c r="DT10" s="65" t="s">
        <v>46</v>
      </c>
      <c r="DV10" s="7" t="s">
        <v>211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 t="s">
        <v>201</v>
      </c>
    </row>
    <row r="11" spans="1:138" ht="15" customHeight="1">
      <c r="A11" s="14" t="s">
        <v>22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5">
        <v>0</v>
      </c>
      <c r="L11" s="15">
        <v>0</v>
      </c>
      <c r="M11" s="15">
        <v>0</v>
      </c>
      <c r="N11" s="17">
        <f t="shared" si="0"/>
        <v>0</v>
      </c>
      <c r="O11" s="18" t="s">
        <v>22</v>
      </c>
      <c r="P11" s="30">
        <v>0</v>
      </c>
      <c r="Q11" s="30">
        <v>0</v>
      </c>
      <c r="R11" s="27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27">
        <v>0</v>
      </c>
      <c r="Z11" s="31">
        <v>0</v>
      </c>
      <c r="AA11" s="27">
        <v>0</v>
      </c>
      <c r="AB11" s="22">
        <f t="shared" si="1"/>
        <v>0</v>
      </c>
      <c r="AC11" s="18" t="s">
        <v>22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>
        <f t="shared" si="2"/>
        <v>0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>
        <f t="shared" si="3"/>
        <v>0</v>
      </c>
      <c r="BE11" s="7" t="s">
        <v>46</v>
      </c>
      <c r="BF11" s="52" t="s">
        <v>46</v>
      </c>
      <c r="BG11" s="27" t="s">
        <v>46</v>
      </c>
      <c r="BH11" s="27" t="s">
        <v>46</v>
      </c>
      <c r="BI11" s="63" t="s">
        <v>46</v>
      </c>
      <c r="BJ11" s="27" t="s">
        <v>197</v>
      </c>
      <c r="BK11" s="64" t="s">
        <v>46</v>
      </c>
      <c r="BL11" s="65" t="s">
        <v>46</v>
      </c>
      <c r="BM11" s="66" t="s">
        <v>46</v>
      </c>
      <c r="BN11" s="65" t="s">
        <v>46</v>
      </c>
      <c r="BO11" s="64" t="s">
        <v>46</v>
      </c>
      <c r="BP11" s="65" t="s">
        <v>46</v>
      </c>
      <c r="BQ11" s="24">
        <f t="shared" si="4"/>
        <v>0</v>
      </c>
      <c r="BR11" s="7" t="s">
        <v>209</v>
      </c>
      <c r="BS11" s="7">
        <v>409</v>
      </c>
      <c r="BT11" s="7">
        <v>203</v>
      </c>
      <c r="BU11" s="7">
        <v>559</v>
      </c>
      <c r="BV11" s="7">
        <v>287</v>
      </c>
      <c r="BW11" s="7">
        <v>144</v>
      </c>
      <c r="BX11" s="7">
        <v>121</v>
      </c>
      <c r="BY11" s="7">
        <v>331</v>
      </c>
      <c r="BZ11" s="7">
        <v>259</v>
      </c>
      <c r="CA11" s="7">
        <v>166</v>
      </c>
      <c r="CB11" s="7">
        <v>77</v>
      </c>
      <c r="CC11" s="7">
        <v>287</v>
      </c>
      <c r="CD11" s="7">
        <v>393</v>
      </c>
      <c r="CE11" s="24"/>
      <c r="CF11" s="26" t="s">
        <v>22</v>
      </c>
      <c r="CG11" s="27">
        <f t="shared" si="5"/>
        <v>0</v>
      </c>
      <c r="CH11" s="27">
        <f t="shared" si="6"/>
        <v>0</v>
      </c>
      <c r="CI11" s="27">
        <f t="shared" si="7"/>
        <v>0</v>
      </c>
      <c r="CJ11" s="27">
        <f t="shared" si="8"/>
        <v>0</v>
      </c>
      <c r="CK11" s="27">
        <f t="shared" si="9"/>
        <v>0</v>
      </c>
      <c r="CL11" s="27">
        <f t="shared" si="10"/>
        <v>0</v>
      </c>
      <c r="CM11" s="27">
        <f t="shared" si="11"/>
        <v>0</v>
      </c>
      <c r="CN11" s="27">
        <f t="shared" si="12"/>
        <v>0</v>
      </c>
      <c r="CO11" s="27">
        <f t="shared" si="13"/>
        <v>0</v>
      </c>
      <c r="CP11" s="27">
        <f t="shared" si="14"/>
        <v>0</v>
      </c>
      <c r="CQ11" s="27">
        <f t="shared" si="15"/>
        <v>0</v>
      </c>
      <c r="CR11" s="27">
        <f t="shared" si="16"/>
        <v>0</v>
      </c>
      <c r="CS11" s="27">
        <f t="shared" si="17"/>
        <v>0</v>
      </c>
      <c r="CT11" s="18" t="s">
        <v>22</v>
      </c>
      <c r="CU11" s="28" t="e">
        <f aca="true" t="shared" si="27" ref="CU11:DF11">+CG11/$CS$11</f>
        <v>#DIV/0!</v>
      </c>
      <c r="CV11" s="28" t="e">
        <f t="shared" si="27"/>
        <v>#DIV/0!</v>
      </c>
      <c r="CW11" s="28" t="e">
        <f t="shared" si="27"/>
        <v>#DIV/0!</v>
      </c>
      <c r="CX11" s="28" t="e">
        <f t="shared" si="27"/>
        <v>#DIV/0!</v>
      </c>
      <c r="CY11" s="28" t="e">
        <f t="shared" si="27"/>
        <v>#DIV/0!</v>
      </c>
      <c r="CZ11" s="28" t="e">
        <f t="shared" si="27"/>
        <v>#DIV/0!</v>
      </c>
      <c r="DA11" s="28" t="e">
        <f t="shared" si="27"/>
        <v>#DIV/0!</v>
      </c>
      <c r="DB11" s="28" t="e">
        <f t="shared" si="27"/>
        <v>#DIV/0!</v>
      </c>
      <c r="DC11" s="28" t="e">
        <f t="shared" si="27"/>
        <v>#DIV/0!</v>
      </c>
      <c r="DD11" s="28" t="e">
        <f t="shared" si="27"/>
        <v>#DIV/0!</v>
      </c>
      <c r="DE11" s="28" t="e">
        <f t="shared" si="27"/>
        <v>#DIV/0!</v>
      </c>
      <c r="DF11" s="28" t="e">
        <f t="shared" si="27"/>
        <v>#DIV/0!</v>
      </c>
      <c r="DG11" s="29" t="e">
        <f t="shared" si="19"/>
        <v>#DIV/0!</v>
      </c>
      <c r="DI11" s="7" t="s">
        <v>46</v>
      </c>
      <c r="DJ11" s="52" t="s">
        <v>46</v>
      </c>
      <c r="DK11" s="27" t="s">
        <v>46</v>
      </c>
      <c r="DL11" s="27" t="s">
        <v>46</v>
      </c>
      <c r="DM11" s="63" t="s">
        <v>46</v>
      </c>
      <c r="DN11" s="27" t="s">
        <v>197</v>
      </c>
      <c r="DO11" s="64" t="s">
        <v>46</v>
      </c>
      <c r="DP11" s="65" t="s">
        <v>46</v>
      </c>
      <c r="DQ11" s="66" t="s">
        <v>46</v>
      </c>
      <c r="DR11" s="65" t="s">
        <v>46</v>
      </c>
      <c r="DS11" s="64" t="s">
        <v>46</v>
      </c>
      <c r="DT11" s="65" t="s">
        <v>46</v>
      </c>
      <c r="DV11" s="7" t="s">
        <v>209</v>
      </c>
      <c r="DW11" s="7">
        <v>409</v>
      </c>
      <c r="DX11" s="7">
        <v>203</v>
      </c>
      <c r="DY11" s="7">
        <v>559</v>
      </c>
      <c r="DZ11" s="7">
        <v>287</v>
      </c>
      <c r="EA11" s="7">
        <v>144</v>
      </c>
      <c r="EB11" s="7">
        <v>121</v>
      </c>
      <c r="EC11" s="7">
        <v>331</v>
      </c>
      <c r="ED11" s="7">
        <v>259</v>
      </c>
      <c r="EE11" s="7">
        <v>166</v>
      </c>
      <c r="EF11" s="7">
        <v>77</v>
      </c>
      <c r="EG11" s="7">
        <v>287</v>
      </c>
      <c r="EH11" s="7">
        <v>393</v>
      </c>
    </row>
    <row r="12" spans="1:138" ht="13.5" customHeight="1">
      <c r="A12" s="14" t="s">
        <v>23</v>
      </c>
      <c r="B12" s="15">
        <v>93550</v>
      </c>
      <c r="C12" s="16">
        <v>45050</v>
      </c>
      <c r="D12" s="16">
        <v>186150</v>
      </c>
      <c r="E12" s="16">
        <v>205700</v>
      </c>
      <c r="F12" s="16">
        <v>1476487</v>
      </c>
      <c r="G12" s="16">
        <v>1017762</v>
      </c>
      <c r="H12" s="16">
        <v>161500</v>
      </c>
      <c r="I12" s="16">
        <v>169921</v>
      </c>
      <c r="J12" s="16">
        <v>66900</v>
      </c>
      <c r="K12" s="15">
        <v>2388330</v>
      </c>
      <c r="L12" s="15">
        <v>86700</v>
      </c>
      <c r="M12" s="15">
        <v>74800</v>
      </c>
      <c r="N12" s="17">
        <f t="shared" si="0"/>
        <v>5972850</v>
      </c>
      <c r="O12" s="18" t="s">
        <v>23</v>
      </c>
      <c r="P12" s="30">
        <v>0</v>
      </c>
      <c r="Q12" s="30">
        <v>0</v>
      </c>
      <c r="R12" s="27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7">
        <v>0</v>
      </c>
      <c r="Z12" s="31">
        <v>0</v>
      </c>
      <c r="AA12" s="27">
        <v>0</v>
      </c>
      <c r="AB12" s="22">
        <f t="shared" si="1"/>
        <v>0</v>
      </c>
      <c r="AC12" s="18" t="s">
        <v>23</v>
      </c>
      <c r="AD12" s="23"/>
      <c r="AE12" s="23"/>
      <c r="AF12" s="23"/>
      <c r="AG12" s="23">
        <v>269650</v>
      </c>
      <c r="AH12" s="23">
        <v>610160</v>
      </c>
      <c r="AI12" s="23">
        <v>7413</v>
      </c>
      <c r="AJ12" s="23"/>
      <c r="AK12" s="23">
        <v>21750</v>
      </c>
      <c r="AL12" s="23">
        <v>16225</v>
      </c>
      <c r="AM12" s="23">
        <v>71775</v>
      </c>
      <c r="AN12" s="23">
        <v>87000</v>
      </c>
      <c r="AO12" s="23">
        <v>213200</v>
      </c>
      <c r="AP12" s="24">
        <f t="shared" si="2"/>
        <v>1297173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/>
      <c r="AY12" s="23">
        <v>0</v>
      </c>
      <c r="AZ12" s="23">
        <v>0</v>
      </c>
      <c r="BA12" s="23">
        <v>0</v>
      </c>
      <c r="BB12" s="23">
        <v>0</v>
      </c>
      <c r="BC12" s="24">
        <f t="shared" si="3"/>
        <v>0</v>
      </c>
      <c r="BD12" s="37" t="s">
        <v>120</v>
      </c>
      <c r="BE12" s="7">
        <v>0</v>
      </c>
      <c r="BF12" s="52">
        <v>0</v>
      </c>
      <c r="BG12" s="27">
        <v>0</v>
      </c>
      <c r="BH12" s="27">
        <v>0</v>
      </c>
      <c r="BI12" s="63">
        <v>0</v>
      </c>
      <c r="BJ12" s="27">
        <v>0</v>
      </c>
      <c r="BK12" s="64">
        <v>0</v>
      </c>
      <c r="BL12" s="65">
        <v>0</v>
      </c>
      <c r="BM12" s="66">
        <v>0</v>
      </c>
      <c r="BN12" s="65">
        <v>0</v>
      </c>
      <c r="BO12" s="64">
        <v>0</v>
      </c>
      <c r="BP12" s="65">
        <v>0</v>
      </c>
      <c r="BQ12" s="24">
        <f t="shared" si="4"/>
        <v>0</v>
      </c>
      <c r="BR12" s="7" t="s">
        <v>206</v>
      </c>
      <c r="BS12" s="7">
        <v>4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108</v>
      </c>
      <c r="CA12" s="7">
        <v>0</v>
      </c>
      <c r="CB12" s="7">
        <v>0</v>
      </c>
      <c r="CC12" s="7">
        <v>0</v>
      </c>
      <c r="CD12" s="7" t="s">
        <v>201</v>
      </c>
      <c r="CE12" s="24"/>
      <c r="CF12" s="26" t="s">
        <v>23</v>
      </c>
      <c r="CG12" s="27">
        <f t="shared" si="5"/>
        <v>23387.5</v>
      </c>
      <c r="CH12" s="27">
        <f t="shared" si="6"/>
        <v>11262.5</v>
      </c>
      <c r="CI12" s="27">
        <f t="shared" si="7"/>
        <v>46537.5</v>
      </c>
      <c r="CJ12" s="27">
        <f t="shared" si="8"/>
        <v>118837.5</v>
      </c>
      <c r="CK12" s="27">
        <f t="shared" si="9"/>
        <v>521661.75</v>
      </c>
      <c r="CL12" s="27">
        <f t="shared" si="10"/>
        <v>256293.75</v>
      </c>
      <c r="CM12" s="27">
        <f t="shared" si="11"/>
        <v>40375</v>
      </c>
      <c r="CN12" s="27">
        <f t="shared" si="12"/>
        <v>47917.75</v>
      </c>
      <c r="CO12" s="27">
        <f t="shared" si="13"/>
        <v>20781.25</v>
      </c>
      <c r="CP12" s="27">
        <f t="shared" si="14"/>
        <v>615026.25</v>
      </c>
      <c r="CQ12" s="27">
        <f t="shared" si="15"/>
        <v>43425</v>
      </c>
      <c r="CR12" s="27">
        <f t="shared" si="16"/>
        <v>72000</v>
      </c>
      <c r="CS12" s="27">
        <f t="shared" si="17"/>
        <v>1817505.75</v>
      </c>
      <c r="CT12" s="18" t="s">
        <v>23</v>
      </c>
      <c r="CU12" s="28">
        <f aca="true" t="shared" si="28" ref="CU12:DF12">+CG12/$CS$12</f>
        <v>0.012867909771399623</v>
      </c>
      <c r="CV12" s="28">
        <f t="shared" si="28"/>
        <v>0.006196679157686296</v>
      </c>
      <c r="CW12" s="28">
        <f t="shared" si="28"/>
        <v>0.025605145953458468</v>
      </c>
      <c r="CX12" s="28">
        <f t="shared" si="28"/>
        <v>0.06538493757172432</v>
      </c>
      <c r="CY12" s="28">
        <f t="shared" si="28"/>
        <v>0.28702068755490867</v>
      </c>
      <c r="CZ12" s="28">
        <f t="shared" si="28"/>
        <v>0.14101399679203216</v>
      </c>
      <c r="DA12" s="28">
        <f t="shared" si="28"/>
        <v>0.022214510187932007</v>
      </c>
      <c r="DB12" s="28">
        <f t="shared" si="28"/>
        <v>0.026364565834248392</v>
      </c>
      <c r="DC12" s="28">
        <f t="shared" si="28"/>
        <v>0.011433939067317943</v>
      </c>
      <c r="DD12" s="28">
        <f t="shared" si="28"/>
        <v>0.33839026368967473</v>
      </c>
      <c r="DE12" s="28">
        <f t="shared" si="28"/>
        <v>0.023892634177360924</v>
      </c>
      <c r="DF12" s="28">
        <f t="shared" si="28"/>
        <v>0.03961473024225645</v>
      </c>
      <c r="DG12" s="29">
        <f t="shared" si="19"/>
        <v>0.9999999999999999</v>
      </c>
      <c r="DH12" s="37" t="s">
        <v>120</v>
      </c>
      <c r="DI12" s="7">
        <v>0</v>
      </c>
      <c r="DJ12" s="52">
        <v>0</v>
      </c>
      <c r="DK12" s="27">
        <v>0</v>
      </c>
      <c r="DL12" s="27">
        <v>0</v>
      </c>
      <c r="DM12" s="63">
        <v>0</v>
      </c>
      <c r="DN12" s="27">
        <v>0</v>
      </c>
      <c r="DO12" s="64">
        <v>0</v>
      </c>
      <c r="DP12" s="65">
        <v>0</v>
      </c>
      <c r="DQ12" s="66">
        <v>0</v>
      </c>
      <c r="DR12" s="65">
        <v>0</v>
      </c>
      <c r="DS12" s="64">
        <v>0</v>
      </c>
      <c r="DT12" s="65">
        <v>0</v>
      </c>
      <c r="DV12" s="7" t="s">
        <v>206</v>
      </c>
      <c r="DW12" s="7">
        <v>4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108</v>
      </c>
      <c r="EE12" s="7">
        <v>0</v>
      </c>
      <c r="EF12" s="7">
        <v>0</v>
      </c>
      <c r="EG12" s="7">
        <v>0</v>
      </c>
      <c r="EH12" s="7" t="s">
        <v>201</v>
      </c>
    </row>
    <row r="13" spans="1:138" ht="13.5" customHeight="1">
      <c r="A13" s="14" t="s">
        <v>24</v>
      </c>
      <c r="B13" s="15"/>
      <c r="C13" s="16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7">
        <f t="shared" si="0"/>
        <v>0</v>
      </c>
      <c r="O13" s="18" t="s">
        <v>24</v>
      </c>
      <c r="P13" s="30">
        <v>9875</v>
      </c>
      <c r="Q13" s="30">
        <v>431550</v>
      </c>
      <c r="R13" s="27">
        <v>783677</v>
      </c>
      <c r="S13" s="31">
        <v>577025</v>
      </c>
      <c r="T13" s="31">
        <v>948153</v>
      </c>
      <c r="U13" s="31">
        <v>189600</v>
      </c>
      <c r="V13" s="31">
        <v>43055</v>
      </c>
      <c r="W13" s="31">
        <v>34562</v>
      </c>
      <c r="X13" s="31">
        <v>212616</v>
      </c>
      <c r="Y13" s="27">
        <v>53325</v>
      </c>
      <c r="Z13" s="31">
        <v>80975</v>
      </c>
      <c r="AA13" s="27">
        <v>94395.5</v>
      </c>
      <c r="AB13" s="22">
        <f t="shared" si="1"/>
        <v>3458808.5</v>
      </c>
      <c r="AC13" s="18" t="s">
        <v>24</v>
      </c>
      <c r="AD13" s="23">
        <v>133150</v>
      </c>
      <c r="AE13" s="23"/>
      <c r="AF13" s="23"/>
      <c r="AG13" s="23"/>
      <c r="AH13" s="23"/>
      <c r="AI13" s="23"/>
      <c r="AJ13" s="23">
        <v>32601</v>
      </c>
      <c r="AK13" s="23"/>
      <c r="AL13" s="23"/>
      <c r="AM13" s="23"/>
      <c r="AN13" s="23"/>
      <c r="AO13" s="23"/>
      <c r="AP13" s="24">
        <f t="shared" si="2"/>
        <v>165751</v>
      </c>
      <c r="AQ13" s="23">
        <v>88320</v>
      </c>
      <c r="AR13" s="23">
        <v>2400</v>
      </c>
      <c r="AS13" s="23">
        <v>78000</v>
      </c>
      <c r="AT13" s="23">
        <v>144800</v>
      </c>
      <c r="AU13" s="23">
        <v>148320</v>
      </c>
      <c r="AV13" s="23">
        <v>0</v>
      </c>
      <c r="AW13" s="23">
        <v>0</v>
      </c>
      <c r="AX13" s="23">
        <v>3000</v>
      </c>
      <c r="AY13" s="23">
        <v>21600</v>
      </c>
      <c r="AZ13" s="23">
        <v>24000</v>
      </c>
      <c r="BA13" s="23">
        <v>163697</v>
      </c>
      <c r="BB13" s="23">
        <v>0</v>
      </c>
      <c r="BC13" s="24">
        <f t="shared" si="3"/>
        <v>674137</v>
      </c>
      <c r="BD13" s="37" t="s">
        <v>125</v>
      </c>
      <c r="BE13" s="7">
        <v>62</v>
      </c>
      <c r="BF13" s="52">
        <v>0</v>
      </c>
      <c r="BG13" s="27">
        <v>26</v>
      </c>
      <c r="BH13" s="27">
        <v>21</v>
      </c>
      <c r="BI13" s="63">
        <v>54</v>
      </c>
      <c r="BJ13" s="27">
        <v>14</v>
      </c>
      <c r="BK13" s="64">
        <v>10</v>
      </c>
      <c r="BL13" s="65">
        <v>0</v>
      </c>
      <c r="BM13" s="66">
        <v>0</v>
      </c>
      <c r="BN13" s="65">
        <v>15</v>
      </c>
      <c r="BO13" s="64">
        <v>10</v>
      </c>
      <c r="BP13" s="65">
        <v>60</v>
      </c>
      <c r="BQ13" s="24">
        <f t="shared" si="4"/>
        <v>272</v>
      </c>
      <c r="BR13" s="7" t="s">
        <v>215</v>
      </c>
      <c r="BS13" s="7">
        <v>78</v>
      </c>
      <c r="BT13" s="7">
        <v>26</v>
      </c>
      <c r="BU13" s="7">
        <v>106</v>
      </c>
      <c r="BV13" s="7">
        <v>317</v>
      </c>
      <c r="BW13" s="7">
        <v>391</v>
      </c>
      <c r="BX13" s="7">
        <v>50</v>
      </c>
      <c r="BY13" s="7">
        <v>8</v>
      </c>
      <c r="BZ13" s="7">
        <v>119</v>
      </c>
      <c r="CA13" s="7">
        <v>54</v>
      </c>
      <c r="CB13" s="7">
        <v>44</v>
      </c>
      <c r="CC13" s="7">
        <v>53</v>
      </c>
      <c r="CD13" s="7">
        <v>244</v>
      </c>
      <c r="CE13" s="24"/>
      <c r="CF13" s="26" t="s">
        <v>24</v>
      </c>
      <c r="CG13" s="27">
        <f t="shared" si="5"/>
        <v>57836.25</v>
      </c>
      <c r="CH13" s="27">
        <f t="shared" si="6"/>
        <v>108487.5</v>
      </c>
      <c r="CI13" s="27">
        <f t="shared" si="7"/>
        <v>215419.25</v>
      </c>
      <c r="CJ13" s="27">
        <f t="shared" si="8"/>
        <v>180456.25</v>
      </c>
      <c r="CK13" s="27">
        <f t="shared" si="9"/>
        <v>274118.25</v>
      </c>
      <c r="CL13" s="27">
        <f t="shared" si="10"/>
        <v>47400</v>
      </c>
      <c r="CM13" s="27">
        <f t="shared" si="11"/>
        <v>18914</v>
      </c>
      <c r="CN13" s="27">
        <f t="shared" si="12"/>
        <v>9390.5</v>
      </c>
      <c r="CO13" s="27">
        <f t="shared" si="13"/>
        <v>58554</v>
      </c>
      <c r="CP13" s="27">
        <f t="shared" si="14"/>
        <v>19331.25</v>
      </c>
      <c r="CQ13" s="27">
        <f t="shared" si="15"/>
        <v>61168</v>
      </c>
      <c r="CR13" s="27">
        <f t="shared" si="16"/>
        <v>23598.875</v>
      </c>
      <c r="CS13" s="27">
        <f t="shared" si="17"/>
        <v>1074674.125</v>
      </c>
      <c r="CT13" s="18" t="s">
        <v>24</v>
      </c>
      <c r="CU13" s="28">
        <f aca="true" t="shared" si="29" ref="CU13:DF13">+CG13/$CS$13</f>
        <v>0.05381747699564275</v>
      </c>
      <c r="CV13" s="28">
        <f t="shared" si="29"/>
        <v>0.10094920634662159</v>
      </c>
      <c r="CW13" s="28">
        <f t="shared" si="29"/>
        <v>0.20045076455153324</v>
      </c>
      <c r="CX13" s="28">
        <f t="shared" si="29"/>
        <v>0.16791718140603784</v>
      </c>
      <c r="CY13" s="28">
        <f t="shared" si="29"/>
        <v>0.2550710430475843</v>
      </c>
      <c r="CZ13" s="28">
        <f t="shared" si="29"/>
        <v>0.04410639364746965</v>
      </c>
      <c r="DA13" s="28">
        <f t="shared" si="29"/>
        <v>0.017599753785827867</v>
      </c>
      <c r="DB13" s="28">
        <f t="shared" si="29"/>
        <v>0.008737997669758728</v>
      </c>
      <c r="DC13" s="28">
        <f t="shared" si="29"/>
        <v>0.0544853538741337</v>
      </c>
      <c r="DD13" s="28">
        <f t="shared" si="29"/>
        <v>0.01798801101682801</v>
      </c>
      <c r="DE13" s="28">
        <f t="shared" si="29"/>
        <v>0.05691771912718192</v>
      </c>
      <c r="DF13" s="28">
        <f t="shared" si="29"/>
        <v>0.021959098531380384</v>
      </c>
      <c r="DG13" s="29">
        <f t="shared" si="19"/>
        <v>0.9999999999999999</v>
      </c>
      <c r="DH13" s="37" t="s">
        <v>125</v>
      </c>
      <c r="DI13" s="7">
        <v>62</v>
      </c>
      <c r="DJ13" s="52">
        <v>0</v>
      </c>
      <c r="DK13" s="27">
        <v>26</v>
      </c>
      <c r="DL13" s="27">
        <v>21</v>
      </c>
      <c r="DM13" s="63">
        <v>54</v>
      </c>
      <c r="DN13" s="27">
        <v>14</v>
      </c>
      <c r="DO13" s="64">
        <v>10</v>
      </c>
      <c r="DP13" s="65">
        <v>0</v>
      </c>
      <c r="DQ13" s="66">
        <v>0</v>
      </c>
      <c r="DR13" s="65">
        <v>15</v>
      </c>
      <c r="DS13" s="64">
        <v>10</v>
      </c>
      <c r="DT13" s="65">
        <v>60</v>
      </c>
      <c r="DV13" s="7" t="s">
        <v>215</v>
      </c>
      <c r="DW13" s="7">
        <v>78</v>
      </c>
      <c r="DX13" s="7">
        <v>26</v>
      </c>
      <c r="DY13" s="7">
        <v>106</v>
      </c>
      <c r="DZ13" s="7">
        <v>317</v>
      </c>
      <c r="EA13" s="7">
        <v>391</v>
      </c>
      <c r="EB13" s="7">
        <v>50</v>
      </c>
      <c r="EC13" s="7">
        <v>8</v>
      </c>
      <c r="ED13" s="7">
        <v>119</v>
      </c>
      <c r="EE13" s="7">
        <v>54</v>
      </c>
      <c r="EF13" s="7">
        <v>44</v>
      </c>
      <c r="EG13" s="7">
        <v>53</v>
      </c>
      <c r="EH13" s="7">
        <v>244</v>
      </c>
    </row>
    <row r="14" spans="1:138" ht="13.5" customHeight="1">
      <c r="A14" s="14" t="s">
        <v>25</v>
      </c>
      <c r="B14" s="15">
        <v>91800</v>
      </c>
      <c r="C14" s="16">
        <v>112200</v>
      </c>
      <c r="D14" s="16">
        <v>102000</v>
      </c>
      <c r="E14" s="16">
        <v>20400</v>
      </c>
      <c r="F14" s="16">
        <v>51000</v>
      </c>
      <c r="G14" s="16">
        <v>81600</v>
      </c>
      <c r="H14" s="16">
        <v>153000</v>
      </c>
      <c r="I14" s="16">
        <v>173400</v>
      </c>
      <c r="J14" s="16">
        <v>91800</v>
      </c>
      <c r="K14" s="15">
        <v>30600</v>
      </c>
      <c r="L14" s="15">
        <v>81600</v>
      </c>
      <c r="M14" s="15">
        <v>81600</v>
      </c>
      <c r="N14" s="17">
        <f t="shared" si="0"/>
        <v>1071000</v>
      </c>
      <c r="O14" s="18" t="s">
        <v>25</v>
      </c>
      <c r="P14" s="30">
        <v>118500</v>
      </c>
      <c r="Q14" s="30">
        <v>82950</v>
      </c>
      <c r="R14" s="27">
        <v>47400</v>
      </c>
      <c r="S14" s="31">
        <v>118500</v>
      </c>
      <c r="T14" s="31">
        <v>82950</v>
      </c>
      <c r="U14" s="31">
        <v>106650</v>
      </c>
      <c r="V14" s="31">
        <v>106650</v>
      </c>
      <c r="W14" s="31">
        <v>165900</v>
      </c>
      <c r="X14" s="31">
        <v>106650</v>
      </c>
      <c r="Y14" s="27">
        <v>82950</v>
      </c>
      <c r="Z14" s="31">
        <v>177750</v>
      </c>
      <c r="AA14" s="27">
        <v>185650</v>
      </c>
      <c r="AB14" s="22">
        <f t="shared" si="1"/>
        <v>1382500</v>
      </c>
      <c r="AC14" s="18" t="s">
        <v>25</v>
      </c>
      <c r="AD14" s="23">
        <v>221850</v>
      </c>
      <c r="AE14" s="23">
        <v>78300</v>
      </c>
      <c r="AF14" s="23">
        <v>156610</v>
      </c>
      <c r="AG14" s="23">
        <v>39150</v>
      </c>
      <c r="AH14" s="23">
        <v>169650</v>
      </c>
      <c r="AI14" s="23">
        <v>221850</v>
      </c>
      <c r="AJ14" s="23">
        <v>117450</v>
      </c>
      <c r="AK14" s="23">
        <v>65250</v>
      </c>
      <c r="AL14" s="23">
        <v>52200</v>
      </c>
      <c r="AM14" s="23">
        <v>104400</v>
      </c>
      <c r="AN14" s="23">
        <v>65250</v>
      </c>
      <c r="AO14" s="23">
        <v>60900</v>
      </c>
      <c r="AP14" s="24">
        <f t="shared" si="2"/>
        <v>1352860</v>
      </c>
      <c r="AQ14" s="23">
        <v>86400</v>
      </c>
      <c r="AR14" s="23">
        <v>43200</v>
      </c>
      <c r="AS14" s="23">
        <v>28800</v>
      </c>
      <c r="AT14" s="23">
        <v>100800</v>
      </c>
      <c r="AU14" s="23">
        <v>187200</v>
      </c>
      <c r="AV14" s="23">
        <v>100800</v>
      </c>
      <c r="AW14" s="23">
        <v>158400</v>
      </c>
      <c r="AX14" s="23">
        <v>187200</v>
      </c>
      <c r="AY14" s="23">
        <v>163200</v>
      </c>
      <c r="AZ14" s="23">
        <v>38400</v>
      </c>
      <c r="BA14" s="23">
        <v>115200</v>
      </c>
      <c r="BB14" s="23">
        <v>144000</v>
      </c>
      <c r="BC14" s="24">
        <f t="shared" si="3"/>
        <v>1353600</v>
      </c>
      <c r="BD14" s="37" t="s">
        <v>123</v>
      </c>
      <c r="BE14" s="7">
        <v>92</v>
      </c>
      <c r="BF14" s="52">
        <v>62</v>
      </c>
      <c r="BG14" s="27">
        <v>31</v>
      </c>
      <c r="BH14" s="27">
        <v>77</v>
      </c>
      <c r="BI14" s="63">
        <v>124</v>
      </c>
      <c r="BJ14" s="27">
        <v>77</v>
      </c>
      <c r="BK14" s="64">
        <v>62</v>
      </c>
      <c r="BL14" s="65">
        <v>46</v>
      </c>
      <c r="BM14" s="66">
        <v>139</v>
      </c>
      <c r="BN14" s="65">
        <v>93</v>
      </c>
      <c r="BO14" s="64">
        <v>93</v>
      </c>
      <c r="BP14" s="65">
        <v>62</v>
      </c>
      <c r="BQ14" s="24">
        <f t="shared" si="4"/>
        <v>958</v>
      </c>
      <c r="BR14" s="7" t="s">
        <v>213</v>
      </c>
      <c r="BS14" s="7">
        <v>183</v>
      </c>
      <c r="BT14" s="7">
        <v>100</v>
      </c>
      <c r="BU14" s="7">
        <v>100</v>
      </c>
      <c r="BV14" s="7">
        <v>100</v>
      </c>
      <c r="BW14" s="7">
        <v>133</v>
      </c>
      <c r="BX14" s="7">
        <v>150</v>
      </c>
      <c r="BY14" s="7">
        <v>83</v>
      </c>
      <c r="BZ14" s="7">
        <v>0</v>
      </c>
      <c r="CA14" s="7">
        <v>100</v>
      </c>
      <c r="CB14" s="7">
        <v>50</v>
      </c>
      <c r="CC14" s="7">
        <v>166</v>
      </c>
      <c r="CD14" s="7">
        <v>117</v>
      </c>
      <c r="CE14" s="24"/>
      <c r="CF14" s="26" t="s">
        <v>25</v>
      </c>
      <c r="CG14" s="27">
        <f t="shared" si="5"/>
        <v>129637.5</v>
      </c>
      <c r="CH14" s="27">
        <f t="shared" si="6"/>
        <v>79162.5</v>
      </c>
      <c r="CI14" s="27">
        <f t="shared" si="7"/>
        <v>83702.5</v>
      </c>
      <c r="CJ14" s="27">
        <f t="shared" si="8"/>
        <v>69712.5</v>
      </c>
      <c r="CK14" s="27">
        <f t="shared" si="9"/>
        <v>122700</v>
      </c>
      <c r="CL14" s="27">
        <f t="shared" si="10"/>
        <v>127725</v>
      </c>
      <c r="CM14" s="27">
        <f t="shared" si="11"/>
        <v>133875</v>
      </c>
      <c r="CN14" s="27">
        <f t="shared" si="12"/>
        <v>147937.5</v>
      </c>
      <c r="CO14" s="27">
        <f t="shared" si="13"/>
        <v>103462.5</v>
      </c>
      <c r="CP14" s="27">
        <f t="shared" si="14"/>
        <v>64087.5</v>
      </c>
      <c r="CQ14" s="27">
        <f t="shared" si="15"/>
        <v>109950</v>
      </c>
      <c r="CR14" s="27">
        <f t="shared" si="16"/>
        <v>118037.5</v>
      </c>
      <c r="CS14" s="27">
        <f t="shared" si="17"/>
        <v>1289990</v>
      </c>
      <c r="CT14" s="18" t="s">
        <v>25</v>
      </c>
      <c r="CU14" s="28">
        <f aca="true" t="shared" si="30" ref="CU14:DF14">+CG14/$CS$14</f>
        <v>0.10049496507724866</v>
      </c>
      <c r="CV14" s="28">
        <f t="shared" si="30"/>
        <v>0.061366754781044815</v>
      </c>
      <c r="CW14" s="28">
        <f t="shared" si="30"/>
        <v>0.06488616190823185</v>
      </c>
      <c r="CX14" s="28">
        <f t="shared" si="30"/>
        <v>0.054041116597803085</v>
      </c>
      <c r="CY14" s="28">
        <f t="shared" si="30"/>
        <v>0.09511701641097993</v>
      </c>
      <c r="CZ14" s="28">
        <f t="shared" si="30"/>
        <v>0.09901239544492593</v>
      </c>
      <c r="DA14" s="28">
        <f t="shared" si="30"/>
        <v>0.10377987426259118</v>
      </c>
      <c r="DB14" s="28">
        <f t="shared" si="30"/>
        <v>0.11468112155908185</v>
      </c>
      <c r="DC14" s="28">
        <f t="shared" si="30"/>
        <v>0.0802041101093807</v>
      </c>
      <c r="DD14" s="28">
        <f t="shared" si="30"/>
        <v>0.04968061767920681</v>
      </c>
      <c r="DE14" s="28">
        <f t="shared" si="30"/>
        <v>0.08523321886216172</v>
      </c>
      <c r="DF14" s="28">
        <f t="shared" si="30"/>
        <v>0.09150264730734346</v>
      </c>
      <c r="DG14" s="29">
        <f t="shared" si="19"/>
        <v>1</v>
      </c>
      <c r="DH14" s="37" t="s">
        <v>123</v>
      </c>
      <c r="DI14" s="7">
        <v>92</v>
      </c>
      <c r="DJ14" s="52">
        <v>62</v>
      </c>
      <c r="DK14" s="27">
        <v>31</v>
      </c>
      <c r="DL14" s="27">
        <v>77</v>
      </c>
      <c r="DM14" s="63">
        <v>124</v>
      </c>
      <c r="DN14" s="27">
        <v>77</v>
      </c>
      <c r="DO14" s="64">
        <v>62</v>
      </c>
      <c r="DP14" s="65">
        <v>46</v>
      </c>
      <c r="DQ14" s="66">
        <v>139</v>
      </c>
      <c r="DR14" s="65">
        <v>93</v>
      </c>
      <c r="DS14" s="64">
        <v>93</v>
      </c>
      <c r="DT14" s="65">
        <v>62</v>
      </c>
      <c r="DV14" s="7" t="s">
        <v>213</v>
      </c>
      <c r="DW14" s="7">
        <v>183</v>
      </c>
      <c r="DX14" s="7">
        <v>100</v>
      </c>
      <c r="DY14" s="7">
        <v>100</v>
      </c>
      <c r="DZ14" s="7">
        <v>100</v>
      </c>
      <c r="EA14" s="7">
        <v>133</v>
      </c>
      <c r="EB14" s="7">
        <v>150</v>
      </c>
      <c r="EC14" s="7">
        <v>83</v>
      </c>
      <c r="ED14" s="7">
        <v>0</v>
      </c>
      <c r="EE14" s="7">
        <v>100</v>
      </c>
      <c r="EF14" s="7">
        <v>50</v>
      </c>
      <c r="EG14" s="7">
        <v>166</v>
      </c>
      <c r="EH14" s="7">
        <v>117</v>
      </c>
    </row>
    <row r="15" spans="1:138" ht="13.5" customHeight="1">
      <c r="A15" s="14" t="s">
        <v>26</v>
      </c>
      <c r="B15" s="15">
        <v>354400</v>
      </c>
      <c r="C15" s="16">
        <v>155000</v>
      </c>
      <c r="D15" s="16">
        <v>290212</v>
      </c>
      <c r="E15" s="16">
        <v>74800</v>
      </c>
      <c r="F15" s="16">
        <v>64600</v>
      </c>
      <c r="G15" s="16">
        <v>186920</v>
      </c>
      <c r="H15" s="16">
        <v>91400</v>
      </c>
      <c r="I15" s="16">
        <v>51000</v>
      </c>
      <c r="J15" s="16">
        <v>40900</v>
      </c>
      <c r="K15" s="15">
        <v>76500</v>
      </c>
      <c r="L15" s="15">
        <v>76500</v>
      </c>
      <c r="M15" s="15">
        <v>171700</v>
      </c>
      <c r="N15" s="17">
        <f t="shared" si="0"/>
        <v>1633932</v>
      </c>
      <c r="O15" s="18" t="s">
        <v>26</v>
      </c>
      <c r="P15" s="30">
        <v>128375</v>
      </c>
      <c r="Q15" s="30">
        <v>67125</v>
      </c>
      <c r="R15" s="27">
        <v>225898</v>
      </c>
      <c r="S15" s="31">
        <v>39475</v>
      </c>
      <c r="T15" s="31">
        <v>139830</v>
      </c>
      <c r="U15" s="31">
        <v>79000</v>
      </c>
      <c r="V15" s="31">
        <v>67150</v>
      </c>
      <c r="W15" s="31">
        <v>47400</v>
      </c>
      <c r="X15" s="31">
        <v>43450</v>
      </c>
      <c r="Y15" s="27">
        <v>59092</v>
      </c>
      <c r="Z15" s="31">
        <v>327567</v>
      </c>
      <c r="AA15" s="27">
        <v>66455</v>
      </c>
      <c r="AB15" s="22">
        <f t="shared" si="1"/>
        <v>1290817</v>
      </c>
      <c r="AC15" s="18" t="s">
        <v>26</v>
      </c>
      <c r="AD15" s="23">
        <v>43426</v>
      </c>
      <c r="AE15" s="23">
        <v>52200</v>
      </c>
      <c r="AF15" s="23">
        <v>384575</v>
      </c>
      <c r="AG15" s="23">
        <v>366850</v>
      </c>
      <c r="AH15" s="23">
        <v>46763</v>
      </c>
      <c r="AI15" s="23">
        <v>78300</v>
      </c>
      <c r="AJ15" s="23">
        <v>44677</v>
      </c>
      <c r="AK15" s="23">
        <v>1333125</v>
      </c>
      <c r="AL15" s="23">
        <v>277250</v>
      </c>
      <c r="AM15" s="23">
        <v>17600</v>
      </c>
      <c r="AN15" s="23">
        <v>1617000</v>
      </c>
      <c r="AO15" s="23">
        <v>26400</v>
      </c>
      <c r="AP15" s="24">
        <f t="shared" si="2"/>
        <v>4288166</v>
      </c>
      <c r="AQ15" s="23">
        <v>1604166</v>
      </c>
      <c r="AR15" s="23">
        <v>1144000</v>
      </c>
      <c r="AS15" s="23">
        <v>24000</v>
      </c>
      <c r="AT15" s="23">
        <v>19200</v>
      </c>
      <c r="AU15" s="23">
        <v>24000</v>
      </c>
      <c r="AV15" s="23">
        <v>112716</v>
      </c>
      <c r="AW15" s="23">
        <v>78208</v>
      </c>
      <c r="AX15" s="23">
        <v>9600</v>
      </c>
      <c r="AY15" s="23">
        <v>30355</v>
      </c>
      <c r="AZ15" s="23">
        <v>62400</v>
      </c>
      <c r="BA15" s="23">
        <v>19200</v>
      </c>
      <c r="BB15" s="23">
        <v>34000</v>
      </c>
      <c r="BC15" s="24">
        <f t="shared" si="3"/>
        <v>3161845</v>
      </c>
      <c r="BD15" s="37" t="s">
        <v>26</v>
      </c>
      <c r="BE15" s="7">
        <v>21</v>
      </c>
      <c r="BF15" s="52">
        <v>13</v>
      </c>
      <c r="BG15" s="27">
        <v>1246</v>
      </c>
      <c r="BH15" s="27">
        <v>5</v>
      </c>
      <c r="BI15" s="63">
        <v>26</v>
      </c>
      <c r="BJ15" s="27">
        <v>41</v>
      </c>
      <c r="BK15" s="64">
        <v>5</v>
      </c>
      <c r="BL15" s="65">
        <v>0</v>
      </c>
      <c r="BM15" s="66">
        <v>25</v>
      </c>
      <c r="BN15" s="65">
        <v>26</v>
      </c>
      <c r="BO15" s="64">
        <v>31</v>
      </c>
      <c r="BP15" s="65">
        <v>21</v>
      </c>
      <c r="BQ15" s="24">
        <f t="shared" si="4"/>
        <v>1460</v>
      </c>
      <c r="BR15" s="7" t="s">
        <v>216</v>
      </c>
      <c r="BS15" s="7">
        <v>17</v>
      </c>
      <c r="BT15" s="7">
        <v>0</v>
      </c>
      <c r="BU15" s="52">
        <v>1328</v>
      </c>
      <c r="BV15" s="7">
        <v>33</v>
      </c>
      <c r="BW15" s="7">
        <v>39</v>
      </c>
      <c r="BX15" s="7">
        <v>27</v>
      </c>
      <c r="BY15" s="7">
        <v>17</v>
      </c>
      <c r="BZ15" s="7">
        <v>243</v>
      </c>
      <c r="CA15" s="7">
        <v>0</v>
      </c>
      <c r="CB15" s="7">
        <v>0</v>
      </c>
      <c r="CC15" s="7">
        <v>49</v>
      </c>
      <c r="CD15" s="7">
        <v>17</v>
      </c>
      <c r="CE15" s="24"/>
      <c r="CF15" s="26" t="s">
        <v>26</v>
      </c>
      <c r="CG15" s="27">
        <f t="shared" si="5"/>
        <v>532591.75</v>
      </c>
      <c r="CH15" s="27">
        <f t="shared" si="6"/>
        <v>354581.25</v>
      </c>
      <c r="CI15" s="27">
        <f t="shared" si="7"/>
        <v>231171.25</v>
      </c>
      <c r="CJ15" s="27">
        <f t="shared" si="8"/>
        <v>125081.25</v>
      </c>
      <c r="CK15" s="27">
        <f t="shared" si="9"/>
        <v>68798.25</v>
      </c>
      <c r="CL15" s="27">
        <f t="shared" si="10"/>
        <v>114234</v>
      </c>
      <c r="CM15" s="27">
        <f t="shared" si="11"/>
        <v>70358.75</v>
      </c>
      <c r="CN15" s="27">
        <f t="shared" si="12"/>
        <v>360281.25</v>
      </c>
      <c r="CO15" s="27">
        <f t="shared" si="13"/>
        <v>97988.75</v>
      </c>
      <c r="CP15" s="27">
        <f t="shared" si="14"/>
        <v>53898</v>
      </c>
      <c r="CQ15" s="27">
        <f t="shared" si="15"/>
        <v>510066.75</v>
      </c>
      <c r="CR15" s="27">
        <f t="shared" si="16"/>
        <v>74638.75</v>
      </c>
      <c r="CS15" s="27">
        <f t="shared" si="17"/>
        <v>2593690</v>
      </c>
      <c r="CT15" s="18" t="s">
        <v>26</v>
      </c>
      <c r="CU15" s="28">
        <f aca="true" t="shared" si="31" ref="CU15:DF15">+CG15/$CS$15</f>
        <v>0.20534132837771668</v>
      </c>
      <c r="CV15" s="28">
        <f t="shared" si="31"/>
        <v>0.13670918652576058</v>
      </c>
      <c r="CW15" s="28">
        <f t="shared" si="31"/>
        <v>0.08912832682394581</v>
      </c>
      <c r="CX15" s="28">
        <f t="shared" si="31"/>
        <v>0.048225211956710326</v>
      </c>
      <c r="CY15" s="28">
        <f t="shared" si="31"/>
        <v>0.02652524010193971</v>
      </c>
      <c r="CZ15" s="28">
        <f t="shared" si="31"/>
        <v>0.04404304292340257</v>
      </c>
      <c r="DA15" s="28">
        <f t="shared" si="31"/>
        <v>0.027126892573900503</v>
      </c>
      <c r="DB15" s="28">
        <f t="shared" si="31"/>
        <v>0.1389068277242076</v>
      </c>
      <c r="DC15" s="28">
        <f t="shared" si="31"/>
        <v>0.03777966912005675</v>
      </c>
      <c r="DD15" s="28">
        <f t="shared" si="31"/>
        <v>0.0207804325112099</v>
      </c>
      <c r="DE15" s="28">
        <f t="shared" si="31"/>
        <v>0.19665679013297657</v>
      </c>
      <c r="DF15" s="28">
        <f t="shared" si="31"/>
        <v>0.02877705122817299</v>
      </c>
      <c r="DG15" s="29">
        <f t="shared" si="19"/>
        <v>0.9999999999999999</v>
      </c>
      <c r="DH15" s="37" t="s">
        <v>26</v>
      </c>
      <c r="DI15" s="7">
        <v>21</v>
      </c>
      <c r="DJ15" s="52">
        <v>13</v>
      </c>
      <c r="DK15" s="27">
        <v>1246</v>
      </c>
      <c r="DL15" s="27">
        <v>5</v>
      </c>
      <c r="DM15" s="63">
        <v>26</v>
      </c>
      <c r="DN15" s="27">
        <v>41</v>
      </c>
      <c r="DO15" s="64">
        <v>5</v>
      </c>
      <c r="DP15" s="65">
        <v>0</v>
      </c>
      <c r="DQ15" s="66">
        <v>25</v>
      </c>
      <c r="DR15" s="65">
        <v>26</v>
      </c>
      <c r="DS15" s="64">
        <v>31</v>
      </c>
      <c r="DT15" s="65">
        <v>21</v>
      </c>
      <c r="DV15" s="7" t="s">
        <v>216</v>
      </c>
      <c r="DW15" s="7">
        <v>17</v>
      </c>
      <c r="DX15" s="7">
        <v>0</v>
      </c>
      <c r="DY15" s="52">
        <v>1328</v>
      </c>
      <c r="DZ15" s="7">
        <v>33</v>
      </c>
      <c r="EA15" s="7">
        <v>39</v>
      </c>
      <c r="EB15" s="7">
        <v>27</v>
      </c>
      <c r="EC15" s="7">
        <v>17</v>
      </c>
      <c r="ED15" s="7">
        <v>243</v>
      </c>
      <c r="EE15" s="7">
        <v>0</v>
      </c>
      <c r="EF15" s="7">
        <v>0</v>
      </c>
      <c r="EG15" s="7">
        <v>49</v>
      </c>
      <c r="EH15" s="7">
        <v>17</v>
      </c>
    </row>
    <row r="16" spans="1:138" ht="13.5" customHeight="1">
      <c r="A16" s="14" t="s">
        <v>27</v>
      </c>
      <c r="B16" s="15">
        <v>794188</v>
      </c>
      <c r="C16" s="16">
        <v>849775</v>
      </c>
      <c r="D16" s="16">
        <v>1495056</v>
      </c>
      <c r="E16" s="16">
        <v>839355</v>
      </c>
      <c r="F16" s="16">
        <v>1188199</v>
      </c>
      <c r="G16" s="16">
        <v>1178402</v>
      </c>
      <c r="H16" s="16">
        <v>1306831</v>
      </c>
      <c r="I16" s="16">
        <v>1691502</v>
      </c>
      <c r="J16" s="16">
        <v>720341</v>
      </c>
      <c r="K16" s="15">
        <v>824504</v>
      </c>
      <c r="L16" s="15">
        <v>953012</v>
      </c>
      <c r="M16" s="15">
        <v>1650156</v>
      </c>
      <c r="N16" s="17">
        <f t="shared" si="0"/>
        <v>13491321</v>
      </c>
      <c r="O16" s="18" t="s">
        <v>27</v>
      </c>
      <c r="P16" s="30">
        <v>807944</v>
      </c>
      <c r="Q16" s="30">
        <v>1528182</v>
      </c>
      <c r="R16" s="27">
        <v>2202341</v>
      </c>
      <c r="S16" s="31">
        <v>933425</v>
      </c>
      <c r="T16" s="31">
        <v>1471028</v>
      </c>
      <c r="U16" s="31">
        <v>1379717</v>
      </c>
      <c r="V16" s="31">
        <v>1335562</v>
      </c>
      <c r="W16" s="31">
        <v>1336103</v>
      </c>
      <c r="X16" s="31">
        <v>909268</v>
      </c>
      <c r="Y16" s="27">
        <v>1906054</v>
      </c>
      <c r="Z16" s="31">
        <v>2754125</v>
      </c>
      <c r="AA16" s="27">
        <v>679365</v>
      </c>
      <c r="AB16" s="22">
        <f t="shared" si="1"/>
        <v>17243114</v>
      </c>
      <c r="AC16" s="18" t="s">
        <v>27</v>
      </c>
      <c r="AD16" s="23">
        <v>1264259</v>
      </c>
      <c r="AE16" s="23">
        <v>741113</v>
      </c>
      <c r="AF16" s="23">
        <v>2012237</v>
      </c>
      <c r="AG16" s="23">
        <v>4492809</v>
      </c>
      <c r="AH16" s="23">
        <v>1497862</v>
      </c>
      <c r="AI16" s="23">
        <v>1363398</v>
      </c>
      <c r="AJ16" s="23">
        <v>1114359</v>
      </c>
      <c r="AK16" s="23">
        <v>630441</v>
      </c>
      <c r="AL16" s="23">
        <v>699396</v>
      </c>
      <c r="AM16" s="23">
        <v>768223</v>
      </c>
      <c r="AN16" s="23">
        <v>554203</v>
      </c>
      <c r="AO16" s="23">
        <v>744649</v>
      </c>
      <c r="AP16" s="24">
        <f t="shared" si="2"/>
        <v>15882949</v>
      </c>
      <c r="AQ16" s="23">
        <v>560111</v>
      </c>
      <c r="AR16" s="23">
        <v>720892</v>
      </c>
      <c r="AS16" s="23">
        <v>811836</v>
      </c>
      <c r="AT16" s="23">
        <v>932098</v>
      </c>
      <c r="AU16" s="23">
        <v>876286</v>
      </c>
      <c r="AV16" s="23">
        <v>929942</v>
      </c>
      <c r="AW16" s="23">
        <v>543305</v>
      </c>
      <c r="AX16" s="23">
        <v>364413</v>
      </c>
      <c r="AY16" s="23">
        <v>529859</v>
      </c>
      <c r="AZ16" s="23">
        <v>580461</v>
      </c>
      <c r="BA16" s="23">
        <v>499986</v>
      </c>
      <c r="BB16" s="23">
        <v>610000</v>
      </c>
      <c r="BC16" s="24">
        <f t="shared" si="3"/>
        <v>7959189</v>
      </c>
      <c r="BD16" s="37" t="s">
        <v>129</v>
      </c>
      <c r="BE16" s="7">
        <v>636</v>
      </c>
      <c r="BF16" s="52">
        <v>572</v>
      </c>
      <c r="BG16" s="27">
        <v>659</v>
      </c>
      <c r="BH16" s="27">
        <v>462</v>
      </c>
      <c r="BI16" s="63">
        <v>623</v>
      </c>
      <c r="BJ16" s="27">
        <v>749</v>
      </c>
      <c r="BK16" s="64">
        <v>836</v>
      </c>
      <c r="BL16" s="65">
        <v>387</v>
      </c>
      <c r="BM16" s="66">
        <v>576</v>
      </c>
      <c r="BN16" s="65">
        <v>628</v>
      </c>
      <c r="BO16" s="64">
        <v>513</v>
      </c>
      <c r="BP16" s="65">
        <v>909</v>
      </c>
      <c r="BQ16" s="24">
        <f t="shared" si="4"/>
        <v>7550</v>
      </c>
      <c r="BR16" s="7" t="s">
        <v>129</v>
      </c>
      <c r="BS16" s="52">
        <v>1188</v>
      </c>
      <c r="BT16" s="52">
        <v>1503</v>
      </c>
      <c r="BU16" s="52">
        <v>1243</v>
      </c>
      <c r="BV16" s="7">
        <v>525</v>
      </c>
      <c r="BW16" s="52">
        <v>1169</v>
      </c>
      <c r="BX16" s="7">
        <v>860</v>
      </c>
      <c r="BY16" s="7">
        <v>771</v>
      </c>
      <c r="BZ16" s="52">
        <v>1141</v>
      </c>
      <c r="CA16" s="7">
        <v>870</v>
      </c>
      <c r="CB16" s="7">
        <v>326</v>
      </c>
      <c r="CC16" s="7">
        <v>2237</v>
      </c>
      <c r="CD16" s="60">
        <v>2545</v>
      </c>
      <c r="CE16" s="24"/>
      <c r="CF16" s="26" t="s">
        <v>27</v>
      </c>
      <c r="CG16" s="27">
        <f t="shared" si="5"/>
        <v>856625.5</v>
      </c>
      <c r="CH16" s="27">
        <f t="shared" si="6"/>
        <v>959990.5</v>
      </c>
      <c r="CI16" s="27">
        <f t="shared" si="7"/>
        <v>1630367.5</v>
      </c>
      <c r="CJ16" s="27">
        <f t="shared" si="8"/>
        <v>1799421.75</v>
      </c>
      <c r="CK16" s="27">
        <f t="shared" si="9"/>
        <v>1258343.75</v>
      </c>
      <c r="CL16" s="27">
        <f t="shared" si="10"/>
        <v>1212864.75</v>
      </c>
      <c r="CM16" s="27">
        <f t="shared" si="11"/>
        <v>1075014.25</v>
      </c>
      <c r="CN16" s="27">
        <f t="shared" si="12"/>
        <v>1005614.75</v>
      </c>
      <c r="CO16" s="27">
        <f t="shared" si="13"/>
        <v>714716</v>
      </c>
      <c r="CP16" s="27">
        <f t="shared" si="14"/>
        <v>1019810.5</v>
      </c>
      <c r="CQ16" s="27">
        <f t="shared" si="15"/>
        <v>1190331.5</v>
      </c>
      <c r="CR16" s="27">
        <f t="shared" si="16"/>
        <v>921042.5</v>
      </c>
      <c r="CS16" s="27">
        <f t="shared" si="17"/>
        <v>13644143.25</v>
      </c>
      <c r="CT16" s="18" t="s">
        <v>27</v>
      </c>
      <c r="CU16" s="28">
        <f aca="true" t="shared" si="32" ref="CU16:DF16">+CG16/$CS$16</f>
        <v>0.06278338509821788</v>
      </c>
      <c r="CV16" s="28">
        <f t="shared" si="32"/>
        <v>0.07035916307900095</v>
      </c>
      <c r="CW16" s="28">
        <f t="shared" si="32"/>
        <v>0.11949211248569967</v>
      </c>
      <c r="CX16" s="28">
        <f t="shared" si="32"/>
        <v>0.1318823554568001</v>
      </c>
      <c r="CY16" s="28">
        <f t="shared" si="32"/>
        <v>0.09222592631457457</v>
      </c>
      <c r="CZ16" s="28">
        <f t="shared" si="32"/>
        <v>0.08889270126946226</v>
      </c>
      <c r="DA16" s="28">
        <f t="shared" si="32"/>
        <v>0.07878942857038679</v>
      </c>
      <c r="DB16" s="28">
        <f t="shared" si="32"/>
        <v>0.07370303371741571</v>
      </c>
      <c r="DC16" s="28">
        <f t="shared" si="32"/>
        <v>0.05238262211883476</v>
      </c>
      <c r="DD16" s="28">
        <f t="shared" si="32"/>
        <v>0.07474346181465076</v>
      </c>
      <c r="DE16" s="28">
        <f t="shared" si="32"/>
        <v>0.08724120512293801</v>
      </c>
      <c r="DF16" s="28">
        <f t="shared" si="32"/>
        <v>0.06750460495201852</v>
      </c>
      <c r="DG16" s="29">
        <f t="shared" si="19"/>
        <v>0.9999999999999999</v>
      </c>
      <c r="DH16" s="37" t="s">
        <v>129</v>
      </c>
      <c r="DI16" s="7">
        <v>636</v>
      </c>
      <c r="DJ16" s="52">
        <v>572</v>
      </c>
      <c r="DK16" s="27">
        <v>659</v>
      </c>
      <c r="DL16" s="27">
        <v>462</v>
      </c>
      <c r="DM16" s="63">
        <v>623</v>
      </c>
      <c r="DN16" s="27">
        <v>749</v>
      </c>
      <c r="DO16" s="64">
        <v>836</v>
      </c>
      <c r="DP16" s="65">
        <v>387</v>
      </c>
      <c r="DQ16" s="66">
        <v>576</v>
      </c>
      <c r="DR16" s="65">
        <v>628</v>
      </c>
      <c r="DS16" s="64">
        <v>513</v>
      </c>
      <c r="DT16" s="65">
        <v>909</v>
      </c>
      <c r="DV16" s="7" t="s">
        <v>129</v>
      </c>
      <c r="DW16" s="52">
        <v>1188</v>
      </c>
      <c r="DX16" s="52">
        <v>1503</v>
      </c>
      <c r="DY16" s="52">
        <v>1243</v>
      </c>
      <c r="DZ16" s="7">
        <v>525</v>
      </c>
      <c r="EA16" s="52">
        <v>1169</v>
      </c>
      <c r="EB16" s="7">
        <v>860</v>
      </c>
      <c r="EC16" s="7">
        <v>771</v>
      </c>
      <c r="ED16" s="52">
        <v>1141</v>
      </c>
      <c r="EE16" s="7">
        <v>870</v>
      </c>
      <c r="EF16" s="7">
        <v>326</v>
      </c>
      <c r="EG16" s="7">
        <v>2237</v>
      </c>
      <c r="EH16" s="60">
        <v>2545</v>
      </c>
    </row>
    <row r="17" spans="1:138" ht="13.5" customHeight="1">
      <c r="A17" s="14" t="s">
        <v>28</v>
      </c>
      <c r="B17" s="15">
        <v>27500</v>
      </c>
      <c r="C17" s="16">
        <v>0</v>
      </c>
      <c r="D17" s="16">
        <v>152448</v>
      </c>
      <c r="E17" s="16">
        <v>71603</v>
      </c>
      <c r="F17" s="16">
        <v>44199</v>
      </c>
      <c r="G17" s="16">
        <v>0</v>
      </c>
      <c r="H17" s="16">
        <v>63970</v>
      </c>
      <c r="I17" s="16">
        <v>97517</v>
      </c>
      <c r="J17" s="16">
        <v>399682</v>
      </c>
      <c r="K17" s="15">
        <v>354487</v>
      </c>
      <c r="L17" s="15">
        <v>276068</v>
      </c>
      <c r="M17" s="15">
        <v>346569</v>
      </c>
      <c r="N17" s="17">
        <f t="shared" si="0"/>
        <v>1834043</v>
      </c>
      <c r="O17" s="18" t="s">
        <v>28</v>
      </c>
      <c r="P17" s="30">
        <v>47246</v>
      </c>
      <c r="Q17" s="30">
        <v>167478.4</v>
      </c>
      <c r="R17" s="27">
        <v>236414</v>
      </c>
      <c r="S17" s="31">
        <v>161251</v>
      </c>
      <c r="T17" s="31">
        <v>43351</v>
      </c>
      <c r="U17" s="31">
        <v>472876</v>
      </c>
      <c r="V17" s="31">
        <v>149758</v>
      </c>
      <c r="W17" s="31">
        <v>0</v>
      </c>
      <c r="X17" s="31">
        <v>0</v>
      </c>
      <c r="Y17" s="27">
        <v>17882</v>
      </c>
      <c r="Z17" s="31">
        <v>30764</v>
      </c>
      <c r="AA17" s="27">
        <v>141610</v>
      </c>
      <c r="AB17" s="22">
        <f t="shared" si="1"/>
        <v>1468630.4</v>
      </c>
      <c r="AC17" s="18" t="s">
        <v>28</v>
      </c>
      <c r="AD17" s="23">
        <v>8591</v>
      </c>
      <c r="AE17" s="23"/>
      <c r="AF17" s="23"/>
      <c r="AG17" s="23">
        <v>80000</v>
      </c>
      <c r="AH17" s="23">
        <v>85914</v>
      </c>
      <c r="AI17" s="23"/>
      <c r="AJ17" s="23"/>
      <c r="AK17" s="23">
        <v>60403</v>
      </c>
      <c r="AL17" s="23"/>
      <c r="AM17" s="23"/>
      <c r="AN17" s="23"/>
      <c r="AO17" s="23"/>
      <c r="AP17" s="24">
        <f t="shared" si="2"/>
        <v>234908</v>
      </c>
      <c r="AQ17" s="23">
        <v>9666</v>
      </c>
      <c r="AR17" s="23">
        <v>0</v>
      </c>
      <c r="AS17" s="23">
        <v>0</v>
      </c>
      <c r="AT17" s="23">
        <v>47666</v>
      </c>
      <c r="AU17" s="23">
        <v>0</v>
      </c>
      <c r="AV17" s="23">
        <v>29067</v>
      </c>
      <c r="AW17" s="23">
        <v>162062</v>
      </c>
      <c r="AX17" s="23">
        <v>19067</v>
      </c>
      <c r="AY17" s="23">
        <v>0</v>
      </c>
      <c r="AZ17" s="23">
        <v>0</v>
      </c>
      <c r="BA17" s="23">
        <v>0</v>
      </c>
      <c r="BB17" s="23">
        <v>67000</v>
      </c>
      <c r="BC17" s="24">
        <f t="shared" si="3"/>
        <v>334528</v>
      </c>
      <c r="BD17" s="37" t="s">
        <v>28</v>
      </c>
      <c r="BE17" s="7">
        <v>172</v>
      </c>
      <c r="BF17" s="52">
        <v>47</v>
      </c>
      <c r="BG17" s="27">
        <v>286</v>
      </c>
      <c r="BH17" s="27">
        <v>0</v>
      </c>
      <c r="BI17" s="63">
        <v>0</v>
      </c>
      <c r="BJ17" s="27">
        <v>0</v>
      </c>
      <c r="BK17" s="64">
        <v>0</v>
      </c>
      <c r="BL17" s="65">
        <v>0</v>
      </c>
      <c r="BM17" s="66">
        <v>0</v>
      </c>
      <c r="BN17" s="65">
        <v>0</v>
      </c>
      <c r="BO17" s="64">
        <v>0</v>
      </c>
      <c r="BP17" s="65">
        <v>31</v>
      </c>
      <c r="BQ17" s="24">
        <f t="shared" si="4"/>
        <v>536</v>
      </c>
      <c r="BR17" s="7" t="s">
        <v>217</v>
      </c>
      <c r="BS17" s="7">
        <v>144</v>
      </c>
      <c r="BT17" s="7">
        <v>100</v>
      </c>
      <c r="BU17" s="7">
        <v>140</v>
      </c>
      <c r="BV17" s="52">
        <v>1627</v>
      </c>
      <c r="BW17" s="7">
        <v>0</v>
      </c>
      <c r="BX17" s="7">
        <v>0</v>
      </c>
      <c r="BY17" s="7">
        <v>0</v>
      </c>
      <c r="BZ17" s="7">
        <v>0</v>
      </c>
      <c r="CA17" s="7">
        <v>1</v>
      </c>
      <c r="CB17" s="7">
        <v>178</v>
      </c>
      <c r="CC17" s="7">
        <v>0</v>
      </c>
      <c r="CD17" s="7">
        <v>157</v>
      </c>
      <c r="CE17" s="24"/>
      <c r="CF17" s="26" t="s">
        <v>28</v>
      </c>
      <c r="CG17" s="27">
        <f t="shared" si="5"/>
        <v>23250.75</v>
      </c>
      <c r="CH17" s="27">
        <f t="shared" si="6"/>
        <v>41869.6</v>
      </c>
      <c r="CI17" s="27">
        <f t="shared" si="7"/>
        <v>97215.5</v>
      </c>
      <c r="CJ17" s="27">
        <f t="shared" si="8"/>
        <v>90130</v>
      </c>
      <c r="CK17" s="27">
        <f t="shared" si="9"/>
        <v>43366</v>
      </c>
      <c r="CL17" s="27">
        <f t="shared" si="10"/>
        <v>125485.75</v>
      </c>
      <c r="CM17" s="27">
        <f t="shared" si="11"/>
        <v>93947.5</v>
      </c>
      <c r="CN17" s="27">
        <f t="shared" si="12"/>
        <v>44246.75</v>
      </c>
      <c r="CO17" s="27">
        <f t="shared" si="13"/>
        <v>99920.5</v>
      </c>
      <c r="CP17" s="27">
        <f t="shared" si="14"/>
        <v>93092.25</v>
      </c>
      <c r="CQ17" s="27">
        <f t="shared" si="15"/>
        <v>76708</v>
      </c>
      <c r="CR17" s="27">
        <f t="shared" si="16"/>
        <v>138794.75</v>
      </c>
      <c r="CS17" s="27">
        <f t="shared" si="17"/>
        <v>968027.35</v>
      </c>
      <c r="CT17" s="18" t="s">
        <v>28</v>
      </c>
      <c r="CU17" s="28">
        <f aca="true" t="shared" si="33" ref="CU17:DF17">+CG17/$CS$17</f>
        <v>0.024018691207433343</v>
      </c>
      <c r="CV17" s="28">
        <f t="shared" si="33"/>
        <v>0.0432524969464964</v>
      </c>
      <c r="CW17" s="28">
        <f t="shared" si="33"/>
        <v>0.10042639807645931</v>
      </c>
      <c r="CX17" s="28">
        <f t="shared" si="33"/>
        <v>0.0931068734783165</v>
      </c>
      <c r="CY17" s="28">
        <f t="shared" si="33"/>
        <v>0.04479832103917312</v>
      </c>
      <c r="CZ17" s="28">
        <f t="shared" si="33"/>
        <v>0.12963037666239494</v>
      </c>
      <c r="DA17" s="28">
        <f t="shared" si="33"/>
        <v>0.09705046040279751</v>
      </c>
      <c r="DB17" s="28">
        <f t="shared" si="33"/>
        <v>0.04570816103491291</v>
      </c>
      <c r="DC17" s="28">
        <f t="shared" si="33"/>
        <v>0.1032207406123391</v>
      </c>
      <c r="DD17" s="28">
        <f t="shared" si="33"/>
        <v>0.09616696263798745</v>
      </c>
      <c r="DE17" s="28">
        <f t="shared" si="33"/>
        <v>0.07924156275130037</v>
      </c>
      <c r="DF17" s="28">
        <f t="shared" si="33"/>
        <v>0.1433789551503891</v>
      </c>
      <c r="DG17" s="29">
        <f t="shared" si="19"/>
        <v>1</v>
      </c>
      <c r="DH17" s="37" t="s">
        <v>28</v>
      </c>
      <c r="DI17" s="7">
        <v>172</v>
      </c>
      <c r="DJ17" s="52">
        <v>47</v>
      </c>
      <c r="DK17" s="27">
        <v>286</v>
      </c>
      <c r="DL17" s="27">
        <v>0</v>
      </c>
      <c r="DM17" s="63">
        <v>0</v>
      </c>
      <c r="DN17" s="27">
        <v>0</v>
      </c>
      <c r="DO17" s="64">
        <v>0</v>
      </c>
      <c r="DP17" s="65">
        <v>0</v>
      </c>
      <c r="DQ17" s="66">
        <v>0</v>
      </c>
      <c r="DR17" s="65">
        <v>0</v>
      </c>
      <c r="DS17" s="64">
        <v>0</v>
      </c>
      <c r="DT17" s="65">
        <v>31</v>
      </c>
      <c r="DV17" s="7" t="s">
        <v>217</v>
      </c>
      <c r="DW17" s="7">
        <v>144</v>
      </c>
      <c r="DX17" s="7">
        <v>100</v>
      </c>
      <c r="DY17" s="7">
        <v>140</v>
      </c>
      <c r="DZ17" s="52">
        <v>1627</v>
      </c>
      <c r="EA17" s="7">
        <v>0</v>
      </c>
      <c r="EB17" s="7">
        <v>0</v>
      </c>
      <c r="EC17" s="7">
        <v>0</v>
      </c>
      <c r="ED17" s="7">
        <v>0</v>
      </c>
      <c r="EE17" s="7">
        <v>1</v>
      </c>
      <c r="EF17" s="7">
        <v>178</v>
      </c>
      <c r="EG17" s="7">
        <v>0</v>
      </c>
      <c r="EH17" s="7">
        <v>157</v>
      </c>
    </row>
    <row r="18" spans="1:124" ht="13.5" customHeight="1">
      <c r="A18" s="14" t="s">
        <v>29</v>
      </c>
      <c r="B18" s="15">
        <v>1054145</v>
      </c>
      <c r="C18" s="16">
        <v>791935</v>
      </c>
      <c r="D18" s="16">
        <v>1396137</v>
      </c>
      <c r="E18" s="16">
        <v>607242</v>
      </c>
      <c r="F18" s="16">
        <v>146814</v>
      </c>
      <c r="G18" s="16">
        <v>517054</v>
      </c>
      <c r="H18" s="16">
        <v>245975</v>
      </c>
      <c r="I18" s="16">
        <v>2403231</v>
      </c>
      <c r="J18" s="16">
        <v>132469</v>
      </c>
      <c r="K18" s="15">
        <v>780278</v>
      </c>
      <c r="L18" s="15">
        <v>365562</v>
      </c>
      <c r="M18" s="15">
        <v>217690</v>
      </c>
      <c r="N18" s="17">
        <f t="shared" si="0"/>
        <v>8658532</v>
      </c>
      <c r="O18" s="18" t="s">
        <v>29</v>
      </c>
      <c r="P18" s="30">
        <v>0</v>
      </c>
      <c r="Q18" s="30">
        <v>0</v>
      </c>
      <c r="R18" s="27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27">
        <v>0</v>
      </c>
      <c r="Z18" s="31">
        <v>0</v>
      </c>
      <c r="AA18" s="27">
        <v>0</v>
      </c>
      <c r="AB18" s="22">
        <f t="shared" si="1"/>
        <v>0</v>
      </c>
      <c r="AC18" s="18" t="s">
        <v>29</v>
      </c>
      <c r="AD18" s="23"/>
      <c r="AE18" s="23"/>
      <c r="AF18" s="23">
        <v>562453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4">
        <f t="shared" si="2"/>
        <v>562453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4">
        <f t="shared" si="3"/>
        <v>0</v>
      </c>
      <c r="BD18" s="37" t="s">
        <v>128</v>
      </c>
      <c r="BE18" s="7">
        <v>0</v>
      </c>
      <c r="BF18" s="52">
        <v>0</v>
      </c>
      <c r="BG18" s="27">
        <v>0</v>
      </c>
      <c r="BH18" s="27">
        <v>0</v>
      </c>
      <c r="BI18" s="63">
        <v>0</v>
      </c>
      <c r="BJ18" s="27">
        <v>0</v>
      </c>
      <c r="BK18" s="64">
        <v>0</v>
      </c>
      <c r="BL18" s="65">
        <v>0</v>
      </c>
      <c r="BM18" s="66">
        <v>0</v>
      </c>
      <c r="BN18" s="65">
        <v>0</v>
      </c>
      <c r="BO18" s="64">
        <v>0</v>
      </c>
      <c r="BP18" s="65">
        <v>0</v>
      </c>
      <c r="BQ18" s="24">
        <f t="shared" si="4"/>
        <v>0</v>
      </c>
      <c r="CE18" s="24"/>
      <c r="CF18" s="26" t="s">
        <v>29</v>
      </c>
      <c r="CG18" s="27">
        <f t="shared" si="5"/>
        <v>263536.25</v>
      </c>
      <c r="CH18" s="27">
        <f t="shared" si="6"/>
        <v>197983.75</v>
      </c>
      <c r="CI18" s="27">
        <f t="shared" si="7"/>
        <v>489647.5</v>
      </c>
      <c r="CJ18" s="27">
        <f t="shared" si="8"/>
        <v>151810.5</v>
      </c>
      <c r="CK18" s="27">
        <f t="shared" si="9"/>
        <v>36703.5</v>
      </c>
      <c r="CL18" s="27">
        <f t="shared" si="10"/>
        <v>129263.5</v>
      </c>
      <c r="CM18" s="27">
        <f t="shared" si="11"/>
        <v>61493.75</v>
      </c>
      <c r="CN18" s="27">
        <f t="shared" si="12"/>
        <v>600807.75</v>
      </c>
      <c r="CO18" s="27">
        <f t="shared" si="13"/>
        <v>33117.25</v>
      </c>
      <c r="CP18" s="27">
        <f t="shared" si="14"/>
        <v>195069.5</v>
      </c>
      <c r="CQ18" s="27">
        <f t="shared" si="15"/>
        <v>91390.5</v>
      </c>
      <c r="CR18" s="27">
        <f t="shared" si="16"/>
        <v>54422.5</v>
      </c>
      <c r="CS18" s="27">
        <f t="shared" si="17"/>
        <v>2305246.25</v>
      </c>
      <c r="CT18" s="18" t="s">
        <v>29</v>
      </c>
      <c r="CU18" s="28">
        <f aca="true" t="shared" si="34" ref="CU18:DF18">+CG18/$CS$18</f>
        <v>0.11432021633263692</v>
      </c>
      <c r="CV18" s="28">
        <f t="shared" si="34"/>
        <v>0.08588399178612698</v>
      </c>
      <c r="CW18" s="28">
        <f t="shared" si="34"/>
        <v>0.212405724551119</v>
      </c>
      <c r="CX18" s="28">
        <f t="shared" si="34"/>
        <v>0.06585435287011095</v>
      </c>
      <c r="CY18" s="28">
        <f t="shared" si="34"/>
        <v>0.015921726366543272</v>
      </c>
      <c r="CZ18" s="28">
        <f t="shared" si="34"/>
        <v>0.05607361903310763</v>
      </c>
      <c r="DA18" s="28">
        <f t="shared" si="34"/>
        <v>0.02667556665583991</v>
      </c>
      <c r="DB18" s="28">
        <f t="shared" si="34"/>
        <v>0.26062627799524674</v>
      </c>
      <c r="DC18" s="28">
        <f t="shared" si="34"/>
        <v>0.014366035732625093</v>
      </c>
      <c r="DD18" s="28">
        <f t="shared" si="34"/>
        <v>0.0846198101395892</v>
      </c>
      <c r="DE18" s="28">
        <f t="shared" si="34"/>
        <v>0.03964457159403253</v>
      </c>
      <c r="DF18" s="28">
        <f t="shared" si="34"/>
        <v>0.023608106943021814</v>
      </c>
      <c r="DG18" s="29">
        <f t="shared" si="19"/>
        <v>1</v>
      </c>
      <c r="DH18" s="37" t="s">
        <v>128</v>
      </c>
      <c r="DI18" s="7">
        <v>0</v>
      </c>
      <c r="DJ18" s="52">
        <v>0</v>
      </c>
      <c r="DK18" s="27">
        <v>0</v>
      </c>
      <c r="DL18" s="27">
        <v>0</v>
      </c>
      <c r="DM18" s="63">
        <v>0</v>
      </c>
      <c r="DN18" s="27">
        <v>0</v>
      </c>
      <c r="DO18" s="64">
        <v>0</v>
      </c>
      <c r="DP18" s="65">
        <v>0</v>
      </c>
      <c r="DQ18" s="66">
        <v>0</v>
      </c>
      <c r="DR18" s="65">
        <v>0</v>
      </c>
      <c r="DS18" s="64">
        <v>0</v>
      </c>
      <c r="DT18" s="65">
        <v>0</v>
      </c>
    </row>
    <row r="19" spans="1:138" ht="13.5" customHeight="1">
      <c r="A19" s="14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">
        <f t="shared" si="0"/>
        <v>0</v>
      </c>
      <c r="O19" s="18" t="s">
        <v>30</v>
      </c>
      <c r="P19" s="30">
        <v>10460</v>
      </c>
      <c r="Q19" s="30">
        <v>314928</v>
      </c>
      <c r="R19" s="27">
        <v>103947</v>
      </c>
      <c r="S19" s="31">
        <v>434632</v>
      </c>
      <c r="T19" s="31">
        <v>135462</v>
      </c>
      <c r="U19" s="31">
        <v>452972</v>
      </c>
      <c r="V19" s="31">
        <v>147251</v>
      </c>
      <c r="W19" s="31">
        <v>136727</v>
      </c>
      <c r="X19" s="31">
        <v>935420</v>
      </c>
      <c r="Y19" s="27">
        <v>199959</v>
      </c>
      <c r="Z19" s="31">
        <v>343080</v>
      </c>
      <c r="AA19" s="27">
        <v>102038</v>
      </c>
      <c r="AB19" s="22">
        <f t="shared" si="1"/>
        <v>3316876</v>
      </c>
      <c r="AC19" s="18" t="s">
        <v>30</v>
      </c>
      <c r="AD19" s="23">
        <v>285124</v>
      </c>
      <c r="AE19" s="23">
        <v>177901</v>
      </c>
      <c r="AF19" s="23">
        <v>169370</v>
      </c>
      <c r="AG19" s="23"/>
      <c r="AH19" s="23">
        <v>132778</v>
      </c>
      <c r="AI19" s="23">
        <v>73325</v>
      </c>
      <c r="AJ19" s="23"/>
      <c r="AK19" s="23">
        <v>2795272</v>
      </c>
      <c r="AL19" s="23">
        <v>68775</v>
      </c>
      <c r="AM19" s="23">
        <v>388022</v>
      </c>
      <c r="AN19" s="23">
        <v>277391</v>
      </c>
      <c r="AO19" s="23">
        <v>402744</v>
      </c>
      <c r="AP19" s="24">
        <f t="shared" si="2"/>
        <v>4770702</v>
      </c>
      <c r="AQ19" s="23">
        <v>0</v>
      </c>
      <c r="AR19" s="23">
        <v>186966</v>
      </c>
      <c r="AS19" s="23">
        <v>0</v>
      </c>
      <c r="AT19" s="23">
        <v>19066</v>
      </c>
      <c r="AU19" s="23">
        <v>121912</v>
      </c>
      <c r="AV19" s="23">
        <v>23453</v>
      </c>
      <c r="AW19" s="23">
        <v>35509</v>
      </c>
      <c r="AX19" s="23">
        <v>205059</v>
      </c>
      <c r="AY19" s="23">
        <v>76276</v>
      </c>
      <c r="AZ19" s="23">
        <v>160463</v>
      </c>
      <c r="BA19" s="23">
        <v>287766</v>
      </c>
      <c r="BB19" s="23">
        <v>113000</v>
      </c>
      <c r="BC19" s="24">
        <f t="shared" si="3"/>
        <v>1229470</v>
      </c>
      <c r="BD19" s="37" t="s">
        <v>122</v>
      </c>
      <c r="BE19" s="7">
        <v>40</v>
      </c>
      <c r="BF19" s="52">
        <v>88</v>
      </c>
      <c r="BG19" s="27">
        <v>588</v>
      </c>
      <c r="BH19" s="27">
        <v>48</v>
      </c>
      <c r="BI19" s="63">
        <v>445</v>
      </c>
      <c r="BJ19" s="27">
        <v>29</v>
      </c>
      <c r="BK19" s="64">
        <v>190</v>
      </c>
      <c r="BL19" s="65">
        <v>0</v>
      </c>
      <c r="BM19" s="66">
        <v>86</v>
      </c>
      <c r="BN19" s="65">
        <v>287</v>
      </c>
      <c r="BO19" s="64">
        <v>0</v>
      </c>
      <c r="BP19" s="65">
        <v>254</v>
      </c>
      <c r="BQ19" s="24">
        <f t="shared" si="4"/>
        <v>2055</v>
      </c>
      <c r="BR19" s="7" t="s">
        <v>46</v>
      </c>
      <c r="BS19" s="52"/>
      <c r="BT19" s="52"/>
      <c r="BU19" s="52"/>
      <c r="BV19" s="52"/>
      <c r="BW19" s="52"/>
      <c r="BX19" s="52"/>
      <c r="BY19" s="52"/>
      <c r="CA19" s="52"/>
      <c r="CB19" s="52"/>
      <c r="CD19" s="60"/>
      <c r="CE19" s="24"/>
      <c r="CF19" s="26" t="s">
        <v>30</v>
      </c>
      <c r="CG19" s="27">
        <f t="shared" si="5"/>
        <v>73896</v>
      </c>
      <c r="CH19" s="27">
        <f t="shared" si="6"/>
        <v>169948.75</v>
      </c>
      <c r="CI19" s="27">
        <f t="shared" si="7"/>
        <v>68329.25</v>
      </c>
      <c r="CJ19" s="27">
        <f t="shared" si="8"/>
        <v>113424.5</v>
      </c>
      <c r="CK19" s="27">
        <f t="shared" si="9"/>
        <v>97538</v>
      </c>
      <c r="CL19" s="27">
        <f t="shared" si="10"/>
        <v>137437.5</v>
      </c>
      <c r="CM19" s="27">
        <f t="shared" si="11"/>
        <v>45690</v>
      </c>
      <c r="CN19" s="27">
        <f t="shared" si="12"/>
        <v>784264.5</v>
      </c>
      <c r="CO19" s="27">
        <f t="shared" si="13"/>
        <v>270117.75</v>
      </c>
      <c r="CP19" s="27">
        <f t="shared" si="14"/>
        <v>187111</v>
      </c>
      <c r="CQ19" s="27">
        <f t="shared" si="15"/>
        <v>227059.25</v>
      </c>
      <c r="CR19" s="27">
        <f t="shared" si="16"/>
        <v>154445.5</v>
      </c>
      <c r="CS19" s="27">
        <f t="shared" si="17"/>
        <v>2329262</v>
      </c>
      <c r="CT19" s="18" t="s">
        <v>30</v>
      </c>
      <c r="CU19" s="28">
        <f aca="true" t="shared" si="35" ref="CU19:DF19">+CG19/$CS$19</f>
        <v>0.031725070000712674</v>
      </c>
      <c r="CV19" s="28">
        <f t="shared" si="35"/>
        <v>0.07296248768923376</v>
      </c>
      <c r="CW19" s="28">
        <f t="shared" si="35"/>
        <v>0.02933514993160924</v>
      </c>
      <c r="CX19" s="28">
        <f t="shared" si="35"/>
        <v>0.04869546663277897</v>
      </c>
      <c r="CY19" s="28">
        <f t="shared" si="35"/>
        <v>0.04187506600803173</v>
      </c>
      <c r="CZ19" s="28">
        <f t="shared" si="35"/>
        <v>0.059004740557309567</v>
      </c>
      <c r="DA19" s="28">
        <f t="shared" si="35"/>
        <v>0.0196156550873195</v>
      </c>
      <c r="DB19" s="28">
        <f t="shared" si="35"/>
        <v>0.33670085202952693</v>
      </c>
      <c r="DC19" s="28">
        <f t="shared" si="35"/>
        <v>0.1159670960158196</v>
      </c>
      <c r="DD19" s="28">
        <f t="shared" si="35"/>
        <v>0.08033059398212825</v>
      </c>
      <c r="DE19" s="28">
        <f t="shared" si="35"/>
        <v>0.09748119790732</v>
      </c>
      <c r="DF19" s="28">
        <f t="shared" si="35"/>
        <v>0.06630662415820977</v>
      </c>
      <c r="DG19" s="29">
        <f t="shared" si="19"/>
        <v>1</v>
      </c>
      <c r="DH19" s="37" t="s">
        <v>122</v>
      </c>
      <c r="DI19" s="7">
        <v>40</v>
      </c>
      <c r="DJ19" s="52">
        <v>88</v>
      </c>
      <c r="DK19" s="27">
        <v>588</v>
      </c>
      <c r="DL19" s="27">
        <v>48</v>
      </c>
      <c r="DM19" s="63">
        <v>445</v>
      </c>
      <c r="DN19" s="27">
        <v>29</v>
      </c>
      <c r="DO19" s="64">
        <v>190</v>
      </c>
      <c r="DP19" s="65">
        <v>0</v>
      </c>
      <c r="DQ19" s="66">
        <v>86</v>
      </c>
      <c r="DR19" s="65">
        <v>287</v>
      </c>
      <c r="DS19" s="64">
        <v>0</v>
      </c>
      <c r="DT19" s="65">
        <v>254</v>
      </c>
      <c r="DV19" s="7" t="s">
        <v>46</v>
      </c>
      <c r="DW19" s="52"/>
      <c r="DX19" s="52"/>
      <c r="DY19" s="52"/>
      <c r="DZ19" s="52"/>
      <c r="EA19" s="52"/>
      <c r="EB19" s="52"/>
      <c r="EC19" s="52"/>
      <c r="EE19" s="52"/>
      <c r="EF19" s="52"/>
      <c r="EH19" s="60"/>
    </row>
    <row r="20" spans="1:138" ht="13.5" customHeight="1">
      <c r="A20" s="14" t="s">
        <v>31</v>
      </c>
      <c r="B20" s="15">
        <v>3400</v>
      </c>
      <c r="C20" s="16">
        <v>148400</v>
      </c>
      <c r="D20" s="16">
        <v>0</v>
      </c>
      <c r="E20" s="16">
        <v>0</v>
      </c>
      <c r="F20" s="16">
        <v>116800</v>
      </c>
      <c r="G20" s="16">
        <v>62600</v>
      </c>
      <c r="H20" s="16">
        <v>51000</v>
      </c>
      <c r="I20" s="16">
        <v>107500</v>
      </c>
      <c r="J20" s="16">
        <v>20400</v>
      </c>
      <c r="K20" s="15">
        <v>0</v>
      </c>
      <c r="L20" s="15">
        <v>0</v>
      </c>
      <c r="M20" s="15">
        <v>13600</v>
      </c>
      <c r="N20" s="17">
        <f t="shared" si="0"/>
        <v>523700</v>
      </c>
      <c r="O20" s="18" t="s">
        <v>31</v>
      </c>
      <c r="P20" s="30">
        <v>32300</v>
      </c>
      <c r="Q20" s="30">
        <v>40100</v>
      </c>
      <c r="R20" s="27">
        <v>0</v>
      </c>
      <c r="S20" s="31">
        <v>0</v>
      </c>
      <c r="T20" s="31">
        <v>29700</v>
      </c>
      <c r="U20" s="31">
        <v>109550</v>
      </c>
      <c r="V20" s="31">
        <v>22300</v>
      </c>
      <c r="W20" s="31">
        <v>0</v>
      </c>
      <c r="X20" s="31">
        <v>0</v>
      </c>
      <c r="Y20" s="27">
        <v>0</v>
      </c>
      <c r="Z20" s="31">
        <v>0</v>
      </c>
      <c r="AA20" s="27">
        <v>0</v>
      </c>
      <c r="AB20" s="22">
        <f t="shared" si="1"/>
        <v>233950</v>
      </c>
      <c r="AC20" s="18" t="s">
        <v>31</v>
      </c>
      <c r="AD20" s="23">
        <v>49800</v>
      </c>
      <c r="AE20" s="23">
        <v>32200</v>
      </c>
      <c r="AF20" s="23"/>
      <c r="AG20" s="23">
        <v>9900</v>
      </c>
      <c r="AH20" s="23">
        <v>2175</v>
      </c>
      <c r="AI20" s="23">
        <v>26100</v>
      </c>
      <c r="AJ20" s="23">
        <v>8700</v>
      </c>
      <c r="AK20" s="23"/>
      <c r="AL20" s="23">
        <v>23900</v>
      </c>
      <c r="AM20" s="23"/>
      <c r="AN20" s="23"/>
      <c r="AO20" s="23"/>
      <c r="AP20" s="24">
        <f t="shared" si="2"/>
        <v>152775</v>
      </c>
      <c r="AQ20" s="23">
        <v>10900</v>
      </c>
      <c r="AR20" s="23">
        <v>0</v>
      </c>
      <c r="AS20" s="23"/>
      <c r="AT20" s="23">
        <v>0</v>
      </c>
      <c r="AU20" s="23">
        <v>17400</v>
      </c>
      <c r="AV20" s="23">
        <v>0</v>
      </c>
      <c r="AW20" s="23">
        <v>0</v>
      </c>
      <c r="AX20" s="23">
        <v>0</v>
      </c>
      <c r="AY20" s="23">
        <v>98400</v>
      </c>
      <c r="AZ20" s="23">
        <v>19200</v>
      </c>
      <c r="BA20" s="23">
        <v>0</v>
      </c>
      <c r="BB20" s="23">
        <v>0</v>
      </c>
      <c r="BC20" s="24">
        <f t="shared" si="3"/>
        <v>145900</v>
      </c>
      <c r="BD20" s="37" t="s">
        <v>31</v>
      </c>
      <c r="BE20" s="7">
        <v>0</v>
      </c>
      <c r="BF20" s="52">
        <v>138</v>
      </c>
      <c r="BG20" s="27">
        <v>0</v>
      </c>
      <c r="BH20" s="27">
        <v>0</v>
      </c>
      <c r="BI20" s="63">
        <v>31</v>
      </c>
      <c r="BJ20" s="27">
        <v>20</v>
      </c>
      <c r="BK20" s="64">
        <v>44</v>
      </c>
      <c r="BL20" s="65">
        <v>31</v>
      </c>
      <c r="BM20" s="66">
        <v>0</v>
      </c>
      <c r="BN20" s="65">
        <v>0</v>
      </c>
      <c r="BO20" s="64">
        <v>0</v>
      </c>
      <c r="BP20" s="65">
        <v>0</v>
      </c>
      <c r="BQ20" s="24">
        <f t="shared" si="4"/>
        <v>264</v>
      </c>
      <c r="BR20" s="7" t="s">
        <v>31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15</v>
      </c>
      <c r="CA20" s="7">
        <v>0</v>
      </c>
      <c r="CB20" s="7">
        <v>0</v>
      </c>
      <c r="CC20" s="7">
        <v>33</v>
      </c>
      <c r="CD20" s="7" t="s">
        <v>201</v>
      </c>
      <c r="CE20" s="24"/>
      <c r="CF20" s="26" t="s">
        <v>31</v>
      </c>
      <c r="CG20" s="27">
        <f t="shared" si="5"/>
        <v>24100</v>
      </c>
      <c r="CH20" s="27">
        <f t="shared" si="6"/>
        <v>55175</v>
      </c>
      <c r="CI20" s="27">
        <f t="shared" si="7"/>
        <v>0</v>
      </c>
      <c r="CJ20" s="27">
        <f t="shared" si="8"/>
        <v>2475</v>
      </c>
      <c r="CK20" s="27">
        <f t="shared" si="9"/>
        <v>41518.75</v>
      </c>
      <c r="CL20" s="27">
        <f t="shared" si="10"/>
        <v>49562.5</v>
      </c>
      <c r="CM20" s="27">
        <f t="shared" si="11"/>
        <v>20500</v>
      </c>
      <c r="CN20" s="27">
        <f t="shared" si="12"/>
        <v>26875</v>
      </c>
      <c r="CO20" s="27">
        <f t="shared" si="13"/>
        <v>35675</v>
      </c>
      <c r="CP20" s="27">
        <f t="shared" si="14"/>
        <v>4800</v>
      </c>
      <c r="CQ20" s="27">
        <f t="shared" si="15"/>
        <v>0</v>
      </c>
      <c r="CR20" s="27">
        <f t="shared" si="16"/>
        <v>3400</v>
      </c>
      <c r="CS20" s="27">
        <f t="shared" si="17"/>
        <v>264081.25</v>
      </c>
      <c r="CT20" s="18" t="s">
        <v>31</v>
      </c>
      <c r="CU20" s="28">
        <f aca="true" t="shared" si="36" ref="CU20:DF20">+CG20/$CS$20</f>
        <v>0.09125979220410385</v>
      </c>
      <c r="CV20" s="28">
        <f t="shared" si="36"/>
        <v>0.2089319101602253</v>
      </c>
      <c r="CW20" s="28">
        <f t="shared" si="36"/>
        <v>0</v>
      </c>
      <c r="CX20" s="28">
        <f t="shared" si="36"/>
        <v>0.009372115589425602</v>
      </c>
      <c r="CY20" s="28">
        <f t="shared" si="36"/>
        <v>0.1572196057084704</v>
      </c>
      <c r="CZ20" s="28">
        <f t="shared" si="36"/>
        <v>0.1876789813741036</v>
      </c>
      <c r="DA20" s="28">
        <f t="shared" si="36"/>
        <v>0.07762762407403025</v>
      </c>
      <c r="DB20" s="28">
        <f t="shared" si="36"/>
        <v>0.10176792180436892</v>
      </c>
      <c r="DC20" s="28">
        <f t="shared" si="36"/>
        <v>0.13509099945565994</v>
      </c>
      <c r="DD20" s="28">
        <f t="shared" si="36"/>
        <v>0.018176224173431472</v>
      </c>
      <c r="DE20" s="28">
        <f t="shared" si="36"/>
        <v>0</v>
      </c>
      <c r="DF20" s="28">
        <f t="shared" si="36"/>
        <v>0.012874825456180626</v>
      </c>
      <c r="DG20" s="29">
        <f t="shared" si="19"/>
        <v>0.9999999999999999</v>
      </c>
      <c r="DH20" s="37" t="s">
        <v>31</v>
      </c>
      <c r="DI20" s="7">
        <v>0</v>
      </c>
      <c r="DJ20" s="52">
        <v>138</v>
      </c>
      <c r="DK20" s="27">
        <v>0</v>
      </c>
      <c r="DL20" s="27">
        <v>0</v>
      </c>
      <c r="DM20" s="63">
        <v>31</v>
      </c>
      <c r="DN20" s="27">
        <v>20</v>
      </c>
      <c r="DO20" s="64">
        <v>44</v>
      </c>
      <c r="DP20" s="65">
        <v>31</v>
      </c>
      <c r="DQ20" s="66">
        <v>0</v>
      </c>
      <c r="DR20" s="65">
        <v>0</v>
      </c>
      <c r="DS20" s="64">
        <v>0</v>
      </c>
      <c r="DT20" s="65">
        <v>0</v>
      </c>
      <c r="DV20" s="7" t="s">
        <v>31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15</v>
      </c>
      <c r="EE20" s="7">
        <v>0</v>
      </c>
      <c r="EF20" s="7">
        <v>0</v>
      </c>
      <c r="EG20" s="7">
        <v>33</v>
      </c>
      <c r="EH20" s="7" t="s">
        <v>201</v>
      </c>
    </row>
    <row r="21" spans="1:138" ht="13.5" customHeight="1">
      <c r="A21" s="14" t="s">
        <v>32</v>
      </c>
      <c r="B21" s="15">
        <v>1071410</v>
      </c>
      <c r="C21" s="16">
        <v>2881199</v>
      </c>
      <c r="D21" s="16">
        <v>1685450</v>
      </c>
      <c r="E21" s="16">
        <v>2263545</v>
      </c>
      <c r="F21" s="16">
        <v>1078214</v>
      </c>
      <c r="G21" s="16">
        <v>2723039</v>
      </c>
      <c r="H21" s="16">
        <v>2327337</v>
      </c>
      <c r="I21" s="16">
        <v>1786543</v>
      </c>
      <c r="J21" s="16">
        <v>2096425</v>
      </c>
      <c r="K21" s="15">
        <v>1724470</v>
      </c>
      <c r="L21" s="15">
        <v>1802191</v>
      </c>
      <c r="M21" s="15">
        <v>2065608</v>
      </c>
      <c r="N21" s="17">
        <f t="shared" si="0"/>
        <v>23505431</v>
      </c>
      <c r="O21" s="18" t="s">
        <v>32</v>
      </c>
      <c r="P21" s="30">
        <v>1867504</v>
      </c>
      <c r="Q21" s="30">
        <v>1759745</v>
      </c>
      <c r="R21" s="27">
        <v>1933215</v>
      </c>
      <c r="S21" s="31">
        <v>2311762</v>
      </c>
      <c r="T21" s="31">
        <v>2117135</v>
      </c>
      <c r="U21" s="31">
        <v>2027991</v>
      </c>
      <c r="V21" s="31">
        <v>2362046</v>
      </c>
      <c r="W21" s="31">
        <v>2089562</v>
      </c>
      <c r="X21" s="31">
        <v>2305927</v>
      </c>
      <c r="Y21" s="27">
        <v>2116246</v>
      </c>
      <c r="Z21" s="31">
        <v>3839338</v>
      </c>
      <c r="AA21" s="27">
        <v>1984662</v>
      </c>
      <c r="AB21" s="22">
        <f t="shared" si="1"/>
        <v>26715133</v>
      </c>
      <c r="AC21" s="18" t="s">
        <v>32</v>
      </c>
      <c r="AD21" s="23">
        <v>1342677</v>
      </c>
      <c r="AE21" s="23">
        <v>172200</v>
      </c>
      <c r="AF21" s="23">
        <v>5316622</v>
      </c>
      <c r="AG21" s="23">
        <v>4614227</v>
      </c>
      <c r="AH21" s="23">
        <v>2296300</v>
      </c>
      <c r="AI21" s="23">
        <v>2542600</v>
      </c>
      <c r="AJ21" s="23">
        <v>2792800</v>
      </c>
      <c r="AK21" s="23">
        <v>2379000</v>
      </c>
      <c r="AL21" s="23">
        <v>2084300</v>
      </c>
      <c r="AM21" s="23">
        <v>2588870</v>
      </c>
      <c r="AN21" s="23">
        <v>2043200</v>
      </c>
      <c r="AO21" s="23">
        <v>2922200</v>
      </c>
      <c r="AP21" s="24">
        <f t="shared" si="2"/>
        <v>31094996</v>
      </c>
      <c r="AQ21" s="23">
        <v>2597900</v>
      </c>
      <c r="AR21" s="23">
        <v>1630100</v>
      </c>
      <c r="AS21" s="23">
        <v>2034900</v>
      </c>
      <c r="AT21" s="23">
        <v>2282200</v>
      </c>
      <c r="AU21" s="23">
        <v>2471000</v>
      </c>
      <c r="AV21" s="23">
        <v>1838500</v>
      </c>
      <c r="AW21" s="23">
        <v>1868100</v>
      </c>
      <c r="AX21" s="23">
        <v>1456600</v>
      </c>
      <c r="AY21" s="23">
        <v>2054900</v>
      </c>
      <c r="AZ21" s="23">
        <v>952300</v>
      </c>
      <c r="BA21" s="23">
        <v>1996000</v>
      </c>
      <c r="BB21" s="23">
        <v>860000</v>
      </c>
      <c r="BC21" s="24">
        <f t="shared" si="3"/>
        <v>22042500</v>
      </c>
      <c r="BD21" s="37" t="s">
        <v>124</v>
      </c>
      <c r="BE21" s="7">
        <f>835+2103</f>
        <v>2938</v>
      </c>
      <c r="BF21" s="52">
        <f>175+987</f>
        <v>1162</v>
      </c>
      <c r="BG21" s="27">
        <f>283+1557</f>
        <v>1840</v>
      </c>
      <c r="BH21" s="27">
        <f>673+2914</f>
        <v>3587</v>
      </c>
      <c r="BI21" s="63">
        <f>458+1662</f>
        <v>2120</v>
      </c>
      <c r="BJ21" s="27">
        <f>489+1463</f>
        <v>1952</v>
      </c>
      <c r="BK21" s="64">
        <f>258+1104</f>
        <v>1362</v>
      </c>
      <c r="BL21" s="65">
        <f>582+2231</f>
        <v>2813</v>
      </c>
      <c r="BM21" s="66">
        <f>397+1516</f>
        <v>1913</v>
      </c>
      <c r="BN21" s="65">
        <f>350+1487</f>
        <v>1837</v>
      </c>
      <c r="BO21" s="64">
        <f>1404+381</f>
        <v>1785</v>
      </c>
      <c r="BP21" s="65">
        <f>1592+561</f>
        <v>2153</v>
      </c>
      <c r="BQ21" s="24">
        <f t="shared" si="4"/>
        <v>25462</v>
      </c>
      <c r="BR21" s="7" t="s">
        <v>214</v>
      </c>
      <c r="BS21" s="7">
        <f>1486+402</f>
        <v>1888</v>
      </c>
      <c r="BT21" s="7">
        <f>1362+283</f>
        <v>1645</v>
      </c>
      <c r="BU21" s="7">
        <f>1381+312</f>
        <v>1693</v>
      </c>
      <c r="BV21" s="7">
        <f>1639+387</f>
        <v>2026</v>
      </c>
      <c r="BW21" s="7">
        <f>1699+411</f>
        <v>2110</v>
      </c>
      <c r="BX21" s="7">
        <f>1659+439</f>
        <v>2098</v>
      </c>
      <c r="BY21" s="7">
        <f>1955+638</f>
        <v>2593</v>
      </c>
      <c r="BZ21" s="52">
        <v>2217</v>
      </c>
      <c r="CA21" s="7">
        <f>1826+494</f>
        <v>2320</v>
      </c>
      <c r="CB21" s="7">
        <f>1725+472</f>
        <v>2197</v>
      </c>
      <c r="CC21" s="7">
        <f>1431+366</f>
        <v>1797</v>
      </c>
      <c r="CD21" s="60">
        <f>2105+1016</f>
        <v>3121</v>
      </c>
      <c r="CE21" s="24"/>
      <c r="CF21" s="26" t="s">
        <v>32</v>
      </c>
      <c r="CG21" s="27">
        <f t="shared" si="5"/>
        <v>1719872.75</v>
      </c>
      <c r="CH21" s="27">
        <f t="shared" si="6"/>
        <v>1610811</v>
      </c>
      <c r="CI21" s="27">
        <f t="shared" si="7"/>
        <v>2742546.75</v>
      </c>
      <c r="CJ21" s="27">
        <f t="shared" si="8"/>
        <v>2867933.5</v>
      </c>
      <c r="CK21" s="27">
        <f t="shared" si="9"/>
        <v>1990662.25</v>
      </c>
      <c r="CL21" s="27">
        <f t="shared" si="10"/>
        <v>2283032.5</v>
      </c>
      <c r="CM21" s="27">
        <f t="shared" si="11"/>
        <v>2337570.75</v>
      </c>
      <c r="CN21" s="27">
        <f t="shared" si="12"/>
        <v>1927926.25</v>
      </c>
      <c r="CO21" s="27">
        <f t="shared" si="13"/>
        <v>2135388</v>
      </c>
      <c r="CP21" s="27">
        <f t="shared" si="14"/>
        <v>1845471.5</v>
      </c>
      <c r="CQ21" s="27">
        <f t="shared" si="15"/>
        <v>2420182.25</v>
      </c>
      <c r="CR21" s="27">
        <f t="shared" si="16"/>
        <v>1958117.5</v>
      </c>
      <c r="CS21" s="27">
        <f t="shared" si="17"/>
        <v>25839515</v>
      </c>
      <c r="CT21" s="18" t="s">
        <v>32</v>
      </c>
      <c r="CU21" s="28">
        <f aca="true" t="shared" si="37" ref="CU21:DF21">+CG21/$CS$21</f>
        <v>0.06655979224068254</v>
      </c>
      <c r="CV21" s="28">
        <f t="shared" si="37"/>
        <v>0.06233905706047501</v>
      </c>
      <c r="CW21" s="28">
        <f t="shared" si="37"/>
        <v>0.10613770227498465</v>
      </c>
      <c r="CX21" s="28">
        <f t="shared" si="37"/>
        <v>0.11099022175919324</v>
      </c>
      <c r="CY21" s="28">
        <f t="shared" si="37"/>
        <v>0.07703945875145102</v>
      </c>
      <c r="CZ21" s="28">
        <f t="shared" si="37"/>
        <v>0.08835430928173381</v>
      </c>
      <c r="DA21" s="28">
        <f t="shared" si="37"/>
        <v>0.09046496228741135</v>
      </c>
      <c r="DB21" s="28">
        <f t="shared" si="37"/>
        <v>0.07461154940408131</v>
      </c>
      <c r="DC21" s="28">
        <f t="shared" si="37"/>
        <v>0.08264040559584807</v>
      </c>
      <c r="DD21" s="28">
        <f t="shared" si="37"/>
        <v>0.07142051621324935</v>
      </c>
      <c r="DE21" s="28">
        <f t="shared" si="37"/>
        <v>0.09366206176857422</v>
      </c>
      <c r="DF21" s="28">
        <f t="shared" si="37"/>
        <v>0.07577996336231543</v>
      </c>
      <c r="DG21" s="29">
        <f t="shared" si="19"/>
        <v>0.9999999999999999</v>
      </c>
      <c r="DH21" s="37" t="s">
        <v>124</v>
      </c>
      <c r="DI21" s="7">
        <f>835+2103</f>
        <v>2938</v>
      </c>
      <c r="DJ21" s="52">
        <f>175+987</f>
        <v>1162</v>
      </c>
      <c r="DK21" s="27">
        <f>283+1557</f>
        <v>1840</v>
      </c>
      <c r="DL21" s="27">
        <f>673+2914</f>
        <v>3587</v>
      </c>
      <c r="DM21" s="63">
        <f>458+1662</f>
        <v>2120</v>
      </c>
      <c r="DN21" s="27">
        <f>489+1463</f>
        <v>1952</v>
      </c>
      <c r="DO21" s="64">
        <f>258+1104</f>
        <v>1362</v>
      </c>
      <c r="DP21" s="65">
        <f>582+2231</f>
        <v>2813</v>
      </c>
      <c r="DQ21" s="66">
        <f>397+1516</f>
        <v>1913</v>
      </c>
      <c r="DR21" s="65">
        <f>350+1487</f>
        <v>1837</v>
      </c>
      <c r="DS21" s="64">
        <f>1404+381</f>
        <v>1785</v>
      </c>
      <c r="DT21" s="65">
        <f>1592+561</f>
        <v>2153</v>
      </c>
      <c r="DV21" s="7" t="s">
        <v>214</v>
      </c>
      <c r="DW21" s="7">
        <f>1486+402</f>
        <v>1888</v>
      </c>
      <c r="DX21" s="7">
        <f>1362+283</f>
        <v>1645</v>
      </c>
      <c r="DY21" s="7">
        <f>1381+312</f>
        <v>1693</v>
      </c>
      <c r="DZ21" s="7">
        <f>1639+387</f>
        <v>2026</v>
      </c>
      <c r="EA21" s="7">
        <f>1699+411</f>
        <v>2110</v>
      </c>
      <c r="EB21" s="7">
        <f>1659+439</f>
        <v>2098</v>
      </c>
      <c r="EC21" s="7">
        <f>1955+638</f>
        <v>2593</v>
      </c>
      <c r="ED21" s="52">
        <v>2217</v>
      </c>
      <c r="EE21" s="7">
        <f>1826+494</f>
        <v>2320</v>
      </c>
      <c r="EF21" s="7">
        <f>1725+472</f>
        <v>2197</v>
      </c>
      <c r="EG21" s="7">
        <f>1431+366</f>
        <v>1797</v>
      </c>
      <c r="EH21" s="60">
        <f>2105+1016</f>
        <v>3121</v>
      </c>
    </row>
    <row r="22" spans="1:124" ht="13.5" customHeight="1">
      <c r="A22" s="14" t="s">
        <v>33</v>
      </c>
      <c r="B22" s="15">
        <v>68000</v>
      </c>
      <c r="C22" s="16">
        <v>68000</v>
      </c>
      <c r="D22" s="16">
        <v>95200</v>
      </c>
      <c r="E22" s="16">
        <v>0</v>
      </c>
      <c r="F22" s="16">
        <v>615600</v>
      </c>
      <c r="G22" s="16">
        <v>68000</v>
      </c>
      <c r="H22" s="16">
        <v>13600</v>
      </c>
      <c r="I22" s="16">
        <v>54400</v>
      </c>
      <c r="J22" s="16">
        <v>40800</v>
      </c>
      <c r="K22" s="15">
        <v>54400</v>
      </c>
      <c r="L22" s="15">
        <v>163200</v>
      </c>
      <c r="M22" s="15">
        <v>668400</v>
      </c>
      <c r="N22" s="17">
        <f t="shared" si="0"/>
        <v>1909600</v>
      </c>
      <c r="O22" s="18" t="s">
        <v>33</v>
      </c>
      <c r="P22" s="30">
        <v>223700</v>
      </c>
      <c r="Q22" s="30">
        <v>180500</v>
      </c>
      <c r="R22" s="27">
        <v>247104</v>
      </c>
      <c r="S22" s="31">
        <v>36000</v>
      </c>
      <c r="T22" s="31">
        <v>110600</v>
      </c>
      <c r="U22" s="31">
        <v>15800</v>
      </c>
      <c r="V22" s="31">
        <v>126400</v>
      </c>
      <c r="W22" s="31">
        <v>118410</v>
      </c>
      <c r="X22" s="31">
        <v>313460</v>
      </c>
      <c r="Y22" s="27">
        <v>378267</v>
      </c>
      <c r="Z22" s="31">
        <v>476936</v>
      </c>
      <c r="AA22" s="27">
        <v>169571</v>
      </c>
      <c r="AB22" s="22">
        <f t="shared" si="1"/>
        <v>2396748</v>
      </c>
      <c r="AC22" s="18" t="s">
        <v>33</v>
      </c>
      <c r="AD22" s="23">
        <v>124680</v>
      </c>
      <c r="AE22" s="23">
        <v>209050</v>
      </c>
      <c r="AF22" s="23">
        <v>357000</v>
      </c>
      <c r="AG22" s="23">
        <v>326400</v>
      </c>
      <c r="AH22" s="23">
        <v>222410</v>
      </c>
      <c r="AI22" s="23">
        <v>170010</v>
      </c>
      <c r="AJ22" s="23">
        <v>173710</v>
      </c>
      <c r="AK22" s="23">
        <v>170200</v>
      </c>
      <c r="AL22" s="23">
        <v>452746</v>
      </c>
      <c r="AM22" s="23">
        <v>157050</v>
      </c>
      <c r="AN22" s="23">
        <v>144200</v>
      </c>
      <c r="AO22" s="23">
        <v>156675</v>
      </c>
      <c r="AP22" s="24">
        <f t="shared" si="2"/>
        <v>2664131</v>
      </c>
      <c r="AQ22" s="23">
        <v>129033</v>
      </c>
      <c r="AR22" s="23">
        <v>668860</v>
      </c>
      <c r="AS22" s="23">
        <v>3933396</v>
      </c>
      <c r="AT22" s="23">
        <v>316596</v>
      </c>
      <c r="AU22" s="23">
        <v>167262</v>
      </c>
      <c r="AV22" s="23">
        <v>119830</v>
      </c>
      <c r="AW22" s="23">
        <v>33196</v>
      </c>
      <c r="AX22" s="23">
        <v>153328</v>
      </c>
      <c r="AY22" s="23">
        <v>134264</v>
      </c>
      <c r="AZ22" s="23">
        <v>196528</v>
      </c>
      <c r="BA22" s="23">
        <v>155711</v>
      </c>
      <c r="BB22" s="23">
        <v>125000</v>
      </c>
      <c r="BC22" s="24">
        <f t="shared" si="3"/>
        <v>6133004</v>
      </c>
      <c r="BD22" s="37" t="s">
        <v>127</v>
      </c>
      <c r="BE22" s="7">
        <v>30</v>
      </c>
      <c r="BF22" s="52">
        <v>102</v>
      </c>
      <c r="BG22" s="27">
        <v>220</v>
      </c>
      <c r="BH22" s="27">
        <v>360</v>
      </c>
      <c r="BI22" s="63">
        <v>92</v>
      </c>
      <c r="BJ22" s="27">
        <v>133</v>
      </c>
      <c r="BK22" s="64">
        <v>165</v>
      </c>
      <c r="BL22" s="65">
        <v>51</v>
      </c>
      <c r="BM22" s="66">
        <v>87</v>
      </c>
      <c r="BN22" s="65">
        <v>71</v>
      </c>
      <c r="BO22" s="64">
        <v>376</v>
      </c>
      <c r="BP22" s="65">
        <v>252</v>
      </c>
      <c r="BQ22" s="24">
        <f t="shared" si="4"/>
        <v>1939</v>
      </c>
      <c r="CE22" s="24"/>
      <c r="CF22" s="26" t="s">
        <v>33</v>
      </c>
      <c r="CG22" s="27">
        <f t="shared" si="5"/>
        <v>136353.25</v>
      </c>
      <c r="CH22" s="27">
        <f t="shared" si="6"/>
        <v>281602.5</v>
      </c>
      <c r="CI22" s="27">
        <f t="shared" si="7"/>
        <v>1158175</v>
      </c>
      <c r="CJ22" s="27">
        <f t="shared" si="8"/>
        <v>169749</v>
      </c>
      <c r="CK22" s="27">
        <f t="shared" si="9"/>
        <v>278968</v>
      </c>
      <c r="CL22" s="27">
        <f t="shared" si="10"/>
        <v>93410</v>
      </c>
      <c r="CM22" s="27">
        <f t="shared" si="11"/>
        <v>86726.5</v>
      </c>
      <c r="CN22" s="27">
        <f t="shared" si="12"/>
        <v>124084.5</v>
      </c>
      <c r="CO22" s="27">
        <f t="shared" si="13"/>
        <v>235317.5</v>
      </c>
      <c r="CP22" s="27">
        <f t="shared" si="14"/>
        <v>196561.25</v>
      </c>
      <c r="CQ22" s="27">
        <f t="shared" si="15"/>
        <v>235011.75</v>
      </c>
      <c r="CR22" s="27">
        <f t="shared" si="16"/>
        <v>279911.5</v>
      </c>
      <c r="CS22" s="27">
        <f t="shared" si="17"/>
        <v>3275870.75</v>
      </c>
      <c r="CT22" s="18" t="s">
        <v>33</v>
      </c>
      <c r="CU22" s="28">
        <f aca="true" t="shared" si="38" ref="CU22:DF22">+CG22/$CS$22</f>
        <v>0.04162351338190006</v>
      </c>
      <c r="CV22" s="28">
        <f t="shared" si="38"/>
        <v>0.08596264062005499</v>
      </c>
      <c r="CW22" s="28">
        <f t="shared" si="38"/>
        <v>0.35354722099460123</v>
      </c>
      <c r="CX22" s="28">
        <f t="shared" si="38"/>
        <v>0.051817978471830735</v>
      </c>
      <c r="CY22" s="28">
        <f t="shared" si="38"/>
        <v>0.0851584269617475</v>
      </c>
      <c r="CZ22" s="28">
        <f t="shared" si="38"/>
        <v>0.028514556015373928</v>
      </c>
      <c r="DA22" s="28">
        <f t="shared" si="38"/>
        <v>0.026474335106169863</v>
      </c>
      <c r="DB22" s="28">
        <f t="shared" si="38"/>
        <v>0.03787832593822574</v>
      </c>
      <c r="DC22" s="28">
        <f t="shared" si="38"/>
        <v>0.07183357279892683</v>
      </c>
      <c r="DD22" s="28">
        <f t="shared" si="38"/>
        <v>0.060002748887452294</v>
      </c>
      <c r="DE22" s="28">
        <f t="shared" si="38"/>
        <v>0.0717402388357355</v>
      </c>
      <c r="DF22" s="28">
        <f t="shared" si="38"/>
        <v>0.08544644198798136</v>
      </c>
      <c r="DG22" s="29">
        <f t="shared" si="19"/>
        <v>1</v>
      </c>
      <c r="DH22" s="37" t="s">
        <v>127</v>
      </c>
      <c r="DI22" s="7">
        <v>30</v>
      </c>
      <c r="DJ22" s="52">
        <v>102</v>
      </c>
      <c r="DK22" s="27">
        <v>220</v>
      </c>
      <c r="DL22" s="27">
        <v>360</v>
      </c>
      <c r="DM22" s="63">
        <v>92</v>
      </c>
      <c r="DN22" s="27">
        <v>133</v>
      </c>
      <c r="DO22" s="64">
        <v>165</v>
      </c>
      <c r="DP22" s="65">
        <v>51</v>
      </c>
      <c r="DQ22" s="66">
        <v>87</v>
      </c>
      <c r="DR22" s="65">
        <v>71</v>
      </c>
      <c r="DS22" s="64">
        <v>376</v>
      </c>
      <c r="DT22" s="65">
        <v>252</v>
      </c>
    </row>
    <row r="23" spans="1:138" ht="13.5" customHeight="1">
      <c r="A23" s="7" t="s">
        <v>207</v>
      </c>
      <c r="B23" s="15"/>
      <c r="C23" s="16"/>
      <c r="D23" s="16"/>
      <c r="E23" s="16"/>
      <c r="F23" s="16"/>
      <c r="G23" s="16"/>
      <c r="H23" s="16"/>
      <c r="I23" s="16"/>
      <c r="J23" s="16"/>
      <c r="K23" s="15"/>
      <c r="L23" s="15"/>
      <c r="M23" s="15"/>
      <c r="N23" s="17"/>
      <c r="O23" s="18"/>
      <c r="P23" s="30"/>
      <c r="Q23" s="30"/>
      <c r="R23" s="27"/>
      <c r="S23" s="31"/>
      <c r="T23" s="31"/>
      <c r="U23" s="31"/>
      <c r="V23" s="31"/>
      <c r="W23" s="31"/>
      <c r="X23" s="31"/>
      <c r="Y23" s="27"/>
      <c r="Z23" s="31"/>
      <c r="AA23" s="27"/>
      <c r="AB23" s="22"/>
      <c r="AC23" s="18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37"/>
      <c r="BF23" s="52"/>
      <c r="BG23" s="27"/>
      <c r="BH23" s="27"/>
      <c r="BI23" s="63"/>
      <c r="BJ23" s="27"/>
      <c r="BK23" s="64"/>
      <c r="BL23" s="65"/>
      <c r="BM23" s="66"/>
      <c r="BN23" s="65"/>
      <c r="BO23" s="64"/>
      <c r="BP23" s="65"/>
      <c r="BQ23" s="24">
        <f t="shared" si="4"/>
        <v>0</v>
      </c>
      <c r="BR23" s="7" t="s">
        <v>207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2</v>
      </c>
      <c r="CB23" s="7">
        <v>0</v>
      </c>
      <c r="CC23" s="7">
        <v>0</v>
      </c>
      <c r="CD23" s="7" t="s">
        <v>201</v>
      </c>
      <c r="CE23" s="24"/>
      <c r="CF23" s="26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1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9"/>
      <c r="DH23" s="37"/>
      <c r="DJ23" s="52"/>
      <c r="DK23" s="27"/>
      <c r="DL23" s="27"/>
      <c r="DM23" s="63"/>
      <c r="DN23" s="27"/>
      <c r="DO23" s="64"/>
      <c r="DP23" s="65"/>
      <c r="DQ23" s="66"/>
      <c r="DR23" s="65"/>
      <c r="DS23" s="64"/>
      <c r="DT23" s="65"/>
      <c r="DV23" s="7" t="s">
        <v>207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2</v>
      </c>
      <c r="EF23" s="7">
        <v>0</v>
      </c>
      <c r="EG23" s="7">
        <v>0</v>
      </c>
      <c r="EH23" s="7" t="s">
        <v>201</v>
      </c>
    </row>
    <row r="24" spans="1:138" ht="13.5" customHeight="1">
      <c r="A24" s="7" t="s">
        <v>208</v>
      </c>
      <c r="B24" s="15"/>
      <c r="C24" s="16"/>
      <c r="D24" s="16"/>
      <c r="E24" s="16"/>
      <c r="F24" s="16"/>
      <c r="G24" s="16"/>
      <c r="H24" s="16"/>
      <c r="I24" s="16"/>
      <c r="J24" s="16"/>
      <c r="K24" s="15"/>
      <c r="L24" s="15"/>
      <c r="M24" s="15"/>
      <c r="N24" s="17"/>
      <c r="O24" s="18"/>
      <c r="P24" s="30"/>
      <c r="Q24" s="30"/>
      <c r="R24" s="27"/>
      <c r="S24" s="31"/>
      <c r="T24" s="31"/>
      <c r="U24" s="31"/>
      <c r="V24" s="31"/>
      <c r="W24" s="31"/>
      <c r="X24" s="31"/>
      <c r="Y24" s="27"/>
      <c r="Z24" s="31"/>
      <c r="AA24" s="27"/>
      <c r="AB24" s="22"/>
      <c r="AC24" s="18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37"/>
      <c r="BF24" s="52"/>
      <c r="BG24" s="27"/>
      <c r="BH24" s="27"/>
      <c r="BI24" s="63"/>
      <c r="BJ24" s="27"/>
      <c r="BK24" s="64"/>
      <c r="BL24" s="65"/>
      <c r="BM24" s="66"/>
      <c r="BN24" s="65"/>
      <c r="BO24" s="64"/>
      <c r="BP24" s="65"/>
      <c r="BQ24" s="24">
        <f t="shared" si="4"/>
        <v>0</v>
      </c>
      <c r="BR24" s="7" t="s">
        <v>208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 t="s">
        <v>201</v>
      </c>
      <c r="CE24" s="24"/>
      <c r="CF24" s="26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1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9"/>
      <c r="DH24" s="37"/>
      <c r="DJ24" s="52"/>
      <c r="DK24" s="27"/>
      <c r="DL24" s="27"/>
      <c r="DM24" s="63"/>
      <c r="DN24" s="27"/>
      <c r="DO24" s="64"/>
      <c r="DP24" s="65"/>
      <c r="DQ24" s="66"/>
      <c r="DR24" s="65"/>
      <c r="DS24" s="64"/>
      <c r="DT24" s="65"/>
      <c r="DV24" s="7" t="s">
        <v>208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 t="s">
        <v>201</v>
      </c>
    </row>
    <row r="25" spans="1:138" ht="13.5" customHeight="1">
      <c r="A25" s="14" t="s">
        <v>34</v>
      </c>
      <c r="B25" s="15">
        <v>457900</v>
      </c>
      <c r="C25" s="16">
        <v>14133</v>
      </c>
      <c r="D25" s="16">
        <v>898362</v>
      </c>
      <c r="E25" s="16">
        <v>1901116</v>
      </c>
      <c r="F25" s="16">
        <v>2296680</v>
      </c>
      <c r="G25" s="16">
        <v>1821400</v>
      </c>
      <c r="H25" s="16">
        <v>3198289</v>
      </c>
      <c r="I25" s="16">
        <v>4295600</v>
      </c>
      <c r="J25" s="16">
        <v>1573900</v>
      </c>
      <c r="K25" s="15">
        <v>1276756</v>
      </c>
      <c r="L25" s="15">
        <v>2012378</v>
      </c>
      <c r="M25" s="15">
        <v>3711812</v>
      </c>
      <c r="N25" s="17">
        <f t="shared" si="0"/>
        <v>23458326</v>
      </c>
      <c r="O25" s="18" t="s">
        <v>34</v>
      </c>
      <c r="P25" s="30">
        <v>974000</v>
      </c>
      <c r="Q25" s="30">
        <v>5429800</v>
      </c>
      <c r="R25" s="27">
        <v>6538953.62</v>
      </c>
      <c r="S25" s="31">
        <v>2818750</v>
      </c>
      <c r="T25" s="31">
        <v>5489242</v>
      </c>
      <c r="U25" s="31">
        <v>5535568.95</v>
      </c>
      <c r="V25" s="31">
        <v>4644854</v>
      </c>
      <c r="W25" s="31">
        <v>5509756</v>
      </c>
      <c r="X25" s="31">
        <v>3590100</v>
      </c>
      <c r="Y25" s="27">
        <v>5658000</v>
      </c>
      <c r="Z25" s="31">
        <v>8566803</v>
      </c>
      <c r="AA25" s="27">
        <v>3104536</v>
      </c>
      <c r="AB25" s="22">
        <f t="shared" si="1"/>
        <v>57860363.57</v>
      </c>
      <c r="AC25" s="18" t="s">
        <v>34</v>
      </c>
      <c r="AD25" s="23">
        <v>4166400</v>
      </c>
      <c r="AE25" s="23">
        <v>1296139</v>
      </c>
      <c r="AF25" s="23">
        <v>2800000</v>
      </c>
      <c r="AG25" s="23">
        <v>4646970</v>
      </c>
      <c r="AH25" s="23">
        <v>6776009</v>
      </c>
      <c r="AI25" s="23">
        <v>6010849</v>
      </c>
      <c r="AJ25" s="23">
        <v>1740900</v>
      </c>
      <c r="AK25" s="23">
        <v>884400</v>
      </c>
      <c r="AL25" s="23">
        <v>1698536</v>
      </c>
      <c r="AM25" s="23">
        <v>3909453</v>
      </c>
      <c r="AN25" s="23">
        <v>825900</v>
      </c>
      <c r="AO25" s="23">
        <v>3366717</v>
      </c>
      <c r="AP25" s="24">
        <f t="shared" si="2"/>
        <v>38122273</v>
      </c>
      <c r="AQ25" s="23">
        <v>138068</v>
      </c>
      <c r="AR25" s="23">
        <v>264092</v>
      </c>
      <c r="AS25" s="23">
        <v>827800</v>
      </c>
      <c r="AT25" s="23">
        <v>519100</v>
      </c>
      <c r="AU25" s="23">
        <v>1119500</v>
      </c>
      <c r="AV25" s="23">
        <v>172616</v>
      </c>
      <c r="AW25" s="23">
        <v>345500</v>
      </c>
      <c r="AX25" s="23">
        <v>194834</v>
      </c>
      <c r="AY25" s="23">
        <v>712000</v>
      </c>
      <c r="AZ25" s="23">
        <v>352000</v>
      </c>
      <c r="BA25" s="23">
        <v>173800</v>
      </c>
      <c r="BB25" s="23">
        <v>2319000</v>
      </c>
      <c r="BC25" s="24">
        <f t="shared" si="3"/>
        <v>7138310</v>
      </c>
      <c r="BD25" s="37" t="s">
        <v>132</v>
      </c>
      <c r="BE25" s="7">
        <v>681</v>
      </c>
      <c r="BF25" s="52">
        <v>127</v>
      </c>
      <c r="BG25" s="27">
        <v>287</v>
      </c>
      <c r="BH25" s="27">
        <v>265</v>
      </c>
      <c r="BI25" s="63">
        <v>328</v>
      </c>
      <c r="BJ25" s="27">
        <v>509</v>
      </c>
      <c r="BK25" s="64">
        <v>3188</v>
      </c>
      <c r="BL25" s="65">
        <v>569</v>
      </c>
      <c r="BM25" s="66">
        <v>411</v>
      </c>
      <c r="BN25" s="65">
        <v>2376</v>
      </c>
      <c r="BO25" s="64">
        <v>693</v>
      </c>
      <c r="BP25" s="65">
        <v>0</v>
      </c>
      <c r="BQ25" s="24">
        <f t="shared" si="4"/>
        <v>9434</v>
      </c>
      <c r="BR25" s="7" t="s">
        <v>132</v>
      </c>
      <c r="BS25" s="52">
        <v>3414</v>
      </c>
      <c r="BT25" s="7">
        <v>149</v>
      </c>
      <c r="BU25" s="7">
        <v>0</v>
      </c>
      <c r="BV25" s="7">
        <v>366</v>
      </c>
      <c r="BW25" s="7">
        <v>149</v>
      </c>
      <c r="BX25" s="7">
        <v>849</v>
      </c>
      <c r="BY25" s="52">
        <v>1603</v>
      </c>
      <c r="BZ25" s="52">
        <v>2719</v>
      </c>
      <c r="CA25" s="52">
        <v>3605</v>
      </c>
      <c r="CB25" s="7">
        <v>378</v>
      </c>
      <c r="CC25" s="7">
        <v>260</v>
      </c>
      <c r="CD25" s="60">
        <v>10211</v>
      </c>
      <c r="CE25" s="24"/>
      <c r="CF25" s="26" t="s">
        <v>34</v>
      </c>
      <c r="CG25" s="27">
        <f t="shared" si="5"/>
        <v>1434092</v>
      </c>
      <c r="CH25" s="27">
        <f t="shared" si="6"/>
        <v>1751041</v>
      </c>
      <c r="CI25" s="27">
        <f t="shared" si="7"/>
        <v>2766278.9050000003</v>
      </c>
      <c r="CJ25" s="27">
        <f t="shared" si="8"/>
        <v>2471484</v>
      </c>
      <c r="CK25" s="27">
        <f t="shared" si="9"/>
        <v>3920357.75</v>
      </c>
      <c r="CL25" s="27">
        <f t="shared" si="10"/>
        <v>3385108.4875</v>
      </c>
      <c r="CM25" s="27">
        <f t="shared" si="11"/>
        <v>2482385.75</v>
      </c>
      <c r="CN25" s="27">
        <f t="shared" si="12"/>
        <v>2721147.5</v>
      </c>
      <c r="CO25" s="27">
        <f t="shared" si="13"/>
        <v>1893634</v>
      </c>
      <c r="CP25" s="27">
        <f t="shared" si="14"/>
        <v>2799052.25</v>
      </c>
      <c r="CQ25" s="27">
        <f t="shared" si="15"/>
        <v>2894720.25</v>
      </c>
      <c r="CR25" s="27">
        <f t="shared" si="16"/>
        <v>3125516.25</v>
      </c>
      <c r="CS25" s="27">
        <f t="shared" si="17"/>
        <v>31644818.142500002</v>
      </c>
      <c r="CT25" s="18" t="s">
        <v>34</v>
      </c>
      <c r="CU25" s="28">
        <f aca="true" t="shared" si="39" ref="CU25:DF25">+CG25/$CS$25</f>
        <v>0.04531838336191822</v>
      </c>
      <c r="CV25" s="28">
        <f t="shared" si="39"/>
        <v>0.055334209604709216</v>
      </c>
      <c r="CW25" s="28">
        <f t="shared" si="39"/>
        <v>0.08741648925088305</v>
      </c>
      <c r="CX25" s="28">
        <f t="shared" si="39"/>
        <v>0.0781007490348228</v>
      </c>
      <c r="CY25" s="28">
        <f t="shared" si="39"/>
        <v>0.12388624678916496</v>
      </c>
      <c r="CZ25" s="28">
        <f t="shared" si="39"/>
        <v>0.10697196843592192</v>
      </c>
      <c r="DA25" s="28">
        <f t="shared" si="39"/>
        <v>0.07844525251564258</v>
      </c>
      <c r="DB25" s="28">
        <f t="shared" si="39"/>
        <v>0.08599030298566994</v>
      </c>
      <c r="DC25" s="28">
        <f t="shared" si="39"/>
        <v>0.05984025540841358</v>
      </c>
      <c r="DD25" s="28">
        <f t="shared" si="39"/>
        <v>0.08845215154644176</v>
      </c>
      <c r="DE25" s="28">
        <f t="shared" si="39"/>
        <v>0.09147533213699523</v>
      </c>
      <c r="DF25" s="28">
        <f t="shared" si="39"/>
        <v>0.09876865892941669</v>
      </c>
      <c r="DG25" s="29">
        <f t="shared" si="19"/>
        <v>0.9999999999999999</v>
      </c>
      <c r="DH25" s="37" t="s">
        <v>132</v>
      </c>
      <c r="DI25" s="7">
        <v>681</v>
      </c>
      <c r="DJ25" s="52">
        <v>127</v>
      </c>
      <c r="DK25" s="27">
        <v>287</v>
      </c>
      <c r="DL25" s="27">
        <v>265</v>
      </c>
      <c r="DM25" s="63">
        <v>328</v>
      </c>
      <c r="DN25" s="27">
        <v>509</v>
      </c>
      <c r="DO25" s="64">
        <v>3188</v>
      </c>
      <c r="DP25" s="65">
        <v>569</v>
      </c>
      <c r="DQ25" s="66">
        <v>411</v>
      </c>
      <c r="DR25" s="65">
        <v>2376</v>
      </c>
      <c r="DS25" s="64">
        <v>693</v>
      </c>
      <c r="DT25" s="65">
        <v>0</v>
      </c>
      <c r="DV25" s="7" t="s">
        <v>132</v>
      </c>
      <c r="DW25" s="52">
        <v>3414</v>
      </c>
      <c r="DX25" s="7">
        <v>149</v>
      </c>
      <c r="DY25" s="7">
        <v>0</v>
      </c>
      <c r="DZ25" s="7">
        <v>366</v>
      </c>
      <c r="EA25" s="7">
        <v>149</v>
      </c>
      <c r="EB25" s="7">
        <v>849</v>
      </c>
      <c r="EC25" s="52">
        <v>1603</v>
      </c>
      <c r="ED25" s="52">
        <v>2719</v>
      </c>
      <c r="EE25" s="52">
        <v>3605</v>
      </c>
      <c r="EF25" s="7">
        <v>378</v>
      </c>
      <c r="EG25" s="7">
        <v>260</v>
      </c>
      <c r="EH25" s="60">
        <v>10211</v>
      </c>
    </row>
    <row r="26" spans="1:138" ht="13.5" customHeight="1">
      <c r="A26" s="14" t="s">
        <v>35</v>
      </c>
      <c r="B26" s="15">
        <v>469200</v>
      </c>
      <c r="C26" s="16">
        <v>758200</v>
      </c>
      <c r="D26" s="16">
        <v>618800</v>
      </c>
      <c r="E26" s="16">
        <v>333200</v>
      </c>
      <c r="F26" s="16">
        <v>448800</v>
      </c>
      <c r="G26" s="16">
        <v>924800</v>
      </c>
      <c r="H26" s="16">
        <v>710600</v>
      </c>
      <c r="I26" s="16">
        <v>744600</v>
      </c>
      <c r="J26" s="16">
        <v>707200</v>
      </c>
      <c r="K26" s="15">
        <v>578000</v>
      </c>
      <c r="L26" s="15">
        <v>561000</v>
      </c>
      <c r="M26" s="15">
        <v>411400</v>
      </c>
      <c r="N26" s="17">
        <f t="shared" si="0"/>
        <v>7265800</v>
      </c>
      <c r="O26" s="18" t="s">
        <v>35</v>
      </c>
      <c r="P26" s="30">
        <v>73950</v>
      </c>
      <c r="Q26" s="30">
        <v>150100</v>
      </c>
      <c r="R26" s="27">
        <v>624100</v>
      </c>
      <c r="S26" s="31">
        <v>296250</v>
      </c>
      <c r="T26" s="31">
        <v>383150</v>
      </c>
      <c r="U26" s="31">
        <v>509550</v>
      </c>
      <c r="V26" s="31">
        <v>292300</v>
      </c>
      <c r="W26" s="31">
        <v>327850</v>
      </c>
      <c r="X26" s="31">
        <v>260700</v>
      </c>
      <c r="Y26" s="27">
        <v>217250</v>
      </c>
      <c r="Z26" s="31">
        <v>505600</v>
      </c>
      <c r="AA26" s="27">
        <v>300200</v>
      </c>
      <c r="AB26" s="22">
        <f t="shared" si="1"/>
        <v>3941000</v>
      </c>
      <c r="AC26" s="18" t="s">
        <v>35</v>
      </c>
      <c r="AD26" s="23">
        <v>457600</v>
      </c>
      <c r="AE26" s="23">
        <v>506000</v>
      </c>
      <c r="AF26" s="23">
        <v>343200</v>
      </c>
      <c r="AG26" s="23">
        <v>242000</v>
      </c>
      <c r="AH26" s="23">
        <v>360800</v>
      </c>
      <c r="AI26" s="23">
        <v>202400</v>
      </c>
      <c r="AJ26" s="23">
        <v>228900</v>
      </c>
      <c r="AK26" s="23">
        <v>215600</v>
      </c>
      <c r="AL26" s="23">
        <v>233200</v>
      </c>
      <c r="AM26" s="23">
        <v>316800</v>
      </c>
      <c r="AN26" s="23">
        <v>277200</v>
      </c>
      <c r="AO26" s="23">
        <v>145200</v>
      </c>
      <c r="AP26" s="24">
        <f t="shared" si="2"/>
        <v>3528900</v>
      </c>
      <c r="AQ26" s="23">
        <v>225600</v>
      </c>
      <c r="AR26" s="23">
        <v>316800</v>
      </c>
      <c r="AS26" s="23">
        <v>288000</v>
      </c>
      <c r="AT26" s="23">
        <v>364800</v>
      </c>
      <c r="AU26" s="23">
        <v>345600</v>
      </c>
      <c r="AV26" s="23">
        <v>244800</v>
      </c>
      <c r="AW26" s="23">
        <v>211200</v>
      </c>
      <c r="AX26" s="23">
        <v>398400</v>
      </c>
      <c r="AY26" s="23">
        <v>254400</v>
      </c>
      <c r="AZ26" s="23">
        <v>316800</v>
      </c>
      <c r="BA26" s="23">
        <v>374400</v>
      </c>
      <c r="BB26" s="23">
        <v>379000</v>
      </c>
      <c r="BC26" s="24">
        <f t="shared" si="3"/>
        <v>3719800</v>
      </c>
      <c r="BD26" s="37" t="s">
        <v>134</v>
      </c>
      <c r="BE26" s="7">
        <v>2699</v>
      </c>
      <c r="BF26" s="52">
        <v>453</v>
      </c>
      <c r="BG26" s="27">
        <v>237</v>
      </c>
      <c r="BH26" s="27">
        <v>340</v>
      </c>
      <c r="BI26" s="63">
        <v>180</v>
      </c>
      <c r="BJ26" s="27">
        <v>149</v>
      </c>
      <c r="BK26" s="64">
        <v>180</v>
      </c>
      <c r="BL26" s="65">
        <v>180</v>
      </c>
      <c r="BM26" s="66">
        <v>443</v>
      </c>
      <c r="BN26" s="65">
        <v>304</v>
      </c>
      <c r="BO26" s="64">
        <v>263</v>
      </c>
      <c r="BP26" s="65">
        <v>360</v>
      </c>
      <c r="BQ26" s="24">
        <f t="shared" si="4"/>
        <v>5788</v>
      </c>
      <c r="BR26" s="7" t="s">
        <v>222</v>
      </c>
      <c r="BS26" s="7">
        <v>466</v>
      </c>
      <c r="BT26" s="7">
        <v>416</v>
      </c>
      <c r="BU26" s="7">
        <v>205</v>
      </c>
      <c r="BV26" s="7">
        <v>261</v>
      </c>
      <c r="BW26" s="7">
        <v>294</v>
      </c>
      <c r="BX26" s="7">
        <v>416</v>
      </c>
      <c r="BY26" s="7">
        <v>641</v>
      </c>
      <c r="BZ26" s="7">
        <v>311</v>
      </c>
      <c r="CA26" s="7">
        <v>719</v>
      </c>
      <c r="CB26" s="7">
        <v>876</v>
      </c>
      <c r="CC26" s="7">
        <v>1134</v>
      </c>
      <c r="CD26" s="60">
        <v>1296</v>
      </c>
      <c r="CE26" s="24"/>
      <c r="CF26" s="26" t="s">
        <v>35</v>
      </c>
      <c r="CG26" s="27">
        <f t="shared" si="5"/>
        <v>306587.5</v>
      </c>
      <c r="CH26" s="27">
        <f t="shared" si="6"/>
        <v>432775</v>
      </c>
      <c r="CI26" s="27">
        <f t="shared" si="7"/>
        <v>468525</v>
      </c>
      <c r="CJ26" s="27">
        <f t="shared" si="8"/>
        <v>309062.5</v>
      </c>
      <c r="CK26" s="27">
        <f t="shared" si="9"/>
        <v>384587.5</v>
      </c>
      <c r="CL26" s="27">
        <f t="shared" si="10"/>
        <v>470387.5</v>
      </c>
      <c r="CM26" s="27">
        <f t="shared" si="11"/>
        <v>360750</v>
      </c>
      <c r="CN26" s="27">
        <f t="shared" si="12"/>
        <v>421612.5</v>
      </c>
      <c r="CO26" s="27">
        <f t="shared" si="13"/>
        <v>363875</v>
      </c>
      <c r="CP26" s="27">
        <f t="shared" si="14"/>
        <v>357212.5</v>
      </c>
      <c r="CQ26" s="27">
        <f t="shared" si="15"/>
        <v>429550</v>
      </c>
      <c r="CR26" s="27">
        <f t="shared" si="16"/>
        <v>308950</v>
      </c>
      <c r="CS26" s="27">
        <f t="shared" si="17"/>
        <v>4613875</v>
      </c>
      <c r="CT26" s="18" t="s">
        <v>35</v>
      </c>
      <c r="CU26" s="28">
        <f aca="true" t="shared" si="40" ref="CU26:DF26">+CG26/$CS$26</f>
        <v>0.06644902603559914</v>
      </c>
      <c r="CV26" s="28">
        <f t="shared" si="40"/>
        <v>0.09379859662431253</v>
      </c>
      <c r="CW26" s="28">
        <f t="shared" si="40"/>
        <v>0.10154696431957953</v>
      </c>
      <c r="CX26" s="28">
        <f t="shared" si="40"/>
        <v>0.06698545149142532</v>
      </c>
      <c r="CY26" s="28">
        <f t="shared" si="40"/>
        <v>0.08335455555254531</v>
      </c>
      <c r="CZ26" s="28">
        <f t="shared" si="40"/>
        <v>0.10195063802118609</v>
      </c>
      <c r="DA26" s="28">
        <f t="shared" si="40"/>
        <v>0.07818807401587603</v>
      </c>
      <c r="DB26" s="28">
        <f t="shared" si="40"/>
        <v>0.091379263634147</v>
      </c>
      <c r="DC26" s="28">
        <f t="shared" si="40"/>
        <v>0.07886537888434342</v>
      </c>
      <c r="DD26" s="28">
        <f t="shared" si="40"/>
        <v>0.07742136490477093</v>
      </c>
      <c r="DE26" s="28">
        <f t="shared" si="40"/>
        <v>0.09309961800005419</v>
      </c>
      <c r="DF26" s="28">
        <f t="shared" si="40"/>
        <v>0.06696106851616049</v>
      </c>
      <c r="DG26" s="29">
        <f t="shared" si="19"/>
        <v>0.9999999999999999</v>
      </c>
      <c r="DH26" s="37" t="s">
        <v>134</v>
      </c>
      <c r="DI26" s="7">
        <v>2699</v>
      </c>
      <c r="DJ26" s="52">
        <v>453</v>
      </c>
      <c r="DK26" s="27">
        <v>237</v>
      </c>
      <c r="DL26" s="27">
        <v>340</v>
      </c>
      <c r="DM26" s="63">
        <v>180</v>
      </c>
      <c r="DN26" s="27">
        <v>149</v>
      </c>
      <c r="DO26" s="64">
        <v>180</v>
      </c>
      <c r="DP26" s="65">
        <v>180</v>
      </c>
      <c r="DQ26" s="66">
        <v>443</v>
      </c>
      <c r="DR26" s="65">
        <v>304</v>
      </c>
      <c r="DS26" s="64">
        <v>263</v>
      </c>
      <c r="DT26" s="65">
        <v>360</v>
      </c>
      <c r="DV26" s="7" t="s">
        <v>222</v>
      </c>
      <c r="DW26" s="7">
        <v>466</v>
      </c>
      <c r="DX26" s="7">
        <v>416</v>
      </c>
      <c r="DY26" s="7">
        <v>205</v>
      </c>
      <c r="DZ26" s="7">
        <v>261</v>
      </c>
      <c r="EA26" s="7">
        <v>294</v>
      </c>
      <c r="EB26" s="7">
        <v>416</v>
      </c>
      <c r="EC26" s="7">
        <v>641</v>
      </c>
      <c r="ED26" s="7">
        <v>311</v>
      </c>
      <c r="EE26" s="7">
        <v>719</v>
      </c>
      <c r="EF26" s="7">
        <v>876</v>
      </c>
      <c r="EG26" s="7">
        <v>1134</v>
      </c>
      <c r="EH26" s="60">
        <v>1296</v>
      </c>
    </row>
    <row r="27" spans="1:138" ht="13.5" customHeight="1">
      <c r="A27" s="32" t="s">
        <v>36</v>
      </c>
      <c r="B27" s="15">
        <v>1904650</v>
      </c>
      <c r="C27" s="16">
        <v>1966608</v>
      </c>
      <c r="D27" s="16"/>
      <c r="E27" s="16">
        <v>0</v>
      </c>
      <c r="F27" s="16">
        <v>898875</v>
      </c>
      <c r="G27" s="16">
        <v>2062300</v>
      </c>
      <c r="H27" s="16">
        <v>1270000</v>
      </c>
      <c r="I27" s="16">
        <v>544450</v>
      </c>
      <c r="J27" s="16">
        <v>1025000</v>
      </c>
      <c r="K27" s="15">
        <v>160000</v>
      </c>
      <c r="L27" s="15">
        <v>550000</v>
      </c>
      <c r="M27" s="15">
        <v>0</v>
      </c>
      <c r="N27" s="17">
        <f t="shared" si="0"/>
        <v>10381883</v>
      </c>
      <c r="O27" s="33" t="s">
        <v>36</v>
      </c>
      <c r="P27" s="30">
        <v>0</v>
      </c>
      <c r="Q27" s="30">
        <v>0</v>
      </c>
      <c r="R27" s="27">
        <v>560000</v>
      </c>
      <c r="S27" s="31">
        <v>150000</v>
      </c>
      <c r="T27" s="31">
        <v>0</v>
      </c>
      <c r="U27" s="31">
        <v>50000</v>
      </c>
      <c r="V27" s="31">
        <v>53746</v>
      </c>
      <c r="W27" s="31">
        <v>0</v>
      </c>
      <c r="X27" s="31">
        <v>50000</v>
      </c>
      <c r="Y27" s="27">
        <v>50000</v>
      </c>
      <c r="Z27" s="31">
        <v>50000</v>
      </c>
      <c r="AA27" s="27">
        <v>150000</v>
      </c>
      <c r="AB27" s="22">
        <f t="shared" si="1"/>
        <v>1113746</v>
      </c>
      <c r="AC27" s="33" t="s">
        <v>36</v>
      </c>
      <c r="AD27" s="23">
        <v>22500</v>
      </c>
      <c r="AE27" s="23">
        <v>150000</v>
      </c>
      <c r="AF27" s="23"/>
      <c r="AG27" s="23"/>
      <c r="AH27" s="23"/>
      <c r="AI27" s="23">
        <v>0</v>
      </c>
      <c r="AJ27" s="23"/>
      <c r="AK27" s="23"/>
      <c r="AL27" s="23"/>
      <c r="AM27" s="23"/>
      <c r="AN27" s="23"/>
      <c r="AO27" s="23"/>
      <c r="AP27" s="24">
        <f t="shared" si="2"/>
        <v>172500</v>
      </c>
      <c r="AQ27" s="23">
        <v>0</v>
      </c>
      <c r="AR27" s="23">
        <v>0</v>
      </c>
      <c r="AS27" s="23">
        <v>0</v>
      </c>
      <c r="AT27" s="23">
        <v>0</v>
      </c>
      <c r="AU27" s="23"/>
      <c r="AV27" s="23"/>
      <c r="AW27" s="23">
        <v>0</v>
      </c>
      <c r="AX27" s="23">
        <v>0</v>
      </c>
      <c r="AY27" s="23"/>
      <c r="AZ27" s="23">
        <v>0</v>
      </c>
      <c r="BA27" s="23">
        <v>0</v>
      </c>
      <c r="BB27" s="23">
        <v>0</v>
      </c>
      <c r="BC27" s="24">
        <f t="shared" si="3"/>
        <v>0</v>
      </c>
      <c r="BD27" s="37" t="s">
        <v>135</v>
      </c>
      <c r="BE27" s="7">
        <v>0</v>
      </c>
      <c r="BF27" s="52">
        <v>0</v>
      </c>
      <c r="BG27" s="27">
        <v>0</v>
      </c>
      <c r="BH27" s="27">
        <v>0</v>
      </c>
      <c r="BI27" s="63">
        <v>0</v>
      </c>
      <c r="BJ27" s="27">
        <v>0</v>
      </c>
      <c r="BK27" s="64">
        <v>0</v>
      </c>
      <c r="BL27" s="65">
        <v>0</v>
      </c>
      <c r="BM27" s="66">
        <v>0</v>
      </c>
      <c r="BN27" s="65">
        <v>0</v>
      </c>
      <c r="BO27" s="64">
        <v>830</v>
      </c>
      <c r="BP27" s="65">
        <v>0</v>
      </c>
      <c r="BQ27" s="24">
        <f t="shared" si="4"/>
        <v>830</v>
      </c>
      <c r="BR27" s="7" t="s">
        <v>223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 t="s">
        <v>201</v>
      </c>
      <c r="CE27" s="24"/>
      <c r="CF27" s="34" t="s">
        <v>36</v>
      </c>
      <c r="CG27" s="27">
        <f t="shared" si="5"/>
        <v>481787.5</v>
      </c>
      <c r="CH27" s="27">
        <f t="shared" si="6"/>
        <v>529152</v>
      </c>
      <c r="CI27" s="27">
        <f t="shared" si="7"/>
        <v>140000</v>
      </c>
      <c r="CJ27" s="27">
        <f t="shared" si="8"/>
        <v>37500</v>
      </c>
      <c r="CK27" s="27">
        <f t="shared" si="9"/>
        <v>224718.75</v>
      </c>
      <c r="CL27" s="27">
        <f t="shared" si="10"/>
        <v>528075</v>
      </c>
      <c r="CM27" s="27">
        <f t="shared" si="11"/>
        <v>330936.5</v>
      </c>
      <c r="CN27" s="27">
        <f t="shared" si="12"/>
        <v>136112.5</v>
      </c>
      <c r="CO27" s="27">
        <f t="shared" si="13"/>
        <v>268750</v>
      </c>
      <c r="CP27" s="27">
        <f t="shared" si="14"/>
        <v>52500</v>
      </c>
      <c r="CQ27" s="27">
        <f t="shared" si="15"/>
        <v>150000</v>
      </c>
      <c r="CR27" s="27">
        <f t="shared" si="16"/>
        <v>37500</v>
      </c>
      <c r="CS27" s="27">
        <f t="shared" si="17"/>
        <v>2917032.25</v>
      </c>
      <c r="CT27" s="33" t="s">
        <v>36</v>
      </c>
      <c r="CU27" s="28">
        <f aca="true" t="shared" si="41" ref="CU27:DF27">+CG27/$CS$27</f>
        <v>0.16516358363881647</v>
      </c>
      <c r="CV27" s="28">
        <f t="shared" si="41"/>
        <v>0.1814008055618857</v>
      </c>
      <c r="CW27" s="28">
        <f t="shared" si="41"/>
        <v>0.04799398429688256</v>
      </c>
      <c r="CX27" s="28">
        <f t="shared" si="41"/>
        <v>0.012855531508093543</v>
      </c>
      <c r="CY27" s="28">
        <f t="shared" si="41"/>
        <v>0.07703677256225056</v>
      </c>
      <c r="CZ27" s="28">
        <f t="shared" si="41"/>
        <v>0.18103159469697327</v>
      </c>
      <c r="DA27" s="28">
        <f t="shared" si="41"/>
        <v>0.11344972274475197</v>
      </c>
      <c r="DB27" s="28">
        <f t="shared" si="41"/>
        <v>0.0466612941972102</v>
      </c>
      <c r="DC27" s="28">
        <f t="shared" si="41"/>
        <v>0.09213130914133706</v>
      </c>
      <c r="DD27" s="28">
        <f t="shared" si="41"/>
        <v>0.01799774411133096</v>
      </c>
      <c r="DE27" s="28">
        <f t="shared" si="41"/>
        <v>0.05142212603237417</v>
      </c>
      <c r="DF27" s="28">
        <f t="shared" si="41"/>
        <v>0.012855531508093543</v>
      </c>
      <c r="DG27" s="29">
        <f t="shared" si="19"/>
        <v>1</v>
      </c>
      <c r="DH27" s="37" t="s">
        <v>135</v>
      </c>
      <c r="DI27" s="7">
        <v>0</v>
      </c>
      <c r="DJ27" s="52">
        <v>0</v>
      </c>
      <c r="DK27" s="27">
        <v>0</v>
      </c>
      <c r="DL27" s="27">
        <v>0</v>
      </c>
      <c r="DM27" s="63">
        <v>0</v>
      </c>
      <c r="DN27" s="27">
        <v>0</v>
      </c>
      <c r="DO27" s="64">
        <v>0</v>
      </c>
      <c r="DP27" s="65">
        <v>0</v>
      </c>
      <c r="DQ27" s="66">
        <v>0</v>
      </c>
      <c r="DR27" s="65">
        <v>0</v>
      </c>
      <c r="DS27" s="64">
        <v>830</v>
      </c>
      <c r="DT27" s="65">
        <v>0</v>
      </c>
      <c r="DV27" s="7" t="s">
        <v>223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 t="s">
        <v>201</v>
      </c>
    </row>
    <row r="28" spans="1:138" ht="13.5" customHeight="1">
      <c r="A28" s="14" t="s">
        <v>37</v>
      </c>
      <c r="B28" s="15">
        <v>475391</v>
      </c>
      <c r="C28" s="16">
        <v>585552</v>
      </c>
      <c r="D28" s="16">
        <v>499744</v>
      </c>
      <c r="E28" s="16">
        <v>296451</v>
      </c>
      <c r="F28" s="16">
        <v>505456</v>
      </c>
      <c r="G28" s="16">
        <v>1199871</v>
      </c>
      <c r="H28" s="16">
        <v>720036</v>
      </c>
      <c r="I28" s="16">
        <v>519565</v>
      </c>
      <c r="J28" s="16">
        <v>432407</v>
      </c>
      <c r="K28" s="15">
        <v>940063</v>
      </c>
      <c r="L28" s="15">
        <v>1983597</v>
      </c>
      <c r="M28" s="15">
        <v>2742654</v>
      </c>
      <c r="N28" s="17">
        <f t="shared" si="0"/>
        <v>10900787</v>
      </c>
      <c r="O28" s="18" t="s">
        <v>37</v>
      </c>
      <c r="P28" s="30">
        <v>724997</v>
      </c>
      <c r="Q28" s="30">
        <v>827663.98</v>
      </c>
      <c r="R28" s="27">
        <v>1066395.49</v>
      </c>
      <c r="S28" s="31">
        <v>2758487.06</v>
      </c>
      <c r="T28" s="31">
        <v>1025145.41</v>
      </c>
      <c r="U28" s="31">
        <v>4882967.88</v>
      </c>
      <c r="V28" s="31">
        <v>890700</v>
      </c>
      <c r="W28" s="31">
        <v>709847</v>
      </c>
      <c r="X28" s="31">
        <v>401506</v>
      </c>
      <c r="Y28" s="27">
        <v>442935</v>
      </c>
      <c r="Z28" s="31">
        <v>889885</v>
      </c>
      <c r="AA28" s="27">
        <v>406190</v>
      </c>
      <c r="AB28" s="22">
        <f t="shared" si="1"/>
        <v>15026719.82</v>
      </c>
      <c r="AC28" s="18" t="s">
        <v>37</v>
      </c>
      <c r="AD28" s="23">
        <v>434150</v>
      </c>
      <c r="AE28" s="23">
        <v>1020015</v>
      </c>
      <c r="AF28" s="23">
        <v>708130</v>
      </c>
      <c r="AG28" s="23">
        <v>543555</v>
      </c>
      <c r="AH28" s="23">
        <v>669295</v>
      </c>
      <c r="AI28" s="23">
        <v>803666</v>
      </c>
      <c r="AJ28" s="23">
        <v>944665</v>
      </c>
      <c r="AK28" s="23">
        <v>431660</v>
      </c>
      <c r="AL28" s="23">
        <v>689890</v>
      </c>
      <c r="AM28" s="23">
        <v>508450</v>
      </c>
      <c r="AN28" s="23">
        <v>347740</v>
      </c>
      <c r="AO28" s="23">
        <v>495101</v>
      </c>
      <c r="AP28" s="24">
        <f t="shared" si="2"/>
        <v>7596317</v>
      </c>
      <c r="AQ28" s="23">
        <v>252645</v>
      </c>
      <c r="AR28" s="23">
        <v>561800</v>
      </c>
      <c r="AS28" s="23">
        <v>423855</v>
      </c>
      <c r="AT28" s="23">
        <v>443970</v>
      </c>
      <c r="AU28" s="23">
        <v>556215</v>
      </c>
      <c r="AV28" s="23">
        <v>567345</v>
      </c>
      <c r="AW28" s="23">
        <v>418455</v>
      </c>
      <c r="AX28" s="23">
        <v>441465</v>
      </c>
      <c r="AY28" s="23">
        <v>318525</v>
      </c>
      <c r="AZ28" s="23">
        <v>0</v>
      </c>
      <c r="BA28" s="23">
        <v>697525</v>
      </c>
      <c r="BB28" s="23">
        <v>287000</v>
      </c>
      <c r="BC28" s="24">
        <f t="shared" si="3"/>
        <v>4968800</v>
      </c>
      <c r="BD28" s="37" t="s">
        <v>37</v>
      </c>
      <c r="BE28" s="7">
        <v>313</v>
      </c>
      <c r="BF28" s="52">
        <v>371</v>
      </c>
      <c r="BG28" s="27">
        <v>481</v>
      </c>
      <c r="BH28" s="27">
        <v>498</v>
      </c>
      <c r="BI28" s="63">
        <v>456</v>
      </c>
      <c r="BJ28" s="27">
        <v>424</v>
      </c>
      <c r="BK28" s="64">
        <v>170</v>
      </c>
      <c r="BL28" s="65">
        <v>531</v>
      </c>
      <c r="BM28" s="66">
        <v>610</v>
      </c>
      <c r="BN28" s="65">
        <v>460</v>
      </c>
      <c r="BO28" s="64">
        <v>311</v>
      </c>
      <c r="BP28" s="65">
        <v>555</v>
      </c>
      <c r="BQ28" s="24">
        <f t="shared" si="4"/>
        <v>5180</v>
      </c>
      <c r="BR28" s="7" t="s">
        <v>37</v>
      </c>
      <c r="BS28" s="7">
        <v>122</v>
      </c>
      <c r="BT28" s="7">
        <v>93</v>
      </c>
      <c r="BU28" s="7">
        <v>325</v>
      </c>
      <c r="BV28" s="7">
        <v>567</v>
      </c>
      <c r="BW28" s="7">
        <v>402</v>
      </c>
      <c r="BX28" s="7">
        <v>396</v>
      </c>
      <c r="BY28" s="7">
        <v>600</v>
      </c>
      <c r="BZ28" s="7">
        <v>0</v>
      </c>
      <c r="CA28" s="52">
        <v>1117</v>
      </c>
      <c r="CB28" s="7">
        <v>175</v>
      </c>
      <c r="CC28" s="7">
        <v>16</v>
      </c>
      <c r="CD28" s="7">
        <v>28</v>
      </c>
      <c r="CE28" s="24"/>
      <c r="CF28" s="26" t="s">
        <v>37</v>
      </c>
      <c r="CG28" s="27">
        <f t="shared" si="5"/>
        <v>471795.75</v>
      </c>
      <c r="CH28" s="27">
        <f t="shared" si="6"/>
        <v>748757.745</v>
      </c>
      <c r="CI28" s="27">
        <f t="shared" si="7"/>
        <v>674531.1225</v>
      </c>
      <c r="CJ28" s="27">
        <f t="shared" si="8"/>
        <v>1010615.765</v>
      </c>
      <c r="CK28" s="27">
        <f t="shared" si="9"/>
        <v>689027.8525</v>
      </c>
      <c r="CL28" s="27">
        <f t="shared" si="10"/>
        <v>1863462.47</v>
      </c>
      <c r="CM28" s="27">
        <f t="shared" si="11"/>
        <v>743464</v>
      </c>
      <c r="CN28" s="27">
        <f t="shared" si="12"/>
        <v>525634.25</v>
      </c>
      <c r="CO28" s="27">
        <f t="shared" si="13"/>
        <v>460582</v>
      </c>
      <c r="CP28" s="27">
        <f t="shared" si="14"/>
        <v>472862</v>
      </c>
      <c r="CQ28" s="27">
        <f t="shared" si="15"/>
        <v>979686.75</v>
      </c>
      <c r="CR28" s="27">
        <f t="shared" si="16"/>
        <v>982736.25</v>
      </c>
      <c r="CS28" s="27">
        <f t="shared" si="17"/>
        <v>9623155.955</v>
      </c>
      <c r="CT28" s="18" t="s">
        <v>37</v>
      </c>
      <c r="CU28" s="28">
        <f aca="true" t="shared" si="42" ref="CU28:DF28">+CG28/$CS$28</f>
        <v>0.04902713332364361</v>
      </c>
      <c r="CV28" s="28">
        <f t="shared" si="42"/>
        <v>0.07780791961611724</v>
      </c>
      <c r="CW28" s="28">
        <f t="shared" si="42"/>
        <v>0.07009458494222232</v>
      </c>
      <c r="CX28" s="28">
        <f t="shared" si="42"/>
        <v>0.10501916104507318</v>
      </c>
      <c r="CY28" s="28">
        <f t="shared" si="42"/>
        <v>0.07160102732638297</v>
      </c>
      <c r="CZ28" s="28">
        <f t="shared" si="42"/>
        <v>0.1936435903890534</v>
      </c>
      <c r="DA28" s="28">
        <f t="shared" si="42"/>
        <v>0.07725781474150493</v>
      </c>
      <c r="DB28" s="28">
        <f t="shared" si="42"/>
        <v>0.05462181559334398</v>
      </c>
      <c r="DC28" s="28">
        <f t="shared" si="42"/>
        <v>0.04786184513207341</v>
      </c>
      <c r="DD28" s="28">
        <f t="shared" si="42"/>
        <v>0.04913793377258012</v>
      </c>
      <c r="DE28" s="28">
        <f t="shared" si="42"/>
        <v>0.10180514111807305</v>
      </c>
      <c r="DF28" s="28">
        <f t="shared" si="42"/>
        <v>0.10212203299993178</v>
      </c>
      <c r="DG28" s="29">
        <f t="shared" si="19"/>
        <v>1</v>
      </c>
      <c r="DH28" s="37" t="s">
        <v>37</v>
      </c>
      <c r="DI28" s="7">
        <v>313</v>
      </c>
      <c r="DJ28" s="52">
        <v>371</v>
      </c>
      <c r="DK28" s="27">
        <v>481</v>
      </c>
      <c r="DL28" s="27">
        <v>498</v>
      </c>
      <c r="DM28" s="63">
        <v>456</v>
      </c>
      <c r="DN28" s="27">
        <v>424</v>
      </c>
      <c r="DO28" s="64">
        <v>170</v>
      </c>
      <c r="DP28" s="65">
        <v>531</v>
      </c>
      <c r="DQ28" s="66">
        <v>610</v>
      </c>
      <c r="DR28" s="65">
        <v>460</v>
      </c>
      <c r="DS28" s="64">
        <v>311</v>
      </c>
      <c r="DT28" s="65">
        <v>555</v>
      </c>
      <c r="DV28" s="7" t="s">
        <v>37</v>
      </c>
      <c r="DW28" s="7">
        <v>122</v>
      </c>
      <c r="DX28" s="7">
        <v>93</v>
      </c>
      <c r="DY28" s="7">
        <v>325</v>
      </c>
      <c r="DZ28" s="7">
        <v>567</v>
      </c>
      <c r="EA28" s="7">
        <v>402</v>
      </c>
      <c r="EB28" s="7">
        <v>396</v>
      </c>
      <c r="EC28" s="7">
        <v>600</v>
      </c>
      <c r="ED28" s="7">
        <v>0</v>
      </c>
      <c r="EE28" s="52">
        <v>1117</v>
      </c>
      <c r="EF28" s="7">
        <v>175</v>
      </c>
      <c r="EG28" s="7">
        <v>16</v>
      </c>
      <c r="EH28" s="7">
        <v>28</v>
      </c>
    </row>
    <row r="29" spans="1:138" ht="13.5" customHeight="1">
      <c r="A29" s="14" t="s">
        <v>38</v>
      </c>
      <c r="B29" s="15"/>
      <c r="C29" s="16"/>
      <c r="D29" s="16"/>
      <c r="E29" s="16"/>
      <c r="F29" s="16"/>
      <c r="G29" s="16"/>
      <c r="H29" s="16"/>
      <c r="I29" s="16"/>
      <c r="J29" s="16"/>
      <c r="K29" s="15"/>
      <c r="L29" s="15"/>
      <c r="M29" s="15"/>
      <c r="N29" s="17">
        <f t="shared" si="0"/>
        <v>0</v>
      </c>
      <c r="O29" s="18" t="s">
        <v>38</v>
      </c>
      <c r="P29" s="30">
        <v>0</v>
      </c>
      <c r="Q29" s="30">
        <v>0</v>
      </c>
      <c r="R29" s="27">
        <v>0</v>
      </c>
      <c r="S29" s="31">
        <v>22148000</v>
      </c>
      <c r="T29" s="31">
        <v>43263378</v>
      </c>
      <c r="U29" s="31">
        <v>25295000</v>
      </c>
      <c r="V29" s="31">
        <v>19034000</v>
      </c>
      <c r="W29" s="31">
        <v>28753000</v>
      </c>
      <c r="X29" s="31">
        <v>27770000</v>
      </c>
      <c r="Y29" s="27">
        <v>21544000</v>
      </c>
      <c r="Z29" s="31">
        <v>40728000</v>
      </c>
      <c r="AA29" s="27">
        <v>17632000</v>
      </c>
      <c r="AB29" s="22">
        <f t="shared" si="1"/>
        <v>246167378</v>
      </c>
      <c r="AC29" s="18" t="s">
        <v>38</v>
      </c>
      <c r="AD29" s="23">
        <v>22571000</v>
      </c>
      <c r="AE29" s="23">
        <v>27953000</v>
      </c>
      <c r="AF29" s="23">
        <v>24942000</v>
      </c>
      <c r="AG29" s="23"/>
      <c r="AH29" s="23">
        <v>49499000</v>
      </c>
      <c r="AI29" s="23">
        <v>24414000</v>
      </c>
      <c r="AJ29" s="23">
        <v>29373000</v>
      </c>
      <c r="AK29" s="23">
        <v>23506000</v>
      </c>
      <c r="AL29" s="23">
        <v>28549000</v>
      </c>
      <c r="AM29" s="23">
        <v>24196000</v>
      </c>
      <c r="AN29" s="23">
        <v>29586000</v>
      </c>
      <c r="AO29" s="23">
        <v>22430000</v>
      </c>
      <c r="AP29" s="24">
        <f t="shared" si="2"/>
        <v>307019000</v>
      </c>
      <c r="AQ29" s="23">
        <v>29611000</v>
      </c>
      <c r="AR29" s="23">
        <v>29329000</v>
      </c>
      <c r="AS29" s="23">
        <v>27232000</v>
      </c>
      <c r="AT29" s="23">
        <v>7495000</v>
      </c>
      <c r="AU29" s="23">
        <v>49595894</v>
      </c>
      <c r="AV29" s="23">
        <v>28287000</v>
      </c>
      <c r="AW29" s="23">
        <v>30065000</v>
      </c>
      <c r="AX29" s="23">
        <v>29310000</v>
      </c>
      <c r="AY29" s="23">
        <v>29727000</v>
      </c>
      <c r="AZ29" s="23">
        <v>28017000</v>
      </c>
      <c r="BA29" s="23">
        <v>29662000</v>
      </c>
      <c r="BB29" s="23">
        <v>25031000</v>
      </c>
      <c r="BC29" s="24">
        <f t="shared" si="3"/>
        <v>343361894</v>
      </c>
      <c r="BD29" s="37" t="s">
        <v>130</v>
      </c>
      <c r="BE29" s="7">
        <v>31813</v>
      </c>
      <c r="BF29" s="52">
        <v>32557</v>
      </c>
      <c r="BG29" s="27">
        <v>25177</v>
      </c>
      <c r="BH29" s="27">
        <v>28232</v>
      </c>
      <c r="BI29" s="63">
        <v>24948</v>
      </c>
      <c r="BJ29" s="27">
        <v>23349</v>
      </c>
      <c r="BK29" s="64">
        <v>27173</v>
      </c>
      <c r="BL29" s="65">
        <v>33109</v>
      </c>
      <c r="BM29" s="66">
        <v>21457</v>
      </c>
      <c r="BN29" s="65">
        <v>28992</v>
      </c>
      <c r="BO29" s="64">
        <v>27550</v>
      </c>
      <c r="BP29" s="65">
        <v>27723</v>
      </c>
      <c r="BQ29" s="24">
        <f t="shared" si="4"/>
        <v>332080</v>
      </c>
      <c r="BR29" s="7" t="s">
        <v>218</v>
      </c>
      <c r="BS29" s="52">
        <v>30870</v>
      </c>
      <c r="BT29" s="52">
        <v>27424</v>
      </c>
      <c r="BU29" s="52">
        <v>26568</v>
      </c>
      <c r="BV29" s="52">
        <v>31445</v>
      </c>
      <c r="BW29" s="52">
        <v>36035</v>
      </c>
      <c r="BX29" s="52">
        <v>36103</v>
      </c>
      <c r="BY29" s="52">
        <v>31703</v>
      </c>
      <c r="BZ29" s="52">
        <v>27489</v>
      </c>
      <c r="CA29" s="52">
        <v>37879</v>
      </c>
      <c r="CB29" s="52">
        <v>34096</v>
      </c>
      <c r="CC29" s="7">
        <v>37895</v>
      </c>
      <c r="CD29" s="60">
        <v>34729</v>
      </c>
      <c r="CE29" s="24"/>
      <c r="CF29" s="26" t="s">
        <v>38</v>
      </c>
      <c r="CG29" s="27">
        <f t="shared" si="5"/>
        <v>13045500</v>
      </c>
      <c r="CH29" s="27">
        <f t="shared" si="6"/>
        <v>14320500</v>
      </c>
      <c r="CI29" s="27">
        <f t="shared" si="7"/>
        <v>13043500</v>
      </c>
      <c r="CJ29" s="27">
        <f t="shared" si="8"/>
        <v>7410750</v>
      </c>
      <c r="CK29" s="27">
        <f t="shared" si="9"/>
        <v>35589568</v>
      </c>
      <c r="CL29" s="27">
        <f t="shared" si="10"/>
        <v>19499000</v>
      </c>
      <c r="CM29" s="27">
        <f t="shared" si="11"/>
        <v>19618000</v>
      </c>
      <c r="CN29" s="27">
        <f t="shared" si="12"/>
        <v>20392250</v>
      </c>
      <c r="CO29" s="27">
        <f t="shared" si="13"/>
        <v>21511500</v>
      </c>
      <c r="CP29" s="27">
        <f t="shared" si="14"/>
        <v>18439250</v>
      </c>
      <c r="CQ29" s="27">
        <f t="shared" si="15"/>
        <v>24994000</v>
      </c>
      <c r="CR29" s="27">
        <f t="shared" si="16"/>
        <v>16273250</v>
      </c>
      <c r="CS29" s="27">
        <f t="shared" si="17"/>
        <v>224137068</v>
      </c>
      <c r="CT29" s="18" t="s">
        <v>38</v>
      </c>
      <c r="CU29" s="28">
        <f aca="true" t="shared" si="43" ref="CU29:DF29">+CG29/$CS$29</f>
        <v>0.05820322410927585</v>
      </c>
      <c r="CV29" s="28">
        <f t="shared" si="43"/>
        <v>0.0638917075510241</v>
      </c>
      <c r="CW29" s="28">
        <f t="shared" si="43"/>
        <v>0.05819430099799467</v>
      </c>
      <c r="CX29" s="28">
        <f t="shared" si="43"/>
        <v>0.03306347346347905</v>
      </c>
      <c r="CY29" s="28">
        <f t="shared" si="43"/>
        <v>0.1587848378564495</v>
      </c>
      <c r="CZ29" s="28">
        <f t="shared" si="43"/>
        <v>0.08699587343580313</v>
      </c>
      <c r="DA29" s="28">
        <f t="shared" si="43"/>
        <v>0.08752679855703296</v>
      </c>
      <c r="DB29" s="28">
        <f t="shared" si="43"/>
        <v>0.09098115801175734</v>
      </c>
      <c r="DC29" s="28">
        <f t="shared" si="43"/>
        <v>0.09597475416248419</v>
      </c>
      <c r="DD29" s="28">
        <f t="shared" si="43"/>
        <v>0.0822677398456912</v>
      </c>
      <c r="DE29" s="28">
        <f t="shared" si="43"/>
        <v>0.11151212168082791</v>
      </c>
      <c r="DF29" s="28">
        <f t="shared" si="43"/>
        <v>0.07260401032818008</v>
      </c>
      <c r="DG29" s="29">
        <f t="shared" si="19"/>
        <v>1</v>
      </c>
      <c r="DH29" s="37" t="s">
        <v>130</v>
      </c>
      <c r="DI29" s="7">
        <v>31813</v>
      </c>
      <c r="DJ29" s="52">
        <v>32557</v>
      </c>
      <c r="DK29" s="27">
        <v>25177</v>
      </c>
      <c r="DL29" s="27">
        <v>28232</v>
      </c>
      <c r="DM29" s="63">
        <v>24948</v>
      </c>
      <c r="DN29" s="27">
        <v>23349</v>
      </c>
      <c r="DO29" s="64">
        <v>27173</v>
      </c>
      <c r="DP29" s="65">
        <v>33109</v>
      </c>
      <c r="DQ29" s="66">
        <v>21457</v>
      </c>
      <c r="DR29" s="65">
        <v>28992</v>
      </c>
      <c r="DS29" s="64">
        <v>27550</v>
      </c>
      <c r="DT29" s="65">
        <v>27723</v>
      </c>
      <c r="DV29" s="7" t="s">
        <v>218</v>
      </c>
      <c r="DW29" s="52">
        <v>30870</v>
      </c>
      <c r="DX29" s="52">
        <v>27424</v>
      </c>
      <c r="DY29" s="52">
        <v>26568</v>
      </c>
      <c r="DZ29" s="52">
        <v>31445</v>
      </c>
      <c r="EA29" s="52">
        <v>36035</v>
      </c>
      <c r="EB29" s="52">
        <v>36103</v>
      </c>
      <c r="EC29" s="52">
        <v>31703</v>
      </c>
      <c r="ED29" s="52">
        <v>27489</v>
      </c>
      <c r="EE29" s="52">
        <v>37879</v>
      </c>
      <c r="EF29" s="52">
        <v>34096</v>
      </c>
      <c r="EG29" s="7">
        <v>37895</v>
      </c>
      <c r="EH29" s="60">
        <v>34729</v>
      </c>
    </row>
    <row r="30" spans="1:138" ht="13.5" customHeight="1">
      <c r="A30" s="14" t="s">
        <v>39</v>
      </c>
      <c r="B30" s="15">
        <v>1882965</v>
      </c>
      <c r="C30" s="16">
        <v>0</v>
      </c>
      <c r="D30" s="16">
        <v>223000</v>
      </c>
      <c r="E30" s="16">
        <v>2372390</v>
      </c>
      <c r="F30" s="16">
        <v>422250</v>
      </c>
      <c r="G30" s="16">
        <v>2548180</v>
      </c>
      <c r="H30" s="16">
        <v>9251552</v>
      </c>
      <c r="I30" s="16">
        <v>14155898</v>
      </c>
      <c r="J30" s="16">
        <v>5197592</v>
      </c>
      <c r="K30" s="15">
        <v>9150460</v>
      </c>
      <c r="L30" s="15">
        <v>4523454</v>
      </c>
      <c r="M30" s="15">
        <v>1451272</v>
      </c>
      <c r="N30" s="17">
        <f t="shared" si="0"/>
        <v>51179013</v>
      </c>
      <c r="O30" s="18" t="s">
        <v>39</v>
      </c>
      <c r="P30" s="30">
        <v>4067669</v>
      </c>
      <c r="Q30" s="30">
        <v>971935</v>
      </c>
      <c r="R30" s="27">
        <v>419678</v>
      </c>
      <c r="S30" s="31">
        <v>160305</v>
      </c>
      <c r="T30" s="31">
        <v>16304224</v>
      </c>
      <c r="U30" s="31">
        <v>168789</v>
      </c>
      <c r="V30" s="31">
        <v>271137</v>
      </c>
      <c r="W30" s="31">
        <v>3507096</v>
      </c>
      <c r="X30" s="31">
        <v>3157166</v>
      </c>
      <c r="Y30" s="27">
        <v>124712</v>
      </c>
      <c r="Z30" s="31">
        <v>460691</v>
      </c>
      <c r="AA30" s="27">
        <v>69513</v>
      </c>
      <c r="AB30" s="22">
        <f t="shared" si="1"/>
        <v>29682915</v>
      </c>
      <c r="AC30" s="18" t="s">
        <v>39</v>
      </c>
      <c r="AD30" s="23"/>
      <c r="AE30" s="23">
        <v>50976</v>
      </c>
      <c r="AF30" s="23">
        <v>586224</v>
      </c>
      <c r="AG30" s="23"/>
      <c r="AH30" s="23"/>
      <c r="AI30" s="23">
        <v>152928</v>
      </c>
      <c r="AJ30" s="23"/>
      <c r="AK30" s="23">
        <v>527969</v>
      </c>
      <c r="AL30" s="23"/>
      <c r="AM30" s="23"/>
      <c r="AN30" s="23">
        <v>657231</v>
      </c>
      <c r="AO30" s="23">
        <v>1467282</v>
      </c>
      <c r="AP30" s="24">
        <f t="shared" si="2"/>
        <v>3442610</v>
      </c>
      <c r="AQ30" s="23">
        <v>158391</v>
      </c>
      <c r="AR30" s="23">
        <v>1086624</v>
      </c>
      <c r="AS30" s="23">
        <v>285831</v>
      </c>
      <c r="AT30" s="23">
        <v>633564</v>
      </c>
      <c r="AU30" s="23">
        <v>0</v>
      </c>
      <c r="AV30" s="23"/>
      <c r="AW30" s="23">
        <v>0</v>
      </c>
      <c r="AX30" s="23">
        <v>0</v>
      </c>
      <c r="AY30" s="23">
        <v>0</v>
      </c>
      <c r="AZ30" s="23">
        <v>1527471</v>
      </c>
      <c r="BA30" s="23">
        <v>0</v>
      </c>
      <c r="BB30" s="23">
        <v>53000</v>
      </c>
      <c r="BC30" s="24">
        <f t="shared" si="3"/>
        <v>3744881</v>
      </c>
      <c r="BD30" s="37" t="s">
        <v>136</v>
      </c>
      <c r="BE30" s="7">
        <v>1630</v>
      </c>
      <c r="BF30" s="52">
        <v>106</v>
      </c>
      <c r="BG30" s="27">
        <v>26</v>
      </c>
      <c r="BH30" s="27">
        <v>69</v>
      </c>
      <c r="BI30" s="63">
        <v>0</v>
      </c>
      <c r="BJ30" s="27">
        <v>0</v>
      </c>
      <c r="BK30" s="64">
        <v>0</v>
      </c>
      <c r="BL30" s="65">
        <v>1252</v>
      </c>
      <c r="BM30" s="66">
        <v>1194</v>
      </c>
      <c r="BN30" s="65">
        <v>264</v>
      </c>
      <c r="BO30" s="64">
        <v>106</v>
      </c>
      <c r="BP30" s="65">
        <v>609</v>
      </c>
      <c r="BQ30" s="24">
        <f t="shared" si="4"/>
        <v>5256</v>
      </c>
      <c r="BR30" s="7" t="s">
        <v>224</v>
      </c>
      <c r="BS30" s="7">
        <v>834</v>
      </c>
      <c r="BT30" s="52">
        <v>1653</v>
      </c>
      <c r="BU30" s="7">
        <v>630</v>
      </c>
      <c r="BV30" s="7">
        <v>207</v>
      </c>
      <c r="BW30" s="7">
        <v>0</v>
      </c>
      <c r="BX30" s="52">
        <v>2042</v>
      </c>
      <c r="BY30" s="7">
        <v>294</v>
      </c>
      <c r="BZ30" s="52">
        <v>1024</v>
      </c>
      <c r="CA30" s="52">
        <v>4100</v>
      </c>
      <c r="CB30" s="52">
        <v>2194</v>
      </c>
      <c r="CC30" s="7">
        <v>148</v>
      </c>
      <c r="CD30" s="60">
        <v>2000</v>
      </c>
      <c r="CE30" s="24"/>
      <c r="CF30" s="26" t="s">
        <v>39</v>
      </c>
      <c r="CG30" s="27">
        <f t="shared" si="5"/>
        <v>1527256.25</v>
      </c>
      <c r="CH30" s="27">
        <f t="shared" si="6"/>
        <v>527383.75</v>
      </c>
      <c r="CI30" s="27">
        <f t="shared" si="7"/>
        <v>378683.25</v>
      </c>
      <c r="CJ30" s="27">
        <f t="shared" si="8"/>
        <v>791564.75</v>
      </c>
      <c r="CK30" s="27">
        <f t="shared" si="9"/>
        <v>4181618.5</v>
      </c>
      <c r="CL30" s="27">
        <f t="shared" si="10"/>
        <v>717474.25</v>
      </c>
      <c r="CM30" s="27">
        <f t="shared" si="11"/>
        <v>2380672.25</v>
      </c>
      <c r="CN30" s="27">
        <f t="shared" si="12"/>
        <v>4547740.75</v>
      </c>
      <c r="CO30" s="27">
        <f t="shared" si="13"/>
        <v>2088689.5</v>
      </c>
      <c r="CP30" s="27">
        <f t="shared" si="14"/>
        <v>2700660.75</v>
      </c>
      <c r="CQ30" s="27">
        <f t="shared" si="15"/>
        <v>1410344</v>
      </c>
      <c r="CR30" s="27">
        <f t="shared" si="16"/>
        <v>760266.75</v>
      </c>
      <c r="CS30" s="27">
        <f t="shared" si="17"/>
        <v>22012354.75</v>
      </c>
      <c r="CT30" s="18" t="s">
        <v>39</v>
      </c>
      <c r="CU30" s="28">
        <f aca="true" t="shared" si="44" ref="CU30:DF30">+CG30/$CS$30</f>
        <v>0.0693817752505556</v>
      </c>
      <c r="CV30" s="28">
        <f t="shared" si="44"/>
        <v>0.023958534013722454</v>
      </c>
      <c r="CW30" s="28">
        <f t="shared" si="44"/>
        <v>0.017203214026886425</v>
      </c>
      <c r="CX30" s="28">
        <f t="shared" si="44"/>
        <v>0.03596002149656433</v>
      </c>
      <c r="CY30" s="28">
        <f t="shared" si="44"/>
        <v>0.18996688666395403</v>
      </c>
      <c r="CZ30" s="28">
        <f t="shared" si="44"/>
        <v>0.03259416169458199</v>
      </c>
      <c r="DA30" s="28">
        <f t="shared" si="44"/>
        <v>0.10815163925158892</v>
      </c>
      <c r="DB30" s="28">
        <f t="shared" si="44"/>
        <v>0.20659946660181824</v>
      </c>
      <c r="DC30" s="28">
        <f t="shared" si="44"/>
        <v>0.09488714513834555</v>
      </c>
      <c r="DD30" s="28">
        <f t="shared" si="44"/>
        <v>0.12268840751805529</v>
      </c>
      <c r="DE30" s="28">
        <f t="shared" si="44"/>
        <v>0.06407056473592404</v>
      </c>
      <c r="DF30" s="28">
        <f t="shared" si="44"/>
        <v>0.034538183608003134</v>
      </c>
      <c r="DG30" s="29">
        <f t="shared" si="19"/>
        <v>1.0000000000000002</v>
      </c>
      <c r="DH30" s="37" t="s">
        <v>136</v>
      </c>
      <c r="DI30" s="7">
        <v>1630</v>
      </c>
      <c r="DJ30" s="52">
        <v>106</v>
      </c>
      <c r="DK30" s="27">
        <v>26</v>
      </c>
      <c r="DL30" s="27">
        <v>69</v>
      </c>
      <c r="DM30" s="63">
        <v>0</v>
      </c>
      <c r="DN30" s="27">
        <v>0</v>
      </c>
      <c r="DO30" s="64">
        <v>0</v>
      </c>
      <c r="DP30" s="65">
        <v>1252</v>
      </c>
      <c r="DQ30" s="66">
        <v>1194</v>
      </c>
      <c r="DR30" s="65">
        <v>264</v>
      </c>
      <c r="DS30" s="64">
        <v>106</v>
      </c>
      <c r="DT30" s="65">
        <v>609</v>
      </c>
      <c r="DV30" s="7" t="s">
        <v>224</v>
      </c>
      <c r="DW30" s="7">
        <v>834</v>
      </c>
      <c r="DX30" s="52">
        <v>1653</v>
      </c>
      <c r="DY30" s="7">
        <v>630</v>
      </c>
      <c r="DZ30" s="7">
        <v>207</v>
      </c>
      <c r="EA30" s="7">
        <v>0</v>
      </c>
      <c r="EB30" s="52">
        <v>2042</v>
      </c>
      <c r="EC30" s="7">
        <v>294</v>
      </c>
      <c r="ED30" s="52">
        <v>1024</v>
      </c>
      <c r="EE30" s="52">
        <v>4100</v>
      </c>
      <c r="EF30" s="52">
        <v>2194</v>
      </c>
      <c r="EG30" s="7">
        <v>148</v>
      </c>
      <c r="EH30" s="60">
        <v>2000</v>
      </c>
    </row>
    <row r="31" spans="1:138" ht="13.5" customHeight="1">
      <c r="A31" s="14" t="s">
        <v>40</v>
      </c>
      <c r="B31" s="15">
        <v>43800</v>
      </c>
      <c r="C31" s="16">
        <v>1646800</v>
      </c>
      <c r="D31" s="16">
        <v>911380</v>
      </c>
      <c r="E31" s="16">
        <v>746780</v>
      </c>
      <c r="F31" s="16">
        <v>5020224</v>
      </c>
      <c r="G31" s="16">
        <v>1271699</v>
      </c>
      <c r="H31" s="16">
        <v>3589580</v>
      </c>
      <c r="I31" s="16">
        <v>898270</v>
      </c>
      <c r="J31" s="16">
        <v>729780</v>
      </c>
      <c r="K31" s="15">
        <v>858410</v>
      </c>
      <c r="L31" s="15">
        <v>1256605</v>
      </c>
      <c r="M31" s="15">
        <v>874690</v>
      </c>
      <c r="N31" s="17">
        <f t="shared" si="0"/>
        <v>17848018</v>
      </c>
      <c r="O31" s="18" t="s">
        <v>40</v>
      </c>
      <c r="P31" s="30">
        <v>63000</v>
      </c>
      <c r="Q31" s="30">
        <v>1815821</v>
      </c>
      <c r="R31" s="27">
        <v>938500</v>
      </c>
      <c r="S31" s="31">
        <v>940300</v>
      </c>
      <c r="T31" s="31">
        <v>4201650</v>
      </c>
      <c r="U31" s="31">
        <v>97750</v>
      </c>
      <c r="V31" s="31">
        <v>1809400</v>
      </c>
      <c r="W31" s="31">
        <v>919450</v>
      </c>
      <c r="X31" s="31">
        <v>888950</v>
      </c>
      <c r="Y31" s="27">
        <v>2305250</v>
      </c>
      <c r="Z31" s="31">
        <v>3244700</v>
      </c>
      <c r="AA31" s="27">
        <v>956700</v>
      </c>
      <c r="AB31" s="22">
        <f t="shared" si="1"/>
        <v>18181471</v>
      </c>
      <c r="AC31" s="18" t="s">
        <v>40</v>
      </c>
      <c r="AD31" s="23">
        <v>41250</v>
      </c>
      <c r="AE31" s="23">
        <v>1898574</v>
      </c>
      <c r="AF31" s="23">
        <v>997812</v>
      </c>
      <c r="AG31" s="23">
        <v>993562</v>
      </c>
      <c r="AH31" s="23">
        <v>1084518</v>
      </c>
      <c r="AI31" s="23">
        <v>3679412</v>
      </c>
      <c r="AJ31" s="23">
        <v>1000712</v>
      </c>
      <c r="AK31" s="23">
        <v>1337562</v>
      </c>
      <c r="AL31" s="23">
        <v>57150</v>
      </c>
      <c r="AM31" s="23">
        <v>1927724</v>
      </c>
      <c r="AN31" s="23">
        <v>1300</v>
      </c>
      <c r="AO31" s="23">
        <v>75850</v>
      </c>
      <c r="AP31" s="24">
        <f t="shared" si="2"/>
        <v>13095426</v>
      </c>
      <c r="AQ31" s="23">
        <v>1905624</v>
      </c>
      <c r="AR31" s="23">
        <v>0</v>
      </c>
      <c r="AS31" s="23">
        <v>2803900</v>
      </c>
      <c r="AT31" s="23">
        <v>1300</v>
      </c>
      <c r="AU31" s="23">
        <v>720300</v>
      </c>
      <c r="AV31" s="23">
        <v>486800</v>
      </c>
      <c r="AW31" s="23">
        <v>101300</v>
      </c>
      <c r="AX31" s="23">
        <v>357700</v>
      </c>
      <c r="AY31" s="23">
        <v>91300</v>
      </c>
      <c r="AZ31" s="23">
        <v>1585900</v>
      </c>
      <c r="BA31" s="23">
        <v>31300</v>
      </c>
      <c r="BB31" s="23">
        <v>1000</v>
      </c>
      <c r="BC31" s="24">
        <f t="shared" si="3"/>
        <v>8086424</v>
      </c>
      <c r="BD31" s="37" t="s">
        <v>137</v>
      </c>
      <c r="BE31" s="7">
        <v>100</v>
      </c>
      <c r="BF31" s="52">
        <v>61</v>
      </c>
      <c r="BG31" s="27">
        <v>2516</v>
      </c>
      <c r="BH31" s="27">
        <v>824</v>
      </c>
      <c r="BI31" s="63">
        <v>609</v>
      </c>
      <c r="BJ31" s="27">
        <v>889</v>
      </c>
      <c r="BK31" s="64">
        <v>869</v>
      </c>
      <c r="BL31" s="65">
        <v>31</v>
      </c>
      <c r="BM31" s="66">
        <v>176</v>
      </c>
      <c r="BN31" s="65">
        <v>124</v>
      </c>
      <c r="BO31" s="64">
        <v>51</v>
      </c>
      <c r="BP31" s="65">
        <v>66</v>
      </c>
      <c r="BQ31" s="24">
        <f t="shared" si="4"/>
        <v>6316</v>
      </c>
      <c r="BR31" s="7" t="s">
        <v>225</v>
      </c>
      <c r="BS31" s="7">
        <v>0</v>
      </c>
      <c r="BT31" s="52">
        <v>4495</v>
      </c>
      <c r="BU31" s="7">
        <v>82</v>
      </c>
      <c r="BV31" s="7">
        <v>79</v>
      </c>
      <c r="BW31" s="7">
        <v>55</v>
      </c>
      <c r="BX31" s="7">
        <v>13</v>
      </c>
      <c r="BY31" s="52">
        <v>1784</v>
      </c>
      <c r="BZ31" s="52">
        <v>1093</v>
      </c>
      <c r="CA31" s="7">
        <v>1</v>
      </c>
      <c r="CB31" s="52">
        <v>2650</v>
      </c>
      <c r="CC31" s="7">
        <v>251</v>
      </c>
      <c r="CD31" s="60">
        <v>1348</v>
      </c>
      <c r="CE31" s="24"/>
      <c r="CF31" s="26" t="s">
        <v>40</v>
      </c>
      <c r="CG31" s="27">
        <f t="shared" si="5"/>
        <v>513418.5</v>
      </c>
      <c r="CH31" s="27">
        <f t="shared" si="6"/>
        <v>1340298.75</v>
      </c>
      <c r="CI31" s="27">
        <f t="shared" si="7"/>
        <v>1412898</v>
      </c>
      <c r="CJ31" s="27">
        <f t="shared" si="8"/>
        <v>670485.5</v>
      </c>
      <c r="CK31" s="27">
        <f t="shared" si="9"/>
        <v>2756673</v>
      </c>
      <c r="CL31" s="27">
        <f t="shared" si="10"/>
        <v>1383915.25</v>
      </c>
      <c r="CM31" s="27">
        <f t="shared" si="11"/>
        <v>1625248</v>
      </c>
      <c r="CN31" s="27">
        <f t="shared" si="12"/>
        <v>878245.5</v>
      </c>
      <c r="CO31" s="27">
        <f t="shared" si="13"/>
        <v>441795</v>
      </c>
      <c r="CP31" s="27">
        <f t="shared" si="14"/>
        <v>1669321</v>
      </c>
      <c r="CQ31" s="27">
        <f t="shared" si="15"/>
        <v>1133476.25</v>
      </c>
      <c r="CR31" s="27">
        <f t="shared" si="16"/>
        <v>477060</v>
      </c>
      <c r="CS31" s="27">
        <f t="shared" si="17"/>
        <v>14302834.75</v>
      </c>
      <c r="CT31" s="18" t="s">
        <v>40</v>
      </c>
      <c r="CU31" s="28">
        <f aca="true" t="shared" si="45" ref="CU31:DF31">+CG31/$CS$31</f>
        <v>0.035896275736528385</v>
      </c>
      <c r="CV31" s="28">
        <f t="shared" si="45"/>
        <v>0.09370860905737585</v>
      </c>
      <c r="CW31" s="28">
        <f t="shared" si="45"/>
        <v>0.09878447347649039</v>
      </c>
      <c r="CX31" s="28">
        <f t="shared" si="45"/>
        <v>0.04687780511482173</v>
      </c>
      <c r="CY31" s="28">
        <f t="shared" si="45"/>
        <v>0.19273612875937057</v>
      </c>
      <c r="CZ31" s="28">
        <f t="shared" si="45"/>
        <v>0.09675810943701213</v>
      </c>
      <c r="DA31" s="28">
        <f t="shared" si="45"/>
        <v>0.11363118070003571</v>
      </c>
      <c r="DB31" s="28">
        <f t="shared" si="45"/>
        <v>0.06140359693381761</v>
      </c>
      <c r="DC31" s="28">
        <f t="shared" si="45"/>
        <v>0.030888632059459402</v>
      </c>
      <c r="DD31" s="28">
        <f t="shared" si="45"/>
        <v>0.11671259782960157</v>
      </c>
      <c r="DE31" s="28">
        <f t="shared" si="45"/>
        <v>0.07924836368538761</v>
      </c>
      <c r="DF31" s="28">
        <f t="shared" si="45"/>
        <v>0.033354227210099036</v>
      </c>
      <c r="DG31" s="29">
        <f t="shared" si="19"/>
        <v>1</v>
      </c>
      <c r="DH31" s="37" t="s">
        <v>137</v>
      </c>
      <c r="DI31" s="7">
        <v>100</v>
      </c>
      <c r="DJ31" s="52">
        <v>61</v>
      </c>
      <c r="DK31" s="27">
        <v>2516</v>
      </c>
      <c r="DL31" s="27">
        <v>824</v>
      </c>
      <c r="DM31" s="63">
        <v>609</v>
      </c>
      <c r="DN31" s="27">
        <v>889</v>
      </c>
      <c r="DO31" s="64">
        <v>869</v>
      </c>
      <c r="DP31" s="65">
        <v>31</v>
      </c>
      <c r="DQ31" s="66">
        <v>176</v>
      </c>
      <c r="DR31" s="65">
        <v>124</v>
      </c>
      <c r="DS31" s="64">
        <v>51</v>
      </c>
      <c r="DT31" s="65">
        <v>66</v>
      </c>
      <c r="DV31" s="7" t="s">
        <v>225</v>
      </c>
      <c r="DW31" s="7">
        <v>0</v>
      </c>
      <c r="DX31" s="52">
        <v>4495</v>
      </c>
      <c r="DY31" s="7">
        <v>82</v>
      </c>
      <c r="DZ31" s="7">
        <v>79</v>
      </c>
      <c r="EA31" s="7">
        <v>55</v>
      </c>
      <c r="EB31" s="7">
        <v>13</v>
      </c>
      <c r="EC31" s="52">
        <v>1784</v>
      </c>
      <c r="ED31" s="52">
        <v>1093</v>
      </c>
      <c r="EE31" s="7">
        <v>1</v>
      </c>
      <c r="EF31" s="52">
        <v>2650</v>
      </c>
      <c r="EG31" s="7">
        <v>251</v>
      </c>
      <c r="EH31" s="60">
        <v>1348</v>
      </c>
    </row>
    <row r="32" spans="1:138" ht="15" customHeight="1">
      <c r="A32" s="14" t="s">
        <v>41</v>
      </c>
      <c r="B32" s="15">
        <v>900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5">
        <v>0</v>
      </c>
      <c r="L32" s="15">
        <v>0</v>
      </c>
      <c r="M32" s="15">
        <v>0</v>
      </c>
      <c r="N32" s="17">
        <f t="shared" si="0"/>
        <v>900</v>
      </c>
      <c r="O32" s="18" t="s">
        <v>41</v>
      </c>
      <c r="P32" s="30">
        <v>0</v>
      </c>
      <c r="Q32" s="30">
        <v>0</v>
      </c>
      <c r="R32" s="27">
        <v>0</v>
      </c>
      <c r="S32" s="31">
        <v>0</v>
      </c>
      <c r="T32" s="31">
        <v>500000</v>
      </c>
      <c r="U32" s="31">
        <v>0</v>
      </c>
      <c r="V32" s="31">
        <v>0</v>
      </c>
      <c r="W32" s="31">
        <v>500000</v>
      </c>
      <c r="X32" s="31">
        <v>0</v>
      </c>
      <c r="Y32" s="27">
        <v>968756</v>
      </c>
      <c r="Z32" s="31">
        <v>968756</v>
      </c>
      <c r="AA32" s="27">
        <v>0</v>
      </c>
      <c r="AB32" s="22">
        <f t="shared" si="1"/>
        <v>2937512</v>
      </c>
      <c r="AC32" s="18" t="s">
        <v>41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>
        <f t="shared" si="2"/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602516</v>
      </c>
      <c r="AV32" s="23"/>
      <c r="AW32" s="23">
        <v>466668</v>
      </c>
      <c r="AX32" s="23">
        <v>466666</v>
      </c>
      <c r="AY32" s="23">
        <v>466666</v>
      </c>
      <c r="AZ32" s="23">
        <v>466666</v>
      </c>
      <c r="BA32" s="23">
        <v>0</v>
      </c>
      <c r="BB32" s="23">
        <v>0</v>
      </c>
      <c r="BC32" s="24">
        <f t="shared" si="3"/>
        <v>2469182</v>
      </c>
      <c r="BD32" s="37" t="s">
        <v>41</v>
      </c>
      <c r="BE32" s="7">
        <v>0</v>
      </c>
      <c r="BF32" s="52">
        <v>933</v>
      </c>
      <c r="BG32" s="27">
        <v>0</v>
      </c>
      <c r="BH32" s="27">
        <v>1400</v>
      </c>
      <c r="BI32" s="63">
        <v>0</v>
      </c>
      <c r="BJ32" s="27">
        <v>0</v>
      </c>
      <c r="BK32" s="64">
        <v>0</v>
      </c>
      <c r="BL32" s="65">
        <v>0</v>
      </c>
      <c r="BM32" s="66">
        <v>0</v>
      </c>
      <c r="BN32" s="65">
        <v>0</v>
      </c>
      <c r="BO32" s="64">
        <v>0</v>
      </c>
      <c r="BP32" s="65">
        <v>0</v>
      </c>
      <c r="BQ32" s="24">
        <f t="shared" si="4"/>
        <v>2333</v>
      </c>
      <c r="BR32" s="7" t="s">
        <v>226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313</v>
      </c>
      <c r="CA32" s="7">
        <v>0</v>
      </c>
      <c r="CB32" s="7">
        <v>0</v>
      </c>
      <c r="CC32" s="7">
        <v>0</v>
      </c>
      <c r="CD32" s="7" t="s">
        <v>201</v>
      </c>
      <c r="CE32" s="24"/>
      <c r="CF32" s="26" t="s">
        <v>41</v>
      </c>
      <c r="CG32" s="27">
        <f t="shared" si="5"/>
        <v>225</v>
      </c>
      <c r="CH32" s="27">
        <f t="shared" si="6"/>
        <v>0</v>
      </c>
      <c r="CI32" s="27">
        <f t="shared" si="7"/>
        <v>0</v>
      </c>
      <c r="CJ32" s="27">
        <f t="shared" si="8"/>
        <v>0</v>
      </c>
      <c r="CK32" s="27">
        <f t="shared" si="9"/>
        <v>275629</v>
      </c>
      <c r="CL32" s="27">
        <f t="shared" si="10"/>
        <v>0</v>
      </c>
      <c r="CM32" s="27">
        <f t="shared" si="11"/>
        <v>116667</v>
      </c>
      <c r="CN32" s="27">
        <f t="shared" si="12"/>
        <v>241666.5</v>
      </c>
      <c r="CO32" s="27">
        <f t="shared" si="13"/>
        <v>116666.5</v>
      </c>
      <c r="CP32" s="27">
        <f t="shared" si="14"/>
        <v>358855.5</v>
      </c>
      <c r="CQ32" s="27">
        <f t="shared" si="15"/>
        <v>242189</v>
      </c>
      <c r="CR32" s="27">
        <f t="shared" si="16"/>
        <v>0</v>
      </c>
      <c r="CS32" s="27">
        <f t="shared" si="17"/>
        <v>1351898.5</v>
      </c>
      <c r="CT32" s="18" t="s">
        <v>41</v>
      </c>
      <c r="CU32" s="28">
        <f aca="true" t="shared" si="46" ref="CU32:DF32">+CG32/$CS$32</f>
        <v>0.00016643261309928222</v>
      </c>
      <c r="CV32" s="28">
        <f t="shared" si="46"/>
        <v>0</v>
      </c>
      <c r="CW32" s="28">
        <f t="shared" si="46"/>
        <v>0</v>
      </c>
      <c r="CX32" s="28">
        <f t="shared" si="46"/>
        <v>0</v>
      </c>
      <c r="CY32" s="28">
        <f t="shared" si="46"/>
        <v>0.2038829098486314</v>
      </c>
      <c r="CZ32" s="28">
        <f t="shared" si="46"/>
        <v>0</v>
      </c>
      <c r="DA32" s="28">
        <f t="shared" si="46"/>
        <v>0.08629863854423982</v>
      </c>
      <c r="DB32" s="28">
        <f t="shared" si="46"/>
        <v>0.17876083152692307</v>
      </c>
      <c r="DC32" s="28">
        <f t="shared" si="46"/>
        <v>0.08629826869398849</v>
      </c>
      <c r="DD32" s="28">
        <f t="shared" si="46"/>
        <v>0.2654455937335532</v>
      </c>
      <c r="DE32" s="28">
        <f t="shared" si="46"/>
        <v>0.17914732503956474</v>
      </c>
      <c r="DF32" s="28">
        <f t="shared" si="46"/>
        <v>0</v>
      </c>
      <c r="DG32" s="29">
        <f t="shared" si="19"/>
        <v>1</v>
      </c>
      <c r="DH32" s="37" t="s">
        <v>41</v>
      </c>
      <c r="DI32" s="7">
        <v>0</v>
      </c>
      <c r="DJ32" s="52">
        <v>933</v>
      </c>
      <c r="DK32" s="27">
        <v>0</v>
      </c>
      <c r="DL32" s="27">
        <v>1400</v>
      </c>
      <c r="DM32" s="63">
        <v>0</v>
      </c>
      <c r="DN32" s="27">
        <v>0</v>
      </c>
      <c r="DO32" s="64">
        <v>0</v>
      </c>
      <c r="DP32" s="65">
        <v>0</v>
      </c>
      <c r="DQ32" s="66">
        <v>0</v>
      </c>
      <c r="DR32" s="65">
        <v>0</v>
      </c>
      <c r="DS32" s="64">
        <v>0</v>
      </c>
      <c r="DT32" s="65">
        <v>0</v>
      </c>
      <c r="DV32" s="7" t="s">
        <v>226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313</v>
      </c>
      <c r="EE32" s="7">
        <v>0</v>
      </c>
      <c r="EF32" s="7">
        <v>0</v>
      </c>
      <c r="EG32" s="7">
        <v>0</v>
      </c>
      <c r="EH32" s="7" t="s">
        <v>201</v>
      </c>
    </row>
    <row r="33" spans="1:138" ht="13.5" customHeight="1">
      <c r="A33" s="14" t="s">
        <v>42</v>
      </c>
      <c r="B33" s="15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5">
        <v>0</v>
      </c>
      <c r="L33" s="15">
        <v>0</v>
      </c>
      <c r="M33" s="15">
        <v>0</v>
      </c>
      <c r="N33" s="17">
        <f t="shared" si="0"/>
        <v>0</v>
      </c>
      <c r="O33" s="18" t="s">
        <v>42</v>
      </c>
      <c r="P33" s="30">
        <v>0</v>
      </c>
      <c r="Q33" s="30">
        <v>0</v>
      </c>
      <c r="R33" s="27">
        <v>0</v>
      </c>
      <c r="S33" s="31">
        <v>216866.92</v>
      </c>
      <c r="T33" s="31">
        <v>619749</v>
      </c>
      <c r="U33" s="31">
        <v>209102</v>
      </c>
      <c r="V33" s="31">
        <v>548330</v>
      </c>
      <c r="W33" s="31">
        <v>48953</v>
      </c>
      <c r="X33" s="31">
        <v>71580.85</v>
      </c>
      <c r="Y33" s="27">
        <v>206722.5</v>
      </c>
      <c r="Z33" s="31">
        <v>455053.5</v>
      </c>
      <c r="AA33" s="27">
        <v>348007.5</v>
      </c>
      <c r="AB33" s="22">
        <f t="shared" si="1"/>
        <v>2724365.27</v>
      </c>
      <c r="AC33" s="18" t="s">
        <v>42</v>
      </c>
      <c r="AD33" s="23">
        <v>687898</v>
      </c>
      <c r="AE33" s="23">
        <v>36760</v>
      </c>
      <c r="AF33" s="23">
        <v>674815</v>
      </c>
      <c r="AG33" s="23">
        <v>5834201</v>
      </c>
      <c r="AH33" s="23">
        <v>5644</v>
      </c>
      <c r="AI33" s="23">
        <v>540490</v>
      </c>
      <c r="AJ33" s="23">
        <v>47329</v>
      </c>
      <c r="AK33" s="23">
        <v>175500</v>
      </c>
      <c r="AL33" s="23">
        <v>570</v>
      </c>
      <c r="AM33" s="23">
        <v>204665</v>
      </c>
      <c r="AN33" s="23">
        <v>2500</v>
      </c>
      <c r="AO33" s="23">
        <v>1999956</v>
      </c>
      <c r="AP33" s="24">
        <f t="shared" si="2"/>
        <v>10210328</v>
      </c>
      <c r="AQ33" s="23">
        <v>4386525</v>
      </c>
      <c r="AR33" s="23">
        <v>35484</v>
      </c>
      <c r="AS33" s="23">
        <v>520410</v>
      </c>
      <c r="AT33" s="23">
        <v>4158</v>
      </c>
      <c r="AU33" s="23">
        <v>948282</v>
      </c>
      <c r="AV33" s="23">
        <v>26558070</v>
      </c>
      <c r="AW33" s="23">
        <v>70000</v>
      </c>
      <c r="AX33" s="23">
        <v>368483</v>
      </c>
      <c r="AY33" s="23">
        <v>87500</v>
      </c>
      <c r="AZ33" s="23">
        <v>0</v>
      </c>
      <c r="BA33" s="23">
        <v>300241</v>
      </c>
      <c r="BB33" s="23">
        <v>2418000</v>
      </c>
      <c r="BC33" s="24">
        <f t="shared" si="3"/>
        <v>35697153</v>
      </c>
      <c r="BD33" s="37" t="s">
        <v>42</v>
      </c>
      <c r="BE33" s="7">
        <v>0</v>
      </c>
      <c r="BF33" s="52">
        <v>917</v>
      </c>
      <c r="BG33" s="27">
        <v>45</v>
      </c>
      <c r="BH33" s="27">
        <v>670</v>
      </c>
      <c r="BI33" s="63">
        <v>59</v>
      </c>
      <c r="BJ33" s="27">
        <v>5</v>
      </c>
      <c r="BK33" s="64">
        <v>30033</v>
      </c>
      <c r="BL33" s="65">
        <v>139</v>
      </c>
      <c r="BM33" s="66">
        <v>435</v>
      </c>
      <c r="BN33" s="65">
        <v>1343</v>
      </c>
      <c r="BO33" s="64">
        <v>2149</v>
      </c>
      <c r="BP33" s="65">
        <v>3072</v>
      </c>
      <c r="BQ33" s="24">
        <f t="shared" si="4"/>
        <v>38867</v>
      </c>
      <c r="BR33" s="7" t="s">
        <v>42</v>
      </c>
      <c r="BS33" s="7">
        <v>169</v>
      </c>
      <c r="BT33" s="7">
        <v>208</v>
      </c>
      <c r="BU33" s="52">
        <v>3045</v>
      </c>
      <c r="BV33" s="52">
        <v>1526</v>
      </c>
      <c r="BW33" s="52">
        <v>1522</v>
      </c>
      <c r="BX33" s="7">
        <v>783</v>
      </c>
      <c r="BY33" s="7">
        <v>202</v>
      </c>
      <c r="BZ33" s="52">
        <v>1078</v>
      </c>
      <c r="CA33" s="7">
        <v>418</v>
      </c>
      <c r="CB33" s="7">
        <v>365</v>
      </c>
      <c r="CC33" s="7">
        <v>184</v>
      </c>
      <c r="CD33" s="60">
        <v>1675</v>
      </c>
      <c r="CE33" s="24"/>
      <c r="CF33" s="26" t="s">
        <v>42</v>
      </c>
      <c r="CG33" s="27">
        <f t="shared" si="5"/>
        <v>1268605.75</v>
      </c>
      <c r="CH33" s="27">
        <f t="shared" si="6"/>
        <v>18061</v>
      </c>
      <c r="CI33" s="27">
        <f t="shared" si="7"/>
        <v>298806.25</v>
      </c>
      <c r="CJ33" s="27">
        <f t="shared" si="8"/>
        <v>1513806.48</v>
      </c>
      <c r="CK33" s="27">
        <f t="shared" si="9"/>
        <v>393418.75</v>
      </c>
      <c r="CL33" s="27">
        <f t="shared" si="10"/>
        <v>6826915.5</v>
      </c>
      <c r="CM33" s="27">
        <f t="shared" si="11"/>
        <v>166414.75</v>
      </c>
      <c r="CN33" s="27">
        <f t="shared" si="12"/>
        <v>148234</v>
      </c>
      <c r="CO33" s="27">
        <f t="shared" si="13"/>
        <v>39912.7125</v>
      </c>
      <c r="CP33" s="27">
        <f t="shared" si="14"/>
        <v>102846.875</v>
      </c>
      <c r="CQ33" s="27">
        <f t="shared" si="15"/>
        <v>189448.625</v>
      </c>
      <c r="CR33" s="27">
        <f t="shared" si="16"/>
        <v>1191490.875</v>
      </c>
      <c r="CS33" s="27">
        <f t="shared" si="17"/>
        <v>12157961.5675</v>
      </c>
      <c r="CT33" s="18" t="s">
        <v>42</v>
      </c>
      <c r="CU33" s="28">
        <f aca="true" t="shared" si="47" ref="CU33:DF33">+CG33/$CS$33</f>
        <v>0.10434362232162073</v>
      </c>
      <c r="CV33" s="28">
        <f t="shared" si="47"/>
        <v>0.0014855286307434692</v>
      </c>
      <c r="CW33" s="28">
        <f t="shared" si="47"/>
        <v>0.024577002348712185</v>
      </c>
      <c r="CX33" s="28">
        <f t="shared" si="47"/>
        <v>0.12451153687198888</v>
      </c>
      <c r="CY33" s="28">
        <f t="shared" si="47"/>
        <v>0.03235894009170629</v>
      </c>
      <c r="CZ33" s="28">
        <f t="shared" si="47"/>
        <v>0.5615181017062382</v>
      </c>
      <c r="DA33" s="28">
        <f t="shared" si="47"/>
        <v>0.013687718050108896</v>
      </c>
      <c r="DB33" s="28">
        <f t="shared" si="47"/>
        <v>0.012192339906407588</v>
      </c>
      <c r="DC33" s="28">
        <f t="shared" si="47"/>
        <v>0.0032828457532463736</v>
      </c>
      <c r="DD33" s="28">
        <f t="shared" si="47"/>
        <v>0.00845922027545511</v>
      </c>
      <c r="DE33" s="28">
        <f t="shared" si="47"/>
        <v>0.0155822687831506</v>
      </c>
      <c r="DF33" s="28">
        <f t="shared" si="47"/>
        <v>0.09800087526062168</v>
      </c>
      <c r="DG33" s="29">
        <f t="shared" si="19"/>
        <v>1</v>
      </c>
      <c r="DH33" s="37" t="s">
        <v>42</v>
      </c>
      <c r="DI33" s="7">
        <v>0</v>
      </c>
      <c r="DJ33" s="52">
        <v>917</v>
      </c>
      <c r="DK33" s="27">
        <v>45</v>
      </c>
      <c r="DL33" s="27">
        <v>670</v>
      </c>
      <c r="DM33" s="63">
        <v>59</v>
      </c>
      <c r="DN33" s="27">
        <v>5</v>
      </c>
      <c r="DO33" s="64">
        <v>30033</v>
      </c>
      <c r="DP33" s="65">
        <v>139</v>
      </c>
      <c r="DQ33" s="66">
        <v>435</v>
      </c>
      <c r="DR33" s="65">
        <v>1343</v>
      </c>
      <c r="DS33" s="64">
        <v>2149</v>
      </c>
      <c r="DT33" s="65">
        <v>3072</v>
      </c>
      <c r="DV33" s="7" t="s">
        <v>42</v>
      </c>
      <c r="DW33" s="7">
        <v>169</v>
      </c>
      <c r="DX33" s="7">
        <v>208</v>
      </c>
      <c r="DY33" s="52">
        <v>3045</v>
      </c>
      <c r="DZ33" s="52">
        <v>1526</v>
      </c>
      <c r="EA33" s="52">
        <v>1522</v>
      </c>
      <c r="EB33" s="7">
        <v>783</v>
      </c>
      <c r="EC33" s="7">
        <v>202</v>
      </c>
      <c r="ED33" s="52">
        <v>1078</v>
      </c>
      <c r="EE33" s="7">
        <v>418</v>
      </c>
      <c r="EF33" s="7">
        <v>365</v>
      </c>
      <c r="EG33" s="7">
        <v>184</v>
      </c>
      <c r="EH33" s="60">
        <v>1675</v>
      </c>
    </row>
    <row r="34" spans="1:138" ht="15" customHeight="1">
      <c r="A34" s="14" t="s">
        <v>43</v>
      </c>
      <c r="B34" s="15">
        <v>3875697</v>
      </c>
      <c r="C34" s="16">
        <v>692472</v>
      </c>
      <c r="D34" s="16">
        <v>919408</v>
      </c>
      <c r="E34" s="16">
        <v>686467</v>
      </c>
      <c r="F34" s="16">
        <v>1812064</v>
      </c>
      <c r="G34" s="16">
        <v>1527541</v>
      </c>
      <c r="H34" s="16">
        <v>1056038</v>
      </c>
      <c r="I34" s="16">
        <v>10968350</v>
      </c>
      <c r="J34" s="16">
        <v>798782</v>
      </c>
      <c r="K34" s="15">
        <v>922282</v>
      </c>
      <c r="L34" s="15">
        <v>2116158</v>
      </c>
      <c r="M34" s="15">
        <v>2632838</v>
      </c>
      <c r="N34" s="17">
        <f t="shared" si="0"/>
        <v>28008097</v>
      </c>
      <c r="O34" s="18" t="s">
        <v>43</v>
      </c>
      <c r="P34" s="30">
        <v>535474</v>
      </c>
      <c r="Q34" s="30">
        <v>1320653</v>
      </c>
      <c r="R34" s="27">
        <v>8364282</v>
      </c>
      <c r="S34" s="31">
        <v>1094992</v>
      </c>
      <c r="T34" s="31">
        <v>2036289</v>
      </c>
      <c r="U34" s="31">
        <v>2395412</v>
      </c>
      <c r="V34" s="31">
        <v>1596520</v>
      </c>
      <c r="W34" s="31">
        <v>2778652</v>
      </c>
      <c r="X34" s="31">
        <v>30452267</v>
      </c>
      <c r="Y34" s="27">
        <v>1090639</v>
      </c>
      <c r="Z34" s="31">
        <v>1750491</v>
      </c>
      <c r="AA34" s="27">
        <v>710944</v>
      </c>
      <c r="AB34" s="22">
        <f t="shared" si="1"/>
        <v>54126615</v>
      </c>
      <c r="AC34" s="18" t="s">
        <v>43</v>
      </c>
      <c r="AD34" s="23"/>
      <c r="AE34" s="23"/>
      <c r="AF34" s="23">
        <v>259142</v>
      </c>
      <c r="AG34" s="23">
        <v>642083</v>
      </c>
      <c r="AH34" s="23">
        <v>192225</v>
      </c>
      <c r="AI34" s="23">
        <v>129842</v>
      </c>
      <c r="AJ34" s="23">
        <v>318198</v>
      </c>
      <c r="AK34" s="23">
        <v>299284</v>
      </c>
      <c r="AL34" s="23">
        <v>141680</v>
      </c>
      <c r="AM34" s="23">
        <v>223514</v>
      </c>
      <c r="AN34" s="23">
        <v>481387</v>
      </c>
      <c r="AO34" s="23">
        <v>1006066</v>
      </c>
      <c r="AP34" s="24">
        <f t="shared" si="2"/>
        <v>3693421</v>
      </c>
      <c r="AQ34" s="23"/>
      <c r="AR34" s="23">
        <v>0</v>
      </c>
      <c r="AS34" s="23">
        <v>33700</v>
      </c>
      <c r="AT34" s="23">
        <v>80800</v>
      </c>
      <c r="AU34" s="23">
        <v>134542</v>
      </c>
      <c r="AV34" s="23">
        <v>159433</v>
      </c>
      <c r="AW34" s="23">
        <v>268262</v>
      </c>
      <c r="AX34" s="23">
        <v>312296</v>
      </c>
      <c r="AY34" s="23">
        <v>314844</v>
      </c>
      <c r="AZ34" s="23">
        <v>938487</v>
      </c>
      <c r="BA34" s="23">
        <v>2310015</v>
      </c>
      <c r="BB34" s="23">
        <v>660000</v>
      </c>
      <c r="BC34" s="24">
        <f t="shared" si="3"/>
        <v>5212379</v>
      </c>
      <c r="BD34" s="37" t="s">
        <v>138</v>
      </c>
      <c r="BE34" s="7">
        <f>211+935</f>
        <v>1146</v>
      </c>
      <c r="BF34" s="52">
        <f>508+606</f>
        <v>1114</v>
      </c>
      <c r="BG34" s="27">
        <f>1023+1569</f>
        <v>2592</v>
      </c>
      <c r="BH34" s="27">
        <f>442+927</f>
        <v>1369</v>
      </c>
      <c r="BI34" s="63">
        <f>439+887</f>
        <v>1326</v>
      </c>
      <c r="BJ34" s="27">
        <f>617+975</f>
        <v>1592</v>
      </c>
      <c r="BK34" s="64">
        <f>525+2344</f>
        <v>2869</v>
      </c>
      <c r="BL34" s="65">
        <f>627+566</f>
        <v>1193</v>
      </c>
      <c r="BM34" s="66">
        <f>338+286</f>
        <v>624</v>
      </c>
      <c r="BN34" s="65">
        <f>569+1245</f>
        <v>1814</v>
      </c>
      <c r="BO34" s="64">
        <f>807+1416</f>
        <v>2223</v>
      </c>
      <c r="BP34" s="65">
        <f>625+911</f>
        <v>1536</v>
      </c>
      <c r="BQ34" s="24">
        <f t="shared" si="4"/>
        <v>19398</v>
      </c>
      <c r="BR34" s="7" t="s">
        <v>228</v>
      </c>
      <c r="BS34" s="7">
        <v>776</v>
      </c>
      <c r="BT34" s="7">
        <v>644</v>
      </c>
      <c r="BU34" s="52">
        <v>1217</v>
      </c>
      <c r="BV34" s="7">
        <v>690</v>
      </c>
      <c r="BW34" s="7">
        <v>337</v>
      </c>
      <c r="BX34" s="7">
        <v>938</v>
      </c>
      <c r="BY34" s="7">
        <v>357</v>
      </c>
      <c r="BZ34" s="7">
        <v>0</v>
      </c>
      <c r="CA34" s="7">
        <v>383</v>
      </c>
      <c r="CB34" s="52">
        <v>4456</v>
      </c>
      <c r="CC34" s="7">
        <v>296</v>
      </c>
      <c r="CD34" s="7">
        <v>573</v>
      </c>
      <c r="CE34" s="24"/>
      <c r="CF34" s="26" t="s">
        <v>43</v>
      </c>
      <c r="CG34" s="27">
        <f t="shared" si="5"/>
        <v>1102792.75</v>
      </c>
      <c r="CH34" s="27">
        <f t="shared" si="6"/>
        <v>503281.25</v>
      </c>
      <c r="CI34" s="27">
        <f t="shared" si="7"/>
        <v>2394133</v>
      </c>
      <c r="CJ34" s="27">
        <f t="shared" si="8"/>
        <v>626085.5</v>
      </c>
      <c r="CK34" s="27">
        <f t="shared" si="9"/>
        <v>1043780</v>
      </c>
      <c r="CL34" s="27">
        <f t="shared" si="10"/>
        <v>1053057</v>
      </c>
      <c r="CM34" s="27">
        <f t="shared" si="11"/>
        <v>809754.5</v>
      </c>
      <c r="CN34" s="27">
        <f t="shared" si="12"/>
        <v>3589645.5</v>
      </c>
      <c r="CO34" s="27">
        <f t="shared" si="13"/>
        <v>7926893.25</v>
      </c>
      <c r="CP34" s="27">
        <f t="shared" si="14"/>
        <v>793730.5</v>
      </c>
      <c r="CQ34" s="27">
        <f t="shared" si="15"/>
        <v>1664512.75</v>
      </c>
      <c r="CR34" s="27">
        <f t="shared" si="16"/>
        <v>1252462</v>
      </c>
      <c r="CS34" s="27">
        <f t="shared" si="17"/>
        <v>22760128</v>
      </c>
      <c r="CT34" s="18" t="s">
        <v>43</v>
      </c>
      <c r="CU34" s="28">
        <f aca="true" t="shared" si="48" ref="CU34:DF34">+CG34/$CS$34</f>
        <v>0.04845283602974465</v>
      </c>
      <c r="CV34" s="28">
        <f t="shared" si="48"/>
        <v>0.02211240859453866</v>
      </c>
      <c r="CW34" s="28">
        <f t="shared" si="48"/>
        <v>0.10518978627888209</v>
      </c>
      <c r="CX34" s="28">
        <f t="shared" si="48"/>
        <v>0.02750799556136064</v>
      </c>
      <c r="CY34" s="28">
        <f t="shared" si="48"/>
        <v>0.045860023282821606</v>
      </c>
      <c r="CZ34" s="28">
        <f t="shared" si="48"/>
        <v>0.04626762204500783</v>
      </c>
      <c r="DA34" s="28">
        <f t="shared" si="48"/>
        <v>0.03557776564349726</v>
      </c>
      <c r="DB34" s="28">
        <f t="shared" si="48"/>
        <v>0.15771640212216734</v>
      </c>
      <c r="DC34" s="28">
        <f t="shared" si="48"/>
        <v>0.34827981854935086</v>
      </c>
      <c r="DD34" s="28">
        <f t="shared" si="48"/>
        <v>0.03487372742367705</v>
      </c>
      <c r="DE34" s="28">
        <f t="shared" si="48"/>
        <v>0.07313283782938303</v>
      </c>
      <c r="DF34" s="28">
        <f t="shared" si="48"/>
        <v>0.05502877663956899</v>
      </c>
      <c r="DG34" s="29">
        <f t="shared" si="19"/>
        <v>0.9999999999999999</v>
      </c>
      <c r="DH34" s="37" t="s">
        <v>138</v>
      </c>
      <c r="DI34" s="7">
        <f>211+935</f>
        <v>1146</v>
      </c>
      <c r="DJ34" s="52">
        <f>508+606</f>
        <v>1114</v>
      </c>
      <c r="DK34" s="27">
        <f>1023+1569</f>
        <v>2592</v>
      </c>
      <c r="DL34" s="27">
        <f>442+927</f>
        <v>1369</v>
      </c>
      <c r="DM34" s="63">
        <f>439+887</f>
        <v>1326</v>
      </c>
      <c r="DN34" s="27">
        <f>617+975</f>
        <v>1592</v>
      </c>
      <c r="DO34" s="64">
        <f>525+2344</f>
        <v>2869</v>
      </c>
      <c r="DP34" s="65">
        <f>627+566</f>
        <v>1193</v>
      </c>
      <c r="DQ34" s="66">
        <f>338+286</f>
        <v>624</v>
      </c>
      <c r="DR34" s="65">
        <f>569+1245</f>
        <v>1814</v>
      </c>
      <c r="DS34" s="64">
        <f>807+1416</f>
        <v>2223</v>
      </c>
      <c r="DT34" s="65">
        <f>625+911</f>
        <v>1536</v>
      </c>
      <c r="DU34" s="7" t="s">
        <v>46</v>
      </c>
      <c r="DV34" s="7" t="s">
        <v>228</v>
      </c>
      <c r="DW34" s="7">
        <v>776</v>
      </c>
      <c r="DX34" s="7">
        <v>644</v>
      </c>
      <c r="DY34" s="52">
        <v>1217</v>
      </c>
      <c r="DZ34" s="7">
        <v>690</v>
      </c>
      <c r="EA34" s="7">
        <v>337</v>
      </c>
      <c r="EB34" s="7">
        <v>938</v>
      </c>
      <c r="EC34" s="7">
        <v>357</v>
      </c>
      <c r="ED34" s="7">
        <v>0</v>
      </c>
      <c r="EE34" s="7">
        <v>383</v>
      </c>
      <c r="EF34" s="52">
        <v>4456</v>
      </c>
      <c r="EG34" s="7">
        <v>296</v>
      </c>
      <c r="EH34" s="7">
        <v>573</v>
      </c>
    </row>
    <row r="35" spans="1:138" ht="15" customHeight="1">
      <c r="A35" s="14" t="s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7">
        <f t="shared" si="0"/>
        <v>0</v>
      </c>
      <c r="O35" s="18" t="s">
        <v>44</v>
      </c>
      <c r="P35" s="30">
        <v>0</v>
      </c>
      <c r="Q35" s="30">
        <v>0</v>
      </c>
      <c r="R35" s="27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27">
        <v>0</v>
      </c>
      <c r="Z35" s="31">
        <v>0</v>
      </c>
      <c r="AA35" s="27">
        <v>0</v>
      </c>
      <c r="AB35" s="22">
        <f t="shared" si="1"/>
        <v>0</v>
      </c>
      <c r="AC35" s="18" t="s">
        <v>44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>
        <f t="shared" si="2"/>
        <v>0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>
        <f t="shared" si="3"/>
        <v>0</v>
      </c>
      <c r="BE35" s="7" t="s">
        <v>46</v>
      </c>
      <c r="BF35" s="52" t="s">
        <v>46</v>
      </c>
      <c r="BG35" s="27" t="s">
        <v>46</v>
      </c>
      <c r="BH35" s="27" t="s">
        <v>46</v>
      </c>
      <c r="BI35" s="63" t="s">
        <v>46</v>
      </c>
      <c r="BJ35" s="27" t="s">
        <v>46</v>
      </c>
      <c r="BK35" s="64" t="s">
        <v>46</v>
      </c>
      <c r="BL35" s="65" t="s">
        <v>46</v>
      </c>
      <c r="BM35" s="66" t="s">
        <v>46</v>
      </c>
      <c r="BN35" s="65" t="s">
        <v>46</v>
      </c>
      <c r="BO35" s="64" t="s">
        <v>46</v>
      </c>
      <c r="BP35" s="65" t="s">
        <v>46</v>
      </c>
      <c r="BQ35" s="24">
        <f t="shared" si="4"/>
        <v>0</v>
      </c>
      <c r="BR35" s="7" t="s">
        <v>227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 t="s">
        <v>201</v>
      </c>
      <c r="CE35" s="24"/>
      <c r="CF35" s="26" t="s">
        <v>44</v>
      </c>
      <c r="CG35" s="27">
        <f t="shared" si="5"/>
        <v>0</v>
      </c>
      <c r="CH35" s="27">
        <f t="shared" si="6"/>
        <v>0</v>
      </c>
      <c r="CI35" s="27">
        <f t="shared" si="7"/>
        <v>0</v>
      </c>
      <c r="CJ35" s="27">
        <f t="shared" si="8"/>
        <v>0</v>
      </c>
      <c r="CK35" s="27">
        <f t="shared" si="9"/>
        <v>0</v>
      </c>
      <c r="CL35" s="27">
        <f t="shared" si="10"/>
        <v>0</v>
      </c>
      <c r="CM35" s="27">
        <f t="shared" si="11"/>
        <v>0</v>
      </c>
      <c r="CN35" s="27">
        <f t="shared" si="12"/>
        <v>0</v>
      </c>
      <c r="CO35" s="27">
        <f t="shared" si="13"/>
        <v>0</v>
      </c>
      <c r="CP35" s="27">
        <f t="shared" si="14"/>
        <v>0</v>
      </c>
      <c r="CQ35" s="27">
        <f t="shared" si="15"/>
        <v>0</v>
      </c>
      <c r="CR35" s="27">
        <f t="shared" si="16"/>
        <v>0</v>
      </c>
      <c r="CS35" s="27">
        <f t="shared" si="17"/>
        <v>0</v>
      </c>
      <c r="CT35" s="18" t="s">
        <v>44</v>
      </c>
      <c r="CU35" s="28" t="e">
        <f aca="true" t="shared" si="49" ref="CU35:DF35">+CG35/$CS$35</f>
        <v>#DIV/0!</v>
      </c>
      <c r="CV35" s="28" t="e">
        <f t="shared" si="49"/>
        <v>#DIV/0!</v>
      </c>
      <c r="CW35" s="28" t="e">
        <f t="shared" si="49"/>
        <v>#DIV/0!</v>
      </c>
      <c r="CX35" s="28" t="e">
        <f t="shared" si="49"/>
        <v>#DIV/0!</v>
      </c>
      <c r="CY35" s="28" t="e">
        <f t="shared" si="49"/>
        <v>#DIV/0!</v>
      </c>
      <c r="CZ35" s="28" t="e">
        <f t="shared" si="49"/>
        <v>#DIV/0!</v>
      </c>
      <c r="DA35" s="28" t="e">
        <f t="shared" si="49"/>
        <v>#DIV/0!</v>
      </c>
      <c r="DB35" s="28" t="e">
        <f t="shared" si="49"/>
        <v>#DIV/0!</v>
      </c>
      <c r="DC35" s="28" t="e">
        <f t="shared" si="49"/>
        <v>#DIV/0!</v>
      </c>
      <c r="DD35" s="28" t="e">
        <f t="shared" si="49"/>
        <v>#DIV/0!</v>
      </c>
      <c r="DE35" s="28" t="e">
        <f t="shared" si="49"/>
        <v>#DIV/0!</v>
      </c>
      <c r="DF35" s="28" t="e">
        <f t="shared" si="49"/>
        <v>#DIV/0!</v>
      </c>
      <c r="DG35" s="29" t="e">
        <f t="shared" si="19"/>
        <v>#DIV/0!</v>
      </c>
      <c r="DI35" s="7" t="s">
        <v>46</v>
      </c>
      <c r="DJ35" s="52" t="s">
        <v>46</v>
      </c>
      <c r="DK35" s="27" t="s">
        <v>46</v>
      </c>
      <c r="DL35" s="27" t="s">
        <v>46</v>
      </c>
      <c r="DM35" s="63" t="s">
        <v>46</v>
      </c>
      <c r="DN35" s="27" t="s">
        <v>46</v>
      </c>
      <c r="DO35" s="64" t="s">
        <v>46</v>
      </c>
      <c r="DP35" s="65" t="s">
        <v>46</v>
      </c>
      <c r="DQ35" s="66" t="s">
        <v>46</v>
      </c>
      <c r="DR35" s="65" t="s">
        <v>46</v>
      </c>
      <c r="DS35" s="64" t="s">
        <v>46</v>
      </c>
      <c r="DT35" s="65" t="s">
        <v>46</v>
      </c>
      <c r="DV35" s="7" t="s">
        <v>227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 t="s">
        <v>201</v>
      </c>
    </row>
    <row r="36" spans="1:138" ht="15" customHeight="1">
      <c r="A36" s="14" t="s">
        <v>45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7">
        <f t="shared" si="0"/>
        <v>0</v>
      </c>
      <c r="O36" s="18" t="s">
        <v>45</v>
      </c>
      <c r="P36" s="30">
        <v>0</v>
      </c>
      <c r="Q36" s="30">
        <v>0</v>
      </c>
      <c r="R36" s="27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27">
        <v>0</v>
      </c>
      <c r="Z36" s="31">
        <v>0</v>
      </c>
      <c r="AA36" s="27">
        <v>0</v>
      </c>
      <c r="AB36" s="22">
        <f t="shared" si="1"/>
        <v>0</v>
      </c>
      <c r="AC36" s="18" t="s">
        <v>45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>
        <v>9310732</v>
      </c>
      <c r="AO36" s="23"/>
      <c r="AP36" s="24">
        <f t="shared" si="2"/>
        <v>9310732</v>
      </c>
      <c r="AQ36" s="23">
        <v>0</v>
      </c>
      <c r="AR36" s="23"/>
      <c r="AS36" s="23">
        <v>0</v>
      </c>
      <c r="AT36" s="23">
        <v>0</v>
      </c>
      <c r="AU36" s="23">
        <v>0</v>
      </c>
      <c r="AV36" s="23"/>
      <c r="AW36" s="23">
        <v>0</v>
      </c>
      <c r="AX36" s="23"/>
      <c r="AY36" s="23">
        <v>0</v>
      </c>
      <c r="AZ36" s="23"/>
      <c r="BA36" s="23">
        <v>0</v>
      </c>
      <c r="BB36" s="23">
        <v>0</v>
      </c>
      <c r="BC36" s="24">
        <f t="shared" si="3"/>
        <v>0</v>
      </c>
      <c r="BD36" s="37" t="s">
        <v>139</v>
      </c>
      <c r="BE36" s="7">
        <v>0</v>
      </c>
      <c r="BF36" s="52">
        <v>0</v>
      </c>
      <c r="BG36" s="27">
        <v>0</v>
      </c>
      <c r="BH36" s="27">
        <v>0</v>
      </c>
      <c r="BI36" s="63">
        <v>0</v>
      </c>
      <c r="BJ36" s="27">
        <v>0</v>
      </c>
      <c r="BK36" s="64">
        <v>0</v>
      </c>
      <c r="BL36" s="65">
        <v>0</v>
      </c>
      <c r="BM36" s="66">
        <v>0</v>
      </c>
      <c r="BN36" s="65">
        <v>0</v>
      </c>
      <c r="BO36" s="64">
        <v>0</v>
      </c>
      <c r="BP36" s="65">
        <v>0</v>
      </c>
      <c r="BQ36" s="24">
        <f t="shared" si="4"/>
        <v>0</v>
      </c>
      <c r="BR36" s="7" t="s">
        <v>229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776</v>
      </c>
      <c r="CA36" s="7">
        <v>0</v>
      </c>
      <c r="CB36" s="7">
        <v>0</v>
      </c>
      <c r="CC36" s="7">
        <v>0</v>
      </c>
      <c r="CD36" s="7" t="s">
        <v>201</v>
      </c>
      <c r="CE36" s="24"/>
      <c r="CF36" s="26" t="s">
        <v>45</v>
      </c>
      <c r="CG36" s="27">
        <f t="shared" si="5"/>
        <v>0</v>
      </c>
      <c r="CH36" s="27">
        <f t="shared" si="6"/>
        <v>0</v>
      </c>
      <c r="CI36" s="27">
        <f t="shared" si="7"/>
        <v>0</v>
      </c>
      <c r="CJ36" s="27">
        <f t="shared" si="8"/>
        <v>0</v>
      </c>
      <c r="CK36" s="27">
        <f t="shared" si="9"/>
        <v>0</v>
      </c>
      <c r="CL36" s="27">
        <f t="shared" si="10"/>
        <v>0</v>
      </c>
      <c r="CM36" s="27">
        <f t="shared" si="11"/>
        <v>0</v>
      </c>
      <c r="CN36" s="27">
        <f t="shared" si="12"/>
        <v>0</v>
      </c>
      <c r="CO36" s="27">
        <f t="shared" si="13"/>
        <v>0</v>
      </c>
      <c r="CP36" s="27">
        <f t="shared" si="14"/>
        <v>0</v>
      </c>
      <c r="CQ36" s="27">
        <f t="shared" si="15"/>
        <v>2327683</v>
      </c>
      <c r="CR36" s="27">
        <f t="shared" si="16"/>
        <v>0</v>
      </c>
      <c r="CS36" s="27">
        <f t="shared" si="17"/>
        <v>2327683</v>
      </c>
      <c r="CT36" s="18" t="s">
        <v>45</v>
      </c>
      <c r="CU36" s="28">
        <f aca="true" t="shared" si="50" ref="CU36:DF36">+CG36/$CS$36</f>
        <v>0</v>
      </c>
      <c r="CV36" s="28">
        <f t="shared" si="50"/>
        <v>0</v>
      </c>
      <c r="CW36" s="28">
        <f t="shared" si="50"/>
        <v>0</v>
      </c>
      <c r="CX36" s="28">
        <f t="shared" si="50"/>
        <v>0</v>
      </c>
      <c r="CY36" s="28">
        <f t="shared" si="50"/>
        <v>0</v>
      </c>
      <c r="CZ36" s="28">
        <f t="shared" si="50"/>
        <v>0</v>
      </c>
      <c r="DA36" s="28">
        <f t="shared" si="50"/>
        <v>0</v>
      </c>
      <c r="DB36" s="28">
        <f t="shared" si="50"/>
        <v>0</v>
      </c>
      <c r="DC36" s="28">
        <f t="shared" si="50"/>
        <v>0</v>
      </c>
      <c r="DD36" s="28">
        <f t="shared" si="50"/>
        <v>0</v>
      </c>
      <c r="DE36" s="28">
        <f t="shared" si="50"/>
        <v>1</v>
      </c>
      <c r="DF36" s="28">
        <f t="shared" si="50"/>
        <v>0</v>
      </c>
      <c r="DG36" s="29">
        <f t="shared" si="19"/>
        <v>1</v>
      </c>
      <c r="DH36" s="37" t="s">
        <v>139</v>
      </c>
      <c r="DI36" s="7">
        <v>0</v>
      </c>
      <c r="DJ36" s="52">
        <v>0</v>
      </c>
      <c r="DK36" s="27">
        <v>0</v>
      </c>
      <c r="DL36" s="27">
        <v>0</v>
      </c>
      <c r="DM36" s="63">
        <v>0</v>
      </c>
      <c r="DN36" s="27">
        <v>0</v>
      </c>
      <c r="DO36" s="64">
        <v>0</v>
      </c>
      <c r="DP36" s="65">
        <v>0</v>
      </c>
      <c r="DQ36" s="66">
        <v>0</v>
      </c>
      <c r="DR36" s="65">
        <v>0</v>
      </c>
      <c r="DS36" s="64">
        <v>0</v>
      </c>
      <c r="DT36" s="65">
        <v>0</v>
      </c>
      <c r="DV36" s="7" t="s">
        <v>229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776</v>
      </c>
      <c r="EE36" s="7">
        <v>0</v>
      </c>
      <c r="EF36" s="7">
        <v>0</v>
      </c>
      <c r="EG36" s="7">
        <v>0</v>
      </c>
      <c r="EH36" s="7" t="s">
        <v>201</v>
      </c>
    </row>
    <row r="37" spans="1:138" ht="15" customHeight="1">
      <c r="A37" s="7" t="s">
        <v>205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7"/>
      <c r="O37" s="18"/>
      <c r="P37" s="30"/>
      <c r="Q37" s="30"/>
      <c r="R37" s="27"/>
      <c r="S37" s="31"/>
      <c r="T37" s="31"/>
      <c r="U37" s="31"/>
      <c r="V37" s="31"/>
      <c r="W37" s="31"/>
      <c r="X37" s="31"/>
      <c r="Y37" s="27"/>
      <c r="Z37" s="31"/>
      <c r="AA37" s="27"/>
      <c r="AB37" s="22"/>
      <c r="AC37" s="18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4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6"/>
      <c r="BF37" s="52"/>
      <c r="BG37" s="70"/>
      <c r="BH37" s="70"/>
      <c r="BI37" s="71"/>
      <c r="BJ37" s="70"/>
      <c r="BK37" s="6"/>
      <c r="BL37" s="70"/>
      <c r="BM37" s="72"/>
      <c r="BN37" s="70"/>
      <c r="BO37" s="6"/>
      <c r="BP37" s="70"/>
      <c r="BQ37" s="24">
        <f t="shared" si="4"/>
        <v>0</v>
      </c>
      <c r="BR37" s="7" t="s">
        <v>205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 t="s">
        <v>201</v>
      </c>
      <c r="CE37" s="24"/>
      <c r="CF37" s="26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1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29"/>
      <c r="DH37" s="6"/>
      <c r="DJ37" s="52"/>
      <c r="DK37" s="70"/>
      <c r="DL37" s="70"/>
      <c r="DM37" s="71"/>
      <c r="DN37" s="70"/>
      <c r="DO37" s="6"/>
      <c r="DP37" s="70"/>
      <c r="DQ37" s="72"/>
      <c r="DR37" s="70"/>
      <c r="DS37" s="6"/>
      <c r="DT37" s="70"/>
      <c r="DV37" s="7" t="s">
        <v>205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 t="s">
        <v>201</v>
      </c>
    </row>
    <row r="38" spans="1:138" ht="15" customHeight="1">
      <c r="A38" s="7" t="s">
        <v>210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7"/>
      <c r="O38" s="18"/>
      <c r="P38" s="30"/>
      <c r="Q38" s="30"/>
      <c r="R38" s="27"/>
      <c r="S38" s="31"/>
      <c r="T38" s="31"/>
      <c r="U38" s="31"/>
      <c r="V38" s="31"/>
      <c r="W38" s="31"/>
      <c r="X38" s="31"/>
      <c r="Y38" s="27"/>
      <c r="Z38" s="31"/>
      <c r="AA38" s="27"/>
      <c r="AB38" s="22"/>
      <c r="AC38" s="18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6"/>
      <c r="BF38" s="52"/>
      <c r="BG38" s="70"/>
      <c r="BH38" s="70"/>
      <c r="BI38" s="71"/>
      <c r="BJ38" s="70"/>
      <c r="BK38" s="6"/>
      <c r="BL38" s="70"/>
      <c r="BM38" s="72"/>
      <c r="BN38" s="70"/>
      <c r="BO38" s="6"/>
      <c r="BP38" s="70"/>
      <c r="BQ38" s="24">
        <f t="shared" si="4"/>
        <v>0</v>
      </c>
      <c r="BR38" s="7" t="s">
        <v>210</v>
      </c>
      <c r="BS38" s="7">
        <v>0</v>
      </c>
      <c r="BT38" s="7">
        <v>710</v>
      </c>
      <c r="BU38" s="7">
        <v>282</v>
      </c>
      <c r="BV38" s="7">
        <v>0</v>
      </c>
      <c r="BW38" s="7">
        <v>137</v>
      </c>
      <c r="BX38" s="7">
        <v>191</v>
      </c>
      <c r="BY38" s="7">
        <v>137</v>
      </c>
      <c r="BZ38" s="7">
        <v>259</v>
      </c>
      <c r="CA38" s="7">
        <v>181</v>
      </c>
      <c r="CB38" s="7">
        <v>41</v>
      </c>
      <c r="CC38" s="7">
        <v>183</v>
      </c>
      <c r="CD38" s="7">
        <v>76</v>
      </c>
      <c r="CE38" s="24"/>
      <c r="CF38" s="26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1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29"/>
      <c r="DH38" s="6"/>
      <c r="DJ38" s="52"/>
      <c r="DK38" s="70"/>
      <c r="DL38" s="70"/>
      <c r="DM38" s="71"/>
      <c r="DN38" s="70"/>
      <c r="DO38" s="6"/>
      <c r="DP38" s="70"/>
      <c r="DQ38" s="72"/>
      <c r="DR38" s="70"/>
      <c r="DS38" s="6"/>
      <c r="DT38" s="70"/>
      <c r="DV38" s="7" t="s">
        <v>210</v>
      </c>
      <c r="DW38" s="7">
        <v>0</v>
      </c>
      <c r="DX38" s="7">
        <v>710</v>
      </c>
      <c r="DY38" s="7">
        <v>282</v>
      </c>
      <c r="DZ38" s="7">
        <v>0</v>
      </c>
      <c r="EA38" s="7">
        <v>137</v>
      </c>
      <c r="EB38" s="7">
        <v>191</v>
      </c>
      <c r="EC38" s="7">
        <v>137</v>
      </c>
      <c r="ED38" s="7">
        <v>259</v>
      </c>
      <c r="EE38" s="7">
        <v>181</v>
      </c>
      <c r="EF38" s="7">
        <v>41</v>
      </c>
      <c r="EG38" s="7">
        <v>183</v>
      </c>
      <c r="EH38" s="7">
        <v>76</v>
      </c>
    </row>
    <row r="39" spans="1:138" ht="15" customHeight="1">
      <c r="A39" s="7" t="s">
        <v>212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7"/>
      <c r="O39" s="18"/>
      <c r="P39" s="30"/>
      <c r="Q39" s="30"/>
      <c r="R39" s="27"/>
      <c r="S39" s="31"/>
      <c r="T39" s="31"/>
      <c r="U39" s="31"/>
      <c r="V39" s="31"/>
      <c r="W39" s="31"/>
      <c r="X39" s="31"/>
      <c r="Y39" s="27"/>
      <c r="Z39" s="31"/>
      <c r="AA39" s="27"/>
      <c r="AB39" s="22"/>
      <c r="AC39" s="18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6"/>
      <c r="BF39" s="52"/>
      <c r="BG39" s="70"/>
      <c r="BH39" s="70"/>
      <c r="BI39" s="71"/>
      <c r="BJ39" s="70"/>
      <c r="BK39" s="6"/>
      <c r="BL39" s="70"/>
      <c r="BM39" s="72"/>
      <c r="BN39" s="70"/>
      <c r="BO39" s="6"/>
      <c r="BP39" s="70"/>
      <c r="BQ39" s="24">
        <f t="shared" si="4"/>
        <v>0</v>
      </c>
      <c r="BR39" s="7" t="s">
        <v>212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 t="s">
        <v>201</v>
      </c>
      <c r="CE39" s="24"/>
      <c r="CF39" s="26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1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29"/>
      <c r="DH39" s="6"/>
      <c r="DJ39" s="52"/>
      <c r="DK39" s="70"/>
      <c r="DL39" s="70"/>
      <c r="DM39" s="71"/>
      <c r="DN39" s="70"/>
      <c r="DO39" s="6"/>
      <c r="DP39" s="70"/>
      <c r="DQ39" s="72"/>
      <c r="DR39" s="70"/>
      <c r="DS39" s="6"/>
      <c r="DT39" s="70"/>
      <c r="DV39" s="7" t="s">
        <v>212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 t="s">
        <v>201</v>
      </c>
    </row>
    <row r="40" spans="1:138" ht="15" customHeight="1">
      <c r="A40" s="7" t="s">
        <v>219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7"/>
      <c r="O40" s="18"/>
      <c r="P40" s="30"/>
      <c r="Q40" s="30"/>
      <c r="R40" s="27"/>
      <c r="S40" s="31"/>
      <c r="T40" s="31"/>
      <c r="U40" s="31"/>
      <c r="V40" s="31"/>
      <c r="W40" s="31"/>
      <c r="X40" s="31"/>
      <c r="Y40" s="27"/>
      <c r="Z40" s="31"/>
      <c r="AA40" s="27"/>
      <c r="AB40" s="22"/>
      <c r="AC40" s="18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4"/>
      <c r="BD40" s="6"/>
      <c r="BF40" s="52"/>
      <c r="BG40" s="70"/>
      <c r="BH40" s="70"/>
      <c r="BI40" s="71"/>
      <c r="BJ40" s="70"/>
      <c r="BK40" s="6"/>
      <c r="BL40" s="70"/>
      <c r="BM40" s="72"/>
      <c r="BN40" s="70"/>
      <c r="BO40" s="6"/>
      <c r="BP40" s="70"/>
      <c r="BQ40" s="24">
        <f t="shared" si="4"/>
        <v>0</v>
      </c>
      <c r="BR40" s="7" t="s">
        <v>219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 t="s">
        <v>201</v>
      </c>
      <c r="CE40" s="24"/>
      <c r="CF40" s="26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1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29"/>
      <c r="DH40" s="6"/>
      <c r="DJ40" s="52"/>
      <c r="DK40" s="70"/>
      <c r="DL40" s="70"/>
      <c r="DM40" s="71"/>
      <c r="DN40" s="70"/>
      <c r="DO40" s="6"/>
      <c r="DP40" s="70"/>
      <c r="DQ40" s="72"/>
      <c r="DR40" s="70"/>
      <c r="DS40" s="6"/>
      <c r="DT40" s="70"/>
      <c r="DV40" s="7" t="s">
        <v>219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 t="s">
        <v>201</v>
      </c>
    </row>
    <row r="41" spans="1:138" ht="15" customHeight="1">
      <c r="A41" s="7" t="s">
        <v>220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17"/>
      <c r="O41" s="18"/>
      <c r="P41" s="30"/>
      <c r="Q41" s="30"/>
      <c r="R41" s="27"/>
      <c r="S41" s="31"/>
      <c r="T41" s="31"/>
      <c r="U41" s="31"/>
      <c r="V41" s="31"/>
      <c r="W41" s="31"/>
      <c r="X41" s="31"/>
      <c r="Y41" s="27"/>
      <c r="Z41" s="31"/>
      <c r="AA41" s="27"/>
      <c r="AB41" s="22"/>
      <c r="AC41" s="18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6"/>
      <c r="BF41" s="52"/>
      <c r="BG41" s="70"/>
      <c r="BH41" s="70"/>
      <c r="BI41" s="71"/>
      <c r="BJ41" s="70"/>
      <c r="BK41" s="6"/>
      <c r="BL41" s="70"/>
      <c r="BM41" s="72"/>
      <c r="BN41" s="70"/>
      <c r="BO41" s="6"/>
      <c r="BP41" s="70"/>
      <c r="BQ41" s="24">
        <f t="shared" si="4"/>
        <v>0</v>
      </c>
      <c r="BR41" s="7" t="s">
        <v>220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17</v>
      </c>
      <c r="CA41" s="7">
        <v>0</v>
      </c>
      <c r="CB41" s="7">
        <v>0</v>
      </c>
      <c r="CC41" s="7">
        <v>0</v>
      </c>
      <c r="CD41" s="7" t="s">
        <v>201</v>
      </c>
      <c r="CE41" s="24"/>
      <c r="CF41" s="26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1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29"/>
      <c r="DH41" s="6"/>
      <c r="DJ41" s="52"/>
      <c r="DK41" s="70"/>
      <c r="DL41" s="70"/>
      <c r="DM41" s="71"/>
      <c r="DN41" s="70"/>
      <c r="DO41" s="6"/>
      <c r="DP41" s="70"/>
      <c r="DQ41" s="72"/>
      <c r="DR41" s="70"/>
      <c r="DS41" s="6"/>
      <c r="DT41" s="70"/>
      <c r="DV41" s="7" t="s">
        <v>220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17</v>
      </c>
      <c r="EE41" s="7">
        <v>0</v>
      </c>
      <c r="EF41" s="7">
        <v>0</v>
      </c>
      <c r="EG41" s="7">
        <v>0</v>
      </c>
      <c r="EH41" s="7" t="s">
        <v>201</v>
      </c>
    </row>
    <row r="42" spans="1:138" ht="15" customHeight="1">
      <c r="A42" s="7" t="s">
        <v>221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7"/>
      <c r="O42" s="18"/>
      <c r="P42" s="30"/>
      <c r="Q42" s="30"/>
      <c r="R42" s="27"/>
      <c r="S42" s="31"/>
      <c r="T42" s="31"/>
      <c r="U42" s="31"/>
      <c r="V42" s="31"/>
      <c r="W42" s="31"/>
      <c r="X42" s="31"/>
      <c r="Y42" s="27"/>
      <c r="Z42" s="31"/>
      <c r="AA42" s="27"/>
      <c r="AB42" s="22"/>
      <c r="AC42" s="18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6"/>
      <c r="BF42" s="52"/>
      <c r="BG42" s="70"/>
      <c r="BH42" s="70"/>
      <c r="BI42" s="71"/>
      <c r="BJ42" s="70"/>
      <c r="BK42" s="6"/>
      <c r="BL42" s="70"/>
      <c r="BM42" s="72"/>
      <c r="BN42" s="70"/>
      <c r="BO42" s="6"/>
      <c r="BP42" s="70"/>
      <c r="BQ42" s="24">
        <f t="shared" si="4"/>
        <v>0</v>
      </c>
      <c r="BR42" s="7" t="s">
        <v>221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17</v>
      </c>
      <c r="CA42" s="7">
        <v>0</v>
      </c>
      <c r="CB42" s="7">
        <v>0</v>
      </c>
      <c r="CC42" s="7">
        <v>0</v>
      </c>
      <c r="CD42" s="7" t="s">
        <v>201</v>
      </c>
      <c r="CE42" s="24"/>
      <c r="CF42" s="26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1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29"/>
      <c r="DH42" s="6"/>
      <c r="DJ42" s="52"/>
      <c r="DK42" s="70"/>
      <c r="DL42" s="70"/>
      <c r="DM42" s="71"/>
      <c r="DN42" s="70"/>
      <c r="DO42" s="6"/>
      <c r="DP42" s="70"/>
      <c r="DQ42" s="72"/>
      <c r="DR42" s="70"/>
      <c r="DS42" s="6"/>
      <c r="DT42" s="70"/>
      <c r="DV42" s="7" t="s">
        <v>221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17</v>
      </c>
      <c r="EE42" s="7">
        <v>0</v>
      </c>
      <c r="EF42" s="7">
        <v>0</v>
      </c>
      <c r="EG42" s="7">
        <v>0</v>
      </c>
      <c r="EH42" s="7" t="s">
        <v>201</v>
      </c>
    </row>
    <row r="43" spans="1:138" ht="15" customHeight="1">
      <c r="A43" s="7" t="s">
        <v>133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7"/>
      <c r="O43" s="18"/>
      <c r="P43" s="30"/>
      <c r="Q43" s="30"/>
      <c r="R43" s="27"/>
      <c r="S43" s="31"/>
      <c r="T43" s="31"/>
      <c r="U43" s="31"/>
      <c r="V43" s="31"/>
      <c r="W43" s="31"/>
      <c r="X43" s="31"/>
      <c r="Y43" s="27"/>
      <c r="Z43" s="31"/>
      <c r="AA43" s="27"/>
      <c r="AB43" s="22"/>
      <c r="AC43" s="18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4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6"/>
      <c r="BF43" s="52"/>
      <c r="BG43" s="70"/>
      <c r="BH43" s="70"/>
      <c r="BI43" s="71"/>
      <c r="BJ43" s="70"/>
      <c r="BK43" s="6"/>
      <c r="BL43" s="70"/>
      <c r="BM43" s="72"/>
      <c r="BN43" s="70"/>
      <c r="BO43" s="6"/>
      <c r="BP43" s="70"/>
      <c r="BQ43" s="24">
        <f t="shared" si="4"/>
        <v>0</v>
      </c>
      <c r="BR43" s="7" t="s">
        <v>133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12</v>
      </c>
      <c r="CA43" s="7">
        <v>0</v>
      </c>
      <c r="CB43" s="7">
        <v>0</v>
      </c>
      <c r="CC43" s="7">
        <v>0</v>
      </c>
      <c r="CD43" s="7" t="s">
        <v>201</v>
      </c>
      <c r="CE43" s="24"/>
      <c r="CF43" s="26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1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29"/>
      <c r="DH43" s="6"/>
      <c r="DJ43" s="52"/>
      <c r="DK43" s="70"/>
      <c r="DL43" s="70"/>
      <c r="DM43" s="71"/>
      <c r="DN43" s="70"/>
      <c r="DO43" s="6"/>
      <c r="DP43" s="70"/>
      <c r="DQ43" s="72"/>
      <c r="DR43" s="70"/>
      <c r="DS43" s="6"/>
      <c r="DT43" s="70"/>
      <c r="DV43" s="7" t="s">
        <v>133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12</v>
      </c>
      <c r="EE43" s="7">
        <v>0</v>
      </c>
      <c r="EF43" s="7">
        <v>0</v>
      </c>
      <c r="EG43" s="7">
        <v>0</v>
      </c>
      <c r="EH43" s="7" t="s">
        <v>201</v>
      </c>
    </row>
    <row r="44" spans="1:138" ht="15" customHeight="1">
      <c r="A44" s="14" t="s">
        <v>46</v>
      </c>
      <c r="B44" s="15"/>
      <c r="C44" s="36"/>
      <c r="D44" s="36"/>
      <c r="E44" s="36"/>
      <c r="F44" s="36"/>
      <c r="G44" s="36"/>
      <c r="H44" s="36"/>
      <c r="I44" s="36"/>
      <c r="J44" s="36"/>
      <c r="K44" s="15"/>
      <c r="L44" s="15"/>
      <c r="M44" s="15"/>
      <c r="N44" s="17">
        <f aca="true" t="shared" si="51" ref="N44:N79">SUM(B44:M44)</f>
        <v>0</v>
      </c>
      <c r="O44" s="18" t="s">
        <v>46</v>
      </c>
      <c r="P44" s="30">
        <v>0</v>
      </c>
      <c r="Q44" s="30">
        <v>0</v>
      </c>
      <c r="R44" s="27"/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27">
        <v>0</v>
      </c>
      <c r="Z44" s="31">
        <v>0</v>
      </c>
      <c r="AA44" s="27"/>
      <c r="AB44" s="22">
        <f aca="true" t="shared" si="52" ref="AB44:AB79">SUM(P44:AA44)</f>
        <v>0</v>
      </c>
      <c r="AC44" s="18" t="s">
        <v>46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>
        <f aca="true" t="shared" si="53" ref="AP44:AP79">SUM(AD44:AO44)</f>
        <v>0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>
        <f aca="true" t="shared" si="54" ref="BC44:BC79">SUM(AQ44:BB44)</f>
        <v>0</v>
      </c>
      <c r="BQ44" s="24">
        <f t="shared" si="4"/>
        <v>0</v>
      </c>
      <c r="CD44" s="60"/>
      <c r="CE44" s="24"/>
      <c r="CF44" s="26" t="s">
        <v>46</v>
      </c>
      <c r="CG44" s="27">
        <f aca="true" t="shared" si="55" ref="CG44:CG79">+SUM(+B44+P44+AD44+AQ44)/4</f>
        <v>0</v>
      </c>
      <c r="CH44" s="27">
        <f aca="true" t="shared" si="56" ref="CH44:CH79">+SUM(+C44+Q44+AE44+AR44)/4</f>
        <v>0</v>
      </c>
      <c r="CI44" s="27">
        <f aca="true" t="shared" si="57" ref="CI44:CI79">+SUM(+D44+R44+AF44+AS44)/4</f>
        <v>0</v>
      </c>
      <c r="CJ44" s="27">
        <f aca="true" t="shared" si="58" ref="CJ44:CJ79">+SUM(+E44+S44+AG44+AT44)/4</f>
        <v>0</v>
      </c>
      <c r="CK44" s="27">
        <f aca="true" t="shared" si="59" ref="CK44:CK79">+SUM(+F44+T44+AH44+AU44)/4</f>
        <v>0</v>
      </c>
      <c r="CL44" s="27">
        <f aca="true" t="shared" si="60" ref="CL44:CL79">+SUM(+G44+U44+AI44+AV44)/4</f>
        <v>0</v>
      </c>
      <c r="CM44" s="27">
        <f aca="true" t="shared" si="61" ref="CM44:CM79">+SUM(+H44+V44+AJ44+AW44)/4</f>
        <v>0</v>
      </c>
      <c r="CN44" s="27">
        <f aca="true" t="shared" si="62" ref="CN44:CN79">+SUM(+I44+W44+AK44+AX44)/4</f>
        <v>0</v>
      </c>
      <c r="CO44" s="27">
        <f aca="true" t="shared" si="63" ref="CO44:CO79">+SUM(+J44+X44+AL44+AY44)/4</f>
        <v>0</v>
      </c>
      <c r="CP44" s="27">
        <f aca="true" t="shared" si="64" ref="CP44:CP79">+SUM(+K44+Y44+AM44+AZ44)/4</f>
        <v>0</v>
      </c>
      <c r="CQ44" s="27">
        <f aca="true" t="shared" si="65" ref="CQ44:CQ79">+SUM(+L44+Z44+AN44+BA44)/4</f>
        <v>0</v>
      </c>
      <c r="CR44" s="27">
        <f aca="true" t="shared" si="66" ref="CR44:CR79">+SUM(+M44+AA44+AO44+BB44)/4</f>
        <v>0</v>
      </c>
      <c r="CS44" s="37"/>
      <c r="CT44" s="18" t="s">
        <v>46</v>
      </c>
      <c r="DG44" s="29">
        <f t="shared" si="19"/>
        <v>0</v>
      </c>
      <c r="EH44" s="60"/>
    </row>
    <row r="45" spans="1:124" ht="13.5" customHeight="1">
      <c r="A45" s="14" t="s">
        <v>47</v>
      </c>
      <c r="B45" s="15">
        <v>123493934</v>
      </c>
      <c r="C45" s="16">
        <v>0</v>
      </c>
      <c r="D45" s="16">
        <v>127121400</v>
      </c>
      <c r="E45" s="16">
        <v>82329289</v>
      </c>
      <c r="F45" s="16">
        <v>127121400</v>
      </c>
      <c r="G45" s="16">
        <v>0</v>
      </c>
      <c r="H45" s="16">
        <v>127121400</v>
      </c>
      <c r="I45" s="16">
        <v>0</v>
      </c>
      <c r="J45" s="16">
        <v>127121400</v>
      </c>
      <c r="K45" s="15"/>
      <c r="L45" s="15">
        <v>127121400</v>
      </c>
      <c r="M45" s="15"/>
      <c r="N45" s="17">
        <f t="shared" si="51"/>
        <v>841430223</v>
      </c>
      <c r="O45" s="18" t="s">
        <v>47</v>
      </c>
      <c r="P45" s="30">
        <v>127121400</v>
      </c>
      <c r="Q45" s="30">
        <v>0</v>
      </c>
      <c r="R45" s="27">
        <v>127097000</v>
      </c>
      <c r="S45" s="31">
        <v>104935237.02</v>
      </c>
      <c r="T45" s="31">
        <v>127097000.23</v>
      </c>
      <c r="U45" s="31">
        <v>0</v>
      </c>
      <c r="V45" s="31">
        <v>127097000.24</v>
      </c>
      <c r="W45" s="31">
        <v>0</v>
      </c>
      <c r="X45" s="31">
        <v>127097000.24</v>
      </c>
      <c r="Y45" s="27">
        <v>0</v>
      </c>
      <c r="Z45" s="31">
        <v>63548500.19</v>
      </c>
      <c r="AA45" s="27">
        <v>46836954.91</v>
      </c>
      <c r="AB45" s="22">
        <f t="shared" si="52"/>
        <v>850830092.83</v>
      </c>
      <c r="AC45" s="18" t="s">
        <v>47</v>
      </c>
      <c r="AD45" s="23">
        <v>134425877</v>
      </c>
      <c r="AE45" s="23"/>
      <c r="AF45" s="23">
        <v>106086631.01</v>
      </c>
      <c r="AG45" s="23">
        <v>24458395.11</v>
      </c>
      <c r="AH45" s="23">
        <v>106086631</v>
      </c>
      <c r="AI45" s="23"/>
      <c r="AJ45" s="23">
        <v>90237426</v>
      </c>
      <c r="AK45" s="23"/>
      <c r="AL45" s="23">
        <v>90035419</v>
      </c>
      <c r="AM45" s="23">
        <v>21327897</v>
      </c>
      <c r="AN45" s="23">
        <v>90186924</v>
      </c>
      <c r="AO45" s="23"/>
      <c r="AP45" s="24">
        <f t="shared" si="53"/>
        <v>662845200.12</v>
      </c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>
        <f t="shared" si="54"/>
        <v>0</v>
      </c>
      <c r="BD45" s="37"/>
      <c r="BF45" s="52"/>
      <c r="BG45" s="27"/>
      <c r="BH45" s="27"/>
      <c r="BI45" s="63"/>
      <c r="BJ45" s="27"/>
      <c r="BK45" s="64"/>
      <c r="BL45" s="65"/>
      <c r="BM45" s="66"/>
      <c r="BN45" s="65"/>
      <c r="BO45" s="64"/>
      <c r="BP45" s="65"/>
      <c r="BQ45" s="24">
        <f t="shared" si="4"/>
        <v>0</v>
      </c>
      <c r="CE45" s="24"/>
      <c r="CF45" s="26" t="s">
        <v>47</v>
      </c>
      <c r="CG45" s="27">
        <f t="shared" si="55"/>
        <v>96260302.75</v>
      </c>
      <c r="CH45" s="27">
        <f t="shared" si="56"/>
        <v>0</v>
      </c>
      <c r="CI45" s="27">
        <f t="shared" si="57"/>
        <v>90076257.7525</v>
      </c>
      <c r="CJ45" s="27">
        <f t="shared" si="58"/>
        <v>52930730.2825</v>
      </c>
      <c r="CK45" s="27">
        <f t="shared" si="59"/>
        <v>90076257.8075</v>
      </c>
      <c r="CL45" s="27">
        <f t="shared" si="60"/>
        <v>0</v>
      </c>
      <c r="CM45" s="27">
        <f t="shared" si="61"/>
        <v>86113956.56</v>
      </c>
      <c r="CN45" s="27">
        <f t="shared" si="62"/>
        <v>0</v>
      </c>
      <c r="CO45" s="27">
        <f t="shared" si="63"/>
        <v>86063454.81</v>
      </c>
      <c r="CP45" s="27">
        <f t="shared" si="64"/>
        <v>5331974.25</v>
      </c>
      <c r="CQ45" s="27">
        <f t="shared" si="65"/>
        <v>70214206.0475</v>
      </c>
      <c r="CR45" s="27">
        <f t="shared" si="66"/>
        <v>11709238.7275</v>
      </c>
      <c r="CS45" s="27">
        <f aca="true" t="shared" si="67" ref="CS45:CS50">+SUM(CG45:CR45)</f>
        <v>588776378.9875</v>
      </c>
      <c r="CT45" s="18" t="s">
        <v>47</v>
      </c>
      <c r="CU45" s="38">
        <f aca="true" t="shared" si="68" ref="CU45:DF45">+CG45/$CS$45</f>
        <v>0.1634921273770116</v>
      </c>
      <c r="CV45" s="38">
        <f t="shared" si="68"/>
        <v>0</v>
      </c>
      <c r="CW45" s="38">
        <f t="shared" si="68"/>
        <v>0.1529889122036473</v>
      </c>
      <c r="CX45" s="38">
        <f t="shared" si="68"/>
        <v>0.08989954789545616</v>
      </c>
      <c r="CY45" s="38">
        <f t="shared" si="68"/>
        <v>0.15298891229706138</v>
      </c>
      <c r="CZ45" s="38">
        <f t="shared" si="68"/>
        <v>0</v>
      </c>
      <c r="DA45" s="38">
        <f t="shared" si="68"/>
        <v>0.14625919047242936</v>
      </c>
      <c r="DB45" s="38">
        <f t="shared" si="68"/>
        <v>0</v>
      </c>
      <c r="DC45" s="38">
        <f t="shared" si="68"/>
        <v>0.1461734163962226</v>
      </c>
      <c r="DD45" s="38">
        <f t="shared" si="68"/>
        <v>0.009056026091211788</v>
      </c>
      <c r="DE45" s="38">
        <f t="shared" si="68"/>
        <v>0.11925445475283017</v>
      </c>
      <c r="DF45" s="38">
        <f t="shared" si="68"/>
        <v>0.019887412514129735</v>
      </c>
      <c r="DG45" s="29">
        <f t="shared" si="19"/>
        <v>1</v>
      </c>
      <c r="DH45" s="37"/>
      <c r="DJ45" s="52"/>
      <c r="DK45" s="27"/>
      <c r="DL45" s="27"/>
      <c r="DM45" s="63"/>
      <c r="DN45" s="27"/>
      <c r="DO45" s="64"/>
      <c r="DP45" s="65"/>
      <c r="DQ45" s="66"/>
      <c r="DR45" s="65"/>
      <c r="DS45" s="64"/>
      <c r="DT45" s="65"/>
    </row>
    <row r="46" spans="1:111" ht="13.5" customHeight="1">
      <c r="A46" s="14" t="s">
        <v>48</v>
      </c>
      <c r="B46" s="15">
        <v>391064124</v>
      </c>
      <c r="C46" s="16">
        <v>0</v>
      </c>
      <c r="D46" s="16">
        <v>478218600</v>
      </c>
      <c r="E46" s="16">
        <v>260709416</v>
      </c>
      <c r="F46" s="16">
        <v>478218600</v>
      </c>
      <c r="G46" s="16"/>
      <c r="H46" s="16">
        <v>478218600</v>
      </c>
      <c r="I46" s="16">
        <v>0</v>
      </c>
      <c r="J46" s="16">
        <v>478218600</v>
      </c>
      <c r="K46" s="15"/>
      <c r="L46" s="15">
        <v>478218600</v>
      </c>
      <c r="M46" s="15"/>
      <c r="N46" s="17">
        <f t="shared" si="51"/>
        <v>3042866540</v>
      </c>
      <c r="O46" s="18" t="s">
        <v>48</v>
      </c>
      <c r="P46" s="30"/>
      <c r="Q46" s="30"/>
      <c r="R46" s="27"/>
      <c r="S46" s="31"/>
      <c r="T46" s="31"/>
      <c r="U46" s="31"/>
      <c r="V46" s="31"/>
      <c r="W46" s="31"/>
      <c r="X46" s="31"/>
      <c r="Y46" s="27"/>
      <c r="Z46" s="31"/>
      <c r="AA46" s="27"/>
      <c r="AB46" s="22">
        <f t="shared" si="52"/>
        <v>0</v>
      </c>
      <c r="AC46" s="18" t="s">
        <v>48</v>
      </c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39">
        <f>+SUM(AN47:AN50)+AN77</f>
        <v>624893159</v>
      </c>
      <c r="AO46" s="23"/>
      <c r="AP46" s="24">
        <f t="shared" si="53"/>
        <v>624893159</v>
      </c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>
        <f t="shared" si="54"/>
        <v>0</v>
      </c>
      <c r="BQ46" s="24">
        <f t="shared" si="4"/>
        <v>0</v>
      </c>
      <c r="CE46" s="24"/>
      <c r="CF46" s="26" t="s">
        <v>48</v>
      </c>
      <c r="CG46" s="27">
        <f t="shared" si="55"/>
        <v>97766031</v>
      </c>
      <c r="CH46" s="27">
        <f t="shared" si="56"/>
        <v>0</v>
      </c>
      <c r="CI46" s="27">
        <f t="shared" si="57"/>
        <v>119554650</v>
      </c>
      <c r="CJ46" s="27">
        <f t="shared" si="58"/>
        <v>65177354</v>
      </c>
      <c r="CK46" s="27">
        <f t="shared" si="59"/>
        <v>119554650</v>
      </c>
      <c r="CL46" s="27">
        <f t="shared" si="60"/>
        <v>0</v>
      </c>
      <c r="CM46" s="27">
        <f t="shared" si="61"/>
        <v>119554650</v>
      </c>
      <c r="CN46" s="27">
        <f t="shared" si="62"/>
        <v>0</v>
      </c>
      <c r="CO46" s="27">
        <f t="shared" si="63"/>
        <v>119554650</v>
      </c>
      <c r="CP46" s="27">
        <f t="shared" si="64"/>
        <v>0</v>
      </c>
      <c r="CQ46" s="27">
        <f t="shared" si="65"/>
        <v>275777939.75</v>
      </c>
      <c r="CR46" s="27">
        <f t="shared" si="66"/>
        <v>0</v>
      </c>
      <c r="CS46" s="27">
        <f t="shared" si="67"/>
        <v>916939924.75</v>
      </c>
      <c r="CT46" s="18" t="s">
        <v>48</v>
      </c>
      <c r="CU46" s="38">
        <f aca="true" t="shared" si="69" ref="CU46:DF46">+CG46/$CS$46</f>
        <v>0.10662206799061075</v>
      </c>
      <c r="CV46" s="38">
        <f t="shared" si="69"/>
        <v>0</v>
      </c>
      <c r="CW46" s="38">
        <f t="shared" si="69"/>
        <v>0.13038438699525065</v>
      </c>
      <c r="CX46" s="38">
        <f t="shared" si="69"/>
        <v>0.07108137866040716</v>
      </c>
      <c r="CY46" s="38">
        <f t="shared" si="69"/>
        <v>0.13038438699525065</v>
      </c>
      <c r="CZ46" s="38">
        <f t="shared" si="69"/>
        <v>0</v>
      </c>
      <c r="DA46" s="38">
        <f t="shared" si="69"/>
        <v>0.13038438699525065</v>
      </c>
      <c r="DB46" s="38">
        <f t="shared" si="69"/>
        <v>0</v>
      </c>
      <c r="DC46" s="38">
        <f t="shared" si="69"/>
        <v>0.13038438699525065</v>
      </c>
      <c r="DD46" s="38">
        <f t="shared" si="69"/>
        <v>0</v>
      </c>
      <c r="DE46" s="38">
        <f t="shared" si="69"/>
        <v>0.30075900536797956</v>
      </c>
      <c r="DF46" s="38">
        <f t="shared" si="69"/>
        <v>0</v>
      </c>
      <c r="DG46" s="29">
        <f t="shared" si="19"/>
        <v>1.0000000000000002</v>
      </c>
    </row>
    <row r="47" spans="1:111" ht="13.5" customHeight="1">
      <c r="A47" s="14" t="s">
        <v>49</v>
      </c>
      <c r="B47" s="15">
        <v>0</v>
      </c>
      <c r="C47" s="16">
        <v>0</v>
      </c>
      <c r="D47" s="16">
        <v>0</v>
      </c>
      <c r="E47" s="16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5">
        <v>0</v>
      </c>
      <c r="L47" s="15">
        <v>0</v>
      </c>
      <c r="M47" s="15"/>
      <c r="N47" s="17">
        <f t="shared" si="51"/>
        <v>0</v>
      </c>
      <c r="O47" s="18" t="s">
        <v>49</v>
      </c>
      <c r="P47" s="30">
        <v>143465580</v>
      </c>
      <c r="Q47" s="30">
        <v>0</v>
      </c>
      <c r="R47" s="27">
        <v>173699234</v>
      </c>
      <c r="S47" s="31">
        <v>143411490.59</v>
      </c>
      <c r="T47" s="31">
        <v>173699233.65</v>
      </c>
      <c r="U47" s="31">
        <v>0</v>
      </c>
      <c r="V47" s="31">
        <v>173699233.66</v>
      </c>
      <c r="W47" s="31">
        <v>0</v>
      </c>
      <c r="X47" s="31">
        <v>173699233.66</v>
      </c>
      <c r="Y47" s="27">
        <v>0</v>
      </c>
      <c r="Z47" s="31">
        <v>86849617</v>
      </c>
      <c r="AA47" s="27">
        <v>64010505.05</v>
      </c>
      <c r="AB47" s="22">
        <f t="shared" si="52"/>
        <v>1132534127.61</v>
      </c>
      <c r="AC47" s="18" t="s">
        <v>49</v>
      </c>
      <c r="AD47" s="23">
        <v>190394892</v>
      </c>
      <c r="AE47" s="23"/>
      <c r="AF47" s="23">
        <v>180347272.71</v>
      </c>
      <c r="AG47" s="23">
        <v>41579271.69</v>
      </c>
      <c r="AH47" s="23">
        <v>180347273</v>
      </c>
      <c r="AI47" s="23"/>
      <c r="AJ47" s="23">
        <v>153403624</v>
      </c>
      <c r="AK47" s="23"/>
      <c r="AL47" s="23">
        <v>153060213</v>
      </c>
      <c r="AM47" s="23">
        <v>36257425</v>
      </c>
      <c r="AN47" s="23">
        <v>153317771</v>
      </c>
      <c r="AO47" s="23"/>
      <c r="AP47" s="24">
        <f t="shared" si="53"/>
        <v>1088707742.4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>
        <f t="shared" si="54"/>
        <v>0</v>
      </c>
      <c r="BQ47" s="24">
        <f t="shared" si="4"/>
        <v>0</v>
      </c>
      <c r="CE47" s="24"/>
      <c r="CF47" s="26" t="s">
        <v>49</v>
      </c>
      <c r="CG47" s="27">
        <f t="shared" si="55"/>
        <v>83465118</v>
      </c>
      <c r="CH47" s="27">
        <f t="shared" si="56"/>
        <v>0</v>
      </c>
      <c r="CI47" s="27">
        <f t="shared" si="57"/>
        <v>88511626.67750001</v>
      </c>
      <c r="CJ47" s="27">
        <f t="shared" si="58"/>
        <v>46247690.57</v>
      </c>
      <c r="CK47" s="27">
        <f t="shared" si="59"/>
        <v>88511626.6625</v>
      </c>
      <c r="CL47" s="27">
        <f t="shared" si="60"/>
        <v>0</v>
      </c>
      <c r="CM47" s="27">
        <f t="shared" si="61"/>
        <v>81775714.41499999</v>
      </c>
      <c r="CN47" s="27">
        <f t="shared" si="62"/>
        <v>0</v>
      </c>
      <c r="CO47" s="27">
        <f t="shared" si="63"/>
        <v>81689861.66499999</v>
      </c>
      <c r="CP47" s="27">
        <f t="shared" si="64"/>
        <v>9064356.25</v>
      </c>
      <c r="CQ47" s="27">
        <f t="shared" si="65"/>
        <v>60041847</v>
      </c>
      <c r="CR47" s="27">
        <f t="shared" si="66"/>
        <v>16002626.2625</v>
      </c>
      <c r="CS47" s="27">
        <f t="shared" si="67"/>
        <v>555310467.5024999</v>
      </c>
      <c r="CT47" s="18" t="s">
        <v>49</v>
      </c>
      <c r="CU47" s="38">
        <f aca="true" t="shared" si="70" ref="CU47:DF47">+CG47/$CS$47</f>
        <v>0.15030352007478456</v>
      </c>
      <c r="CV47" s="38">
        <f t="shared" si="70"/>
        <v>0</v>
      </c>
      <c r="CW47" s="38">
        <f t="shared" si="70"/>
        <v>0.15939124482126124</v>
      </c>
      <c r="CX47" s="38">
        <f t="shared" si="70"/>
        <v>0.0832825838453906</v>
      </c>
      <c r="CY47" s="38">
        <f t="shared" si="70"/>
        <v>0.15939124479424932</v>
      </c>
      <c r="CZ47" s="38">
        <f t="shared" si="70"/>
        <v>0</v>
      </c>
      <c r="DA47" s="38">
        <f t="shared" si="70"/>
        <v>0.1472612514991568</v>
      </c>
      <c r="DB47" s="38">
        <f t="shared" si="70"/>
        <v>0</v>
      </c>
      <c r="DC47" s="38">
        <f t="shared" si="70"/>
        <v>0.14710664834466178</v>
      </c>
      <c r="DD47" s="38">
        <f t="shared" si="70"/>
        <v>0.016323042298782516</v>
      </c>
      <c r="DE47" s="38">
        <f t="shared" si="70"/>
        <v>0.1081230239905926</v>
      </c>
      <c r="DF47" s="38">
        <f t="shared" si="70"/>
        <v>0.02881744033112064</v>
      </c>
      <c r="DG47" s="29">
        <f t="shared" si="19"/>
        <v>1</v>
      </c>
    </row>
    <row r="48" spans="1:124" ht="13.5" customHeight="1">
      <c r="A48" s="14" t="s">
        <v>50</v>
      </c>
      <c r="B48" s="15"/>
      <c r="C48" s="16"/>
      <c r="D48" s="16"/>
      <c r="E48" s="16"/>
      <c r="F48" s="16"/>
      <c r="G48" s="16"/>
      <c r="H48" s="16"/>
      <c r="I48" s="16"/>
      <c r="J48" s="16"/>
      <c r="K48" s="15"/>
      <c r="L48" s="15"/>
      <c r="M48" s="15"/>
      <c r="N48" s="17">
        <f t="shared" si="51"/>
        <v>0</v>
      </c>
      <c r="O48" s="18" t="s">
        <v>50</v>
      </c>
      <c r="P48" s="30">
        <v>95643720</v>
      </c>
      <c r="Q48" s="30">
        <v>0</v>
      </c>
      <c r="R48" s="27">
        <v>115799489</v>
      </c>
      <c r="S48" s="31">
        <v>95607660.39</v>
      </c>
      <c r="T48" s="31">
        <v>115799489.11</v>
      </c>
      <c r="U48" s="31">
        <v>0</v>
      </c>
      <c r="V48" s="31">
        <v>115799489.11</v>
      </c>
      <c r="W48" s="31">
        <v>0</v>
      </c>
      <c r="X48" s="31">
        <v>115799489.11</v>
      </c>
      <c r="Y48" s="27">
        <v>0</v>
      </c>
      <c r="Z48" s="31">
        <v>57899744.61</v>
      </c>
      <c r="AA48" s="27">
        <v>42673670.04</v>
      </c>
      <c r="AB48" s="22">
        <f t="shared" si="52"/>
        <v>755022751.37</v>
      </c>
      <c r="AC48" s="18" t="s">
        <v>50</v>
      </c>
      <c r="AD48" s="23">
        <v>126929928</v>
      </c>
      <c r="AE48" s="23"/>
      <c r="AF48" s="23">
        <v>120231515.14</v>
      </c>
      <c r="AG48" s="23">
        <v>27719514.46</v>
      </c>
      <c r="AH48" s="23">
        <v>120231515</v>
      </c>
      <c r="AI48" s="23"/>
      <c r="AJ48" s="23">
        <v>102269083</v>
      </c>
      <c r="AK48" s="23"/>
      <c r="AL48" s="23">
        <v>102040142</v>
      </c>
      <c r="AM48" s="23">
        <v>24171617</v>
      </c>
      <c r="AN48" s="23">
        <v>102211848</v>
      </c>
      <c r="AO48" s="23"/>
      <c r="AP48" s="24">
        <f t="shared" si="53"/>
        <v>725805162.5999999</v>
      </c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>
        <f t="shared" si="54"/>
        <v>0</v>
      </c>
      <c r="BD48" s="37" t="s">
        <v>184</v>
      </c>
      <c r="BE48" s="7">
        <v>0</v>
      </c>
      <c r="BF48" s="52">
        <v>0</v>
      </c>
      <c r="BG48" s="27">
        <v>0</v>
      </c>
      <c r="BH48" s="27">
        <v>0</v>
      </c>
      <c r="BI48" s="63">
        <v>0</v>
      </c>
      <c r="BJ48" s="27">
        <v>0</v>
      </c>
      <c r="BK48" s="64">
        <v>0</v>
      </c>
      <c r="BL48" s="65">
        <v>0</v>
      </c>
      <c r="BM48" s="66">
        <v>0</v>
      </c>
      <c r="BN48" s="65">
        <v>0</v>
      </c>
      <c r="BO48" s="64">
        <v>25312</v>
      </c>
      <c r="BP48" s="65">
        <v>0</v>
      </c>
      <c r="BQ48" s="24">
        <f t="shared" si="4"/>
        <v>25312</v>
      </c>
      <c r="CE48" s="24"/>
      <c r="CF48" s="26" t="s">
        <v>50</v>
      </c>
      <c r="CG48" s="27">
        <f t="shared" si="55"/>
        <v>55643412</v>
      </c>
      <c r="CH48" s="27">
        <f t="shared" si="56"/>
        <v>0</v>
      </c>
      <c r="CI48" s="27">
        <f t="shared" si="57"/>
        <v>59007751.035</v>
      </c>
      <c r="CJ48" s="27">
        <f t="shared" si="58"/>
        <v>30831793.7125</v>
      </c>
      <c r="CK48" s="27">
        <f t="shared" si="59"/>
        <v>59007751.0275</v>
      </c>
      <c r="CL48" s="27">
        <f t="shared" si="60"/>
        <v>0</v>
      </c>
      <c r="CM48" s="27">
        <f t="shared" si="61"/>
        <v>54517143.0275</v>
      </c>
      <c r="CN48" s="27">
        <f t="shared" si="62"/>
        <v>0</v>
      </c>
      <c r="CO48" s="27">
        <f t="shared" si="63"/>
        <v>54459907.7775</v>
      </c>
      <c r="CP48" s="27">
        <f t="shared" si="64"/>
        <v>6042904.25</v>
      </c>
      <c r="CQ48" s="27">
        <f t="shared" si="65"/>
        <v>40027898.1525</v>
      </c>
      <c r="CR48" s="27">
        <f t="shared" si="66"/>
        <v>10668417.51</v>
      </c>
      <c r="CS48" s="27">
        <f t="shared" si="67"/>
        <v>370206978.49250007</v>
      </c>
      <c r="CT48" s="18" t="s">
        <v>50</v>
      </c>
      <c r="CU48" s="38">
        <f aca="true" t="shared" si="71" ref="CU48:DF48">+CG48/$CS$48</f>
        <v>0.15030352001083974</v>
      </c>
      <c r="CV48" s="38">
        <f t="shared" si="71"/>
        <v>0</v>
      </c>
      <c r="CW48" s="38">
        <f t="shared" si="71"/>
        <v>0.15939124452835082</v>
      </c>
      <c r="CX48" s="38">
        <f t="shared" si="71"/>
        <v>0.08328258380770802</v>
      </c>
      <c r="CY48" s="38">
        <f t="shared" si="71"/>
        <v>0.15939124450809192</v>
      </c>
      <c r="CZ48" s="38">
        <f t="shared" si="71"/>
        <v>0</v>
      </c>
      <c r="DA48" s="38">
        <f t="shared" si="71"/>
        <v>0.14726125166385662</v>
      </c>
      <c r="DB48" s="38">
        <f t="shared" si="71"/>
        <v>0</v>
      </c>
      <c r="DC48" s="38">
        <f t="shared" si="71"/>
        <v>0.14710664828432804</v>
      </c>
      <c r="DD48" s="38">
        <f t="shared" si="71"/>
        <v>0.016323042516937378</v>
      </c>
      <c r="DE48" s="38">
        <f t="shared" si="71"/>
        <v>0.10812302435652471</v>
      </c>
      <c r="DF48" s="38">
        <f t="shared" si="71"/>
        <v>0.028817440323362593</v>
      </c>
      <c r="DG48" s="29">
        <f t="shared" si="19"/>
        <v>0.9999999999999999</v>
      </c>
      <c r="DH48" s="37" t="s">
        <v>184</v>
      </c>
      <c r="DI48" s="7">
        <v>0</v>
      </c>
      <c r="DJ48" s="52">
        <v>0</v>
      </c>
      <c r="DK48" s="27">
        <v>0</v>
      </c>
      <c r="DL48" s="27">
        <v>0</v>
      </c>
      <c r="DM48" s="63">
        <v>0</v>
      </c>
      <c r="DN48" s="27">
        <v>0</v>
      </c>
      <c r="DO48" s="64">
        <v>0</v>
      </c>
      <c r="DP48" s="65">
        <v>0</v>
      </c>
      <c r="DQ48" s="66">
        <v>0</v>
      </c>
      <c r="DR48" s="65">
        <v>0</v>
      </c>
      <c r="DS48" s="64">
        <v>25312</v>
      </c>
      <c r="DT48" s="65">
        <v>0</v>
      </c>
    </row>
    <row r="49" spans="1:111" ht="13.5" customHeight="1">
      <c r="A49" s="14" t="s">
        <v>51</v>
      </c>
      <c r="B49" s="15"/>
      <c r="C49" s="36"/>
      <c r="D49" s="36"/>
      <c r="E49" s="36"/>
      <c r="F49" s="36"/>
      <c r="G49" s="36"/>
      <c r="H49" s="36"/>
      <c r="I49" s="36"/>
      <c r="J49" s="36"/>
      <c r="K49" s="15"/>
      <c r="L49" s="15"/>
      <c r="M49" s="15"/>
      <c r="N49" s="17">
        <f t="shared" si="51"/>
        <v>0</v>
      </c>
      <c r="O49" s="18" t="s">
        <v>51</v>
      </c>
      <c r="P49" s="30">
        <v>23910930</v>
      </c>
      <c r="Q49" s="30">
        <v>0</v>
      </c>
      <c r="R49" s="27">
        <v>28949872</v>
      </c>
      <c r="S49" s="31">
        <v>23901915.1</v>
      </c>
      <c r="T49" s="31">
        <v>28949872.27</v>
      </c>
      <c r="U49" s="31">
        <v>0</v>
      </c>
      <c r="V49" s="31">
        <v>28949872.28</v>
      </c>
      <c r="W49" s="31">
        <v>0</v>
      </c>
      <c r="X49" s="31">
        <v>28949872.28</v>
      </c>
      <c r="Y49" s="27">
        <v>0</v>
      </c>
      <c r="Z49" s="31">
        <v>14474936.16</v>
      </c>
      <c r="AA49" s="27">
        <v>10668417.51</v>
      </c>
      <c r="AB49" s="22">
        <f t="shared" si="52"/>
        <v>188755687.59999996</v>
      </c>
      <c r="AC49" s="18" t="s">
        <v>51</v>
      </c>
      <c r="AD49" s="23">
        <f>29461450+2271039</f>
        <v>31732489</v>
      </c>
      <c r="AE49" s="23"/>
      <c r="AF49" s="23">
        <f>18034727.27+12023151.51</f>
        <v>30057878.78</v>
      </c>
      <c r="AG49" s="23">
        <f>4157927.17+2771951.45</f>
        <v>6929878.62</v>
      </c>
      <c r="AH49" s="23">
        <f>18034727+12023152</f>
        <v>30057879</v>
      </c>
      <c r="AI49" s="23"/>
      <c r="AJ49" s="23">
        <f>15340362+10226908</f>
        <v>25567270</v>
      </c>
      <c r="AK49" s="23"/>
      <c r="AL49" s="23">
        <f>15306021+10204014</f>
        <v>25510035</v>
      </c>
      <c r="AM49" s="23">
        <f>3625743+2417162</f>
        <v>6042905</v>
      </c>
      <c r="AN49" s="23">
        <f>15331777+10221185</f>
        <v>25552962</v>
      </c>
      <c r="AO49" s="23"/>
      <c r="AP49" s="24">
        <f t="shared" si="53"/>
        <v>181451297.4</v>
      </c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4">
        <f t="shared" si="54"/>
        <v>0</v>
      </c>
      <c r="BQ49" s="24">
        <f t="shared" si="4"/>
        <v>0</v>
      </c>
      <c r="CE49" s="24"/>
      <c r="CF49" s="26" t="s">
        <v>51</v>
      </c>
      <c r="CG49" s="27">
        <f t="shared" si="55"/>
        <v>13910854.75</v>
      </c>
      <c r="CH49" s="27">
        <f t="shared" si="56"/>
        <v>0</v>
      </c>
      <c r="CI49" s="27">
        <f t="shared" si="57"/>
        <v>14751937.695</v>
      </c>
      <c r="CJ49" s="27">
        <f t="shared" si="58"/>
        <v>7707948.430000001</v>
      </c>
      <c r="CK49" s="27">
        <f t="shared" si="59"/>
        <v>14751937.817499999</v>
      </c>
      <c r="CL49" s="27">
        <f t="shared" si="60"/>
        <v>0</v>
      </c>
      <c r="CM49" s="27">
        <f t="shared" si="61"/>
        <v>13629285.57</v>
      </c>
      <c r="CN49" s="27">
        <f t="shared" si="62"/>
        <v>0</v>
      </c>
      <c r="CO49" s="27">
        <f t="shared" si="63"/>
        <v>13614976.82</v>
      </c>
      <c r="CP49" s="27">
        <f t="shared" si="64"/>
        <v>1510726.25</v>
      </c>
      <c r="CQ49" s="27">
        <f t="shared" si="65"/>
        <v>10006974.54</v>
      </c>
      <c r="CR49" s="27">
        <f t="shared" si="66"/>
        <v>2667104.3775</v>
      </c>
      <c r="CS49" s="27">
        <f t="shared" si="67"/>
        <v>92551746.25</v>
      </c>
      <c r="CT49" s="18" t="s">
        <v>51</v>
      </c>
      <c r="CU49" s="38">
        <f aca="true" t="shared" si="72" ref="CU49:DF49">+CG49/$CS$49</f>
        <v>0.15030353627714507</v>
      </c>
      <c r="CV49" s="38">
        <f t="shared" si="72"/>
        <v>0</v>
      </c>
      <c r="CW49" s="38">
        <f t="shared" si="72"/>
        <v>0.15939124103776703</v>
      </c>
      <c r="CX49" s="38">
        <f t="shared" si="72"/>
        <v>0.08328258236402536</v>
      </c>
      <c r="CY49" s="38">
        <f t="shared" si="72"/>
        <v>0.1593912423613509</v>
      </c>
      <c r="CZ49" s="38">
        <f t="shared" si="72"/>
        <v>0</v>
      </c>
      <c r="DA49" s="38">
        <f t="shared" si="72"/>
        <v>0.14726124705615698</v>
      </c>
      <c r="DB49" s="38">
        <f t="shared" si="72"/>
        <v>0</v>
      </c>
      <c r="DC49" s="38">
        <f t="shared" si="72"/>
        <v>0.14710664435464393</v>
      </c>
      <c r="DD49" s="38">
        <f t="shared" si="72"/>
        <v>0.01632304425590457</v>
      </c>
      <c r="DE49" s="38">
        <f t="shared" si="72"/>
        <v>0.10812302247619665</v>
      </c>
      <c r="DF49" s="38">
        <f t="shared" si="72"/>
        <v>0.028817439816809506</v>
      </c>
      <c r="DG49" s="29">
        <f t="shared" si="19"/>
        <v>1</v>
      </c>
    </row>
    <row r="50" spans="1:111" ht="17.25" customHeight="1">
      <c r="A50" s="14" t="s">
        <v>52</v>
      </c>
      <c r="B50" s="15"/>
      <c r="C50" s="36"/>
      <c r="D50" s="36"/>
      <c r="E50" s="36"/>
      <c r="F50" s="36"/>
      <c r="G50" s="36"/>
      <c r="H50" s="36"/>
      <c r="I50" s="36"/>
      <c r="J50" s="36"/>
      <c r="K50" s="15"/>
      <c r="L50" s="15"/>
      <c r="M50" s="15"/>
      <c r="N50" s="17">
        <f t="shared" si="51"/>
        <v>0</v>
      </c>
      <c r="O50" s="18" t="s">
        <v>52</v>
      </c>
      <c r="P50" s="30">
        <v>95643720</v>
      </c>
      <c r="Q50" s="30">
        <v>0</v>
      </c>
      <c r="R50" s="27">
        <v>115799489</v>
      </c>
      <c r="S50" s="31">
        <v>95607660.39</v>
      </c>
      <c r="T50" s="31">
        <v>115799489.11</v>
      </c>
      <c r="U50" s="31">
        <v>0</v>
      </c>
      <c r="V50" s="31">
        <v>115799489.11</v>
      </c>
      <c r="W50" s="31">
        <v>0</v>
      </c>
      <c r="X50" s="31">
        <v>115799489.11</v>
      </c>
      <c r="Y50" s="27">
        <v>0</v>
      </c>
      <c r="Z50" s="31">
        <v>57899744.61</v>
      </c>
      <c r="AA50" s="27">
        <v>42673670.04</v>
      </c>
      <c r="AB50" s="22">
        <f t="shared" si="52"/>
        <v>755022751.37</v>
      </c>
      <c r="AC50" s="18" t="s">
        <v>52</v>
      </c>
      <c r="AD50" s="23">
        <v>126929928</v>
      </c>
      <c r="AE50" s="23"/>
      <c r="AF50" s="23">
        <v>120231515</v>
      </c>
      <c r="AG50" s="23">
        <v>27719514.46</v>
      </c>
      <c r="AH50" s="23">
        <v>120231515</v>
      </c>
      <c r="AI50" s="23"/>
      <c r="AJ50" s="23">
        <v>102269083</v>
      </c>
      <c r="AK50" s="23"/>
      <c r="AL50" s="23">
        <v>102040142</v>
      </c>
      <c r="AM50" s="23">
        <v>24171617</v>
      </c>
      <c r="AN50" s="23">
        <v>102211848</v>
      </c>
      <c r="AO50" s="23"/>
      <c r="AP50" s="24">
        <f t="shared" si="53"/>
        <v>725805162.46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>
        <f t="shared" si="54"/>
        <v>0</v>
      </c>
      <c r="BQ50" s="24">
        <f t="shared" si="4"/>
        <v>0</v>
      </c>
      <c r="CE50" s="24"/>
      <c r="CF50" s="26" t="s">
        <v>52</v>
      </c>
      <c r="CG50" s="27">
        <f t="shared" si="55"/>
        <v>55643412</v>
      </c>
      <c r="CH50" s="27">
        <f t="shared" si="56"/>
        <v>0</v>
      </c>
      <c r="CI50" s="27">
        <f t="shared" si="57"/>
        <v>59007751</v>
      </c>
      <c r="CJ50" s="27">
        <f t="shared" si="58"/>
        <v>30831793.7125</v>
      </c>
      <c r="CK50" s="27">
        <f t="shared" si="59"/>
        <v>59007751.0275</v>
      </c>
      <c r="CL50" s="27">
        <f t="shared" si="60"/>
        <v>0</v>
      </c>
      <c r="CM50" s="27">
        <f t="shared" si="61"/>
        <v>54517143.0275</v>
      </c>
      <c r="CN50" s="27">
        <f t="shared" si="62"/>
        <v>0</v>
      </c>
      <c r="CO50" s="27">
        <f t="shared" si="63"/>
        <v>54459907.7775</v>
      </c>
      <c r="CP50" s="27">
        <f t="shared" si="64"/>
        <v>6042904.25</v>
      </c>
      <c r="CQ50" s="27">
        <f t="shared" si="65"/>
        <v>40027898.1525</v>
      </c>
      <c r="CR50" s="27">
        <f t="shared" si="66"/>
        <v>10668417.51</v>
      </c>
      <c r="CS50" s="27">
        <f t="shared" si="67"/>
        <v>370206978.4575</v>
      </c>
      <c r="CT50" s="18" t="s">
        <v>52</v>
      </c>
      <c r="CU50" s="38">
        <f aca="true" t="shared" si="73" ref="CU50:DF50">+CG50/$CS$50</f>
        <v>0.15030352002504974</v>
      </c>
      <c r="CV50" s="38">
        <f t="shared" si="73"/>
        <v>0</v>
      </c>
      <c r="CW50" s="38">
        <f t="shared" si="73"/>
        <v>0.15939124444887828</v>
      </c>
      <c r="CX50" s="38">
        <f t="shared" si="73"/>
        <v>0.08328258381558172</v>
      </c>
      <c r="CY50" s="38">
        <f t="shared" si="73"/>
        <v>0.15939124452316109</v>
      </c>
      <c r="CZ50" s="38">
        <f t="shared" si="73"/>
        <v>0</v>
      </c>
      <c r="DA50" s="38">
        <f t="shared" si="73"/>
        <v>0.14726125167777898</v>
      </c>
      <c r="DB50" s="38">
        <f t="shared" si="73"/>
        <v>0</v>
      </c>
      <c r="DC50" s="38">
        <f t="shared" si="73"/>
        <v>0.1471066482982358</v>
      </c>
      <c r="DD50" s="38">
        <f t="shared" si="73"/>
        <v>0.01632304251848059</v>
      </c>
      <c r="DE50" s="38">
        <f t="shared" si="73"/>
        <v>0.10812302436674687</v>
      </c>
      <c r="DF50" s="38">
        <f t="shared" si="73"/>
        <v>0.02881744032608705</v>
      </c>
      <c r="DG50" s="29">
        <f t="shared" si="19"/>
        <v>1.0000000000000002</v>
      </c>
    </row>
    <row r="51" spans="1:111" ht="15" customHeight="1">
      <c r="A51" s="40"/>
      <c r="B51" s="15"/>
      <c r="C51" s="36"/>
      <c r="D51" s="36"/>
      <c r="E51" s="36"/>
      <c r="F51" s="36"/>
      <c r="G51" s="36"/>
      <c r="H51" s="36"/>
      <c r="I51" s="36"/>
      <c r="J51" s="36"/>
      <c r="K51" s="15"/>
      <c r="L51" s="15"/>
      <c r="M51" s="15"/>
      <c r="N51" s="17">
        <f t="shared" si="51"/>
        <v>0</v>
      </c>
      <c r="O51" s="27"/>
      <c r="P51" s="30">
        <v>0</v>
      </c>
      <c r="Q51" s="30">
        <v>0</v>
      </c>
      <c r="R51" s="27"/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27">
        <v>0</v>
      </c>
      <c r="Z51" s="31">
        <v>0</v>
      </c>
      <c r="AA51" s="27"/>
      <c r="AB51" s="22">
        <f t="shared" si="52"/>
        <v>0</v>
      </c>
      <c r="AC51" s="27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>
        <f t="shared" si="53"/>
        <v>0</v>
      </c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>
        <f t="shared" si="54"/>
        <v>0</v>
      </c>
      <c r="BQ51" s="24">
        <f t="shared" si="4"/>
        <v>0</v>
      </c>
      <c r="CE51" s="24"/>
      <c r="CF51" s="27"/>
      <c r="CG51" s="27">
        <f t="shared" si="55"/>
        <v>0</v>
      </c>
      <c r="CH51" s="27">
        <f t="shared" si="56"/>
        <v>0</v>
      </c>
      <c r="CI51" s="27">
        <f t="shared" si="57"/>
        <v>0</v>
      </c>
      <c r="CJ51" s="27">
        <f t="shared" si="58"/>
        <v>0</v>
      </c>
      <c r="CK51" s="27">
        <f t="shared" si="59"/>
        <v>0</v>
      </c>
      <c r="CL51" s="27">
        <f t="shared" si="60"/>
        <v>0</v>
      </c>
      <c r="CM51" s="27">
        <f t="shared" si="61"/>
        <v>0</v>
      </c>
      <c r="CN51" s="27">
        <f t="shared" si="62"/>
        <v>0</v>
      </c>
      <c r="CO51" s="27">
        <f t="shared" si="63"/>
        <v>0</v>
      </c>
      <c r="CP51" s="27">
        <f t="shared" si="64"/>
        <v>0</v>
      </c>
      <c r="CQ51" s="27">
        <f t="shared" si="65"/>
        <v>0</v>
      </c>
      <c r="CR51" s="27">
        <f t="shared" si="66"/>
        <v>0</v>
      </c>
      <c r="CS51" s="37"/>
      <c r="CT51" s="41"/>
      <c r="DG51" s="29"/>
    </row>
    <row r="52" spans="1:138" ht="13.5" customHeight="1">
      <c r="A52" s="14" t="s">
        <v>53</v>
      </c>
      <c r="B52" s="30">
        <f aca="true" t="shared" si="74" ref="B52:M52">SUM(B53+B61+B100)</f>
        <v>0</v>
      </c>
      <c r="C52" s="30">
        <f t="shared" si="74"/>
        <v>0</v>
      </c>
      <c r="D52" s="30">
        <f t="shared" si="74"/>
        <v>0</v>
      </c>
      <c r="E52" s="30">
        <f t="shared" si="74"/>
        <v>0</v>
      </c>
      <c r="F52" s="30">
        <f t="shared" si="74"/>
        <v>0</v>
      </c>
      <c r="G52" s="30">
        <f t="shared" si="74"/>
        <v>39000000</v>
      </c>
      <c r="H52" s="30">
        <f t="shared" si="74"/>
        <v>0</v>
      </c>
      <c r="I52" s="30">
        <f t="shared" si="74"/>
        <v>0</v>
      </c>
      <c r="J52" s="30">
        <f t="shared" si="74"/>
        <v>0</v>
      </c>
      <c r="K52" s="30">
        <f t="shared" si="74"/>
        <v>0</v>
      </c>
      <c r="L52" s="30">
        <f t="shared" si="74"/>
        <v>0</v>
      </c>
      <c r="M52" s="30">
        <f t="shared" si="74"/>
        <v>0</v>
      </c>
      <c r="N52" s="17">
        <f t="shared" si="51"/>
        <v>39000000</v>
      </c>
      <c r="O52" s="18" t="s">
        <v>53</v>
      </c>
      <c r="P52" s="30">
        <f aca="true" t="shared" si="75" ref="P52:AA52">SUM(P53+P61+P64)</f>
        <v>253104023</v>
      </c>
      <c r="Q52" s="30">
        <f t="shared" si="75"/>
        <v>10001323</v>
      </c>
      <c r="R52" s="23">
        <f t="shared" si="75"/>
        <v>21095110</v>
      </c>
      <c r="S52" s="23">
        <f t="shared" si="75"/>
        <v>6590921</v>
      </c>
      <c r="T52" s="23">
        <f t="shared" si="75"/>
        <v>5575843</v>
      </c>
      <c r="U52" s="23">
        <f t="shared" si="75"/>
        <v>4863814</v>
      </c>
      <c r="V52" s="23">
        <f t="shared" si="75"/>
        <v>12519898</v>
      </c>
      <c r="W52" s="23">
        <f t="shared" si="75"/>
        <v>30045949</v>
      </c>
      <c r="X52" s="23">
        <f t="shared" si="75"/>
        <v>7842825</v>
      </c>
      <c r="Y52" s="23">
        <f t="shared" si="75"/>
        <v>560752020</v>
      </c>
      <c r="Z52" s="23">
        <f t="shared" si="75"/>
        <v>565574027.56</v>
      </c>
      <c r="AA52" s="23">
        <f t="shared" si="75"/>
        <v>201480849</v>
      </c>
      <c r="AB52" s="22">
        <f t="shared" si="52"/>
        <v>1679446602.56</v>
      </c>
      <c r="AC52" s="18" t="s">
        <v>53</v>
      </c>
      <c r="AD52" s="23">
        <f aca="true" t="shared" si="76" ref="AD52:AO52">SUM(AD53+AD61+AD64)</f>
        <v>252429715</v>
      </c>
      <c r="AE52" s="23">
        <f t="shared" si="76"/>
        <v>13041173</v>
      </c>
      <c r="AF52" s="23">
        <f t="shared" si="76"/>
        <v>23933318</v>
      </c>
      <c r="AG52" s="23">
        <f t="shared" si="76"/>
        <v>15960292</v>
      </c>
      <c r="AH52" s="23">
        <f t="shared" si="76"/>
        <v>121441669</v>
      </c>
      <c r="AI52" s="23">
        <f t="shared" si="76"/>
        <v>108162117</v>
      </c>
      <c r="AJ52" s="23">
        <f t="shared" si="76"/>
        <v>50757721</v>
      </c>
      <c r="AK52" s="23">
        <f t="shared" si="76"/>
        <v>280940850</v>
      </c>
      <c r="AL52" s="23">
        <f t="shared" si="76"/>
        <v>4605328</v>
      </c>
      <c r="AM52" s="23">
        <f t="shared" si="76"/>
        <v>5940187</v>
      </c>
      <c r="AN52" s="23">
        <f t="shared" si="76"/>
        <v>6622544</v>
      </c>
      <c r="AO52" s="23">
        <f t="shared" si="76"/>
        <v>0</v>
      </c>
      <c r="AP52" s="24">
        <f t="shared" si="53"/>
        <v>883834914</v>
      </c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>
        <f t="shared" si="54"/>
        <v>0</v>
      </c>
      <c r="BQ52" s="24">
        <f t="shared" si="4"/>
        <v>0</v>
      </c>
      <c r="BR52" s="7" t="s">
        <v>53</v>
      </c>
      <c r="BS52" s="7">
        <v>0</v>
      </c>
      <c r="BT52" s="7">
        <v>0</v>
      </c>
      <c r="BU52" s="7">
        <v>0</v>
      </c>
      <c r="BV52" s="7">
        <v>0</v>
      </c>
      <c r="BW52" s="52">
        <v>1265120</v>
      </c>
      <c r="BX52" s="52">
        <v>61634</v>
      </c>
      <c r="BY52" s="52">
        <v>9016</v>
      </c>
      <c r="BZ52" s="52">
        <v>29691</v>
      </c>
      <c r="CA52" s="52">
        <v>86734</v>
      </c>
      <c r="CB52" s="52">
        <v>16594</v>
      </c>
      <c r="CC52" s="7">
        <v>40725</v>
      </c>
      <c r="CD52" s="60">
        <v>579790</v>
      </c>
      <c r="CE52" s="24"/>
      <c r="CF52" s="26" t="s">
        <v>53</v>
      </c>
      <c r="CG52" s="27">
        <f t="shared" si="55"/>
        <v>126383434.5</v>
      </c>
      <c r="CH52" s="27">
        <f t="shared" si="56"/>
        <v>5760624</v>
      </c>
      <c r="CI52" s="27">
        <f t="shared" si="57"/>
        <v>11257107</v>
      </c>
      <c r="CJ52" s="27">
        <f t="shared" si="58"/>
        <v>5637803.25</v>
      </c>
      <c r="CK52" s="27">
        <f t="shared" si="59"/>
        <v>31754378</v>
      </c>
      <c r="CL52" s="27">
        <f t="shared" si="60"/>
        <v>38006482.75</v>
      </c>
      <c r="CM52" s="27">
        <f t="shared" si="61"/>
        <v>15819404.75</v>
      </c>
      <c r="CN52" s="27">
        <f t="shared" si="62"/>
        <v>77746699.75</v>
      </c>
      <c r="CO52" s="27">
        <f t="shared" si="63"/>
        <v>3112038.25</v>
      </c>
      <c r="CP52" s="27">
        <f t="shared" si="64"/>
        <v>141673051.75</v>
      </c>
      <c r="CQ52" s="27">
        <f t="shared" si="65"/>
        <v>143049142.89</v>
      </c>
      <c r="CR52" s="27">
        <f t="shared" si="66"/>
        <v>50370212.25</v>
      </c>
      <c r="CS52" s="37"/>
      <c r="CT52" s="18" t="s">
        <v>53</v>
      </c>
      <c r="DG52" s="29">
        <f aca="true" t="shared" si="77" ref="DG52:DG59">+SUM(CU52:DF52)</f>
        <v>0</v>
      </c>
      <c r="DV52" s="7" t="s">
        <v>53</v>
      </c>
      <c r="DW52" s="7">
        <v>0</v>
      </c>
      <c r="DX52" s="7">
        <v>0</v>
      </c>
      <c r="DY52" s="7">
        <v>0</v>
      </c>
      <c r="DZ52" s="7">
        <v>0</v>
      </c>
      <c r="EA52" s="52">
        <v>1265120</v>
      </c>
      <c r="EB52" s="52">
        <v>61634</v>
      </c>
      <c r="EC52" s="52">
        <v>9016</v>
      </c>
      <c r="ED52" s="52">
        <v>29691</v>
      </c>
      <c r="EE52" s="52">
        <v>86734</v>
      </c>
      <c r="EF52" s="52">
        <v>16594</v>
      </c>
      <c r="EG52" s="7">
        <v>40725</v>
      </c>
      <c r="EH52" s="60">
        <v>579790</v>
      </c>
    </row>
    <row r="53" spans="1:138" ht="15" customHeight="1">
      <c r="A53" s="14" t="s">
        <v>54</v>
      </c>
      <c r="B53" s="30">
        <f aca="true" t="shared" si="78" ref="B53:M53">SUM(B55:B60)</f>
        <v>0</v>
      </c>
      <c r="C53" s="30">
        <f t="shared" si="78"/>
        <v>0</v>
      </c>
      <c r="D53" s="30">
        <f t="shared" si="78"/>
        <v>0</v>
      </c>
      <c r="E53" s="30">
        <f t="shared" si="78"/>
        <v>0</v>
      </c>
      <c r="F53" s="30">
        <f t="shared" si="78"/>
        <v>0</v>
      </c>
      <c r="G53" s="30">
        <f t="shared" si="78"/>
        <v>0</v>
      </c>
      <c r="H53" s="30">
        <f t="shared" si="78"/>
        <v>0</v>
      </c>
      <c r="I53" s="30">
        <f t="shared" si="78"/>
        <v>0</v>
      </c>
      <c r="J53" s="30">
        <f t="shared" si="78"/>
        <v>0</v>
      </c>
      <c r="K53" s="30">
        <f t="shared" si="78"/>
        <v>0</v>
      </c>
      <c r="L53" s="30">
        <f t="shared" si="78"/>
        <v>0</v>
      </c>
      <c r="M53" s="30">
        <f t="shared" si="78"/>
        <v>0</v>
      </c>
      <c r="N53" s="17">
        <f t="shared" si="51"/>
        <v>0</v>
      </c>
      <c r="O53" s="18" t="s">
        <v>54</v>
      </c>
      <c r="P53" s="30">
        <f aca="true" t="shared" si="79" ref="P53:AA53">SUM(P55:P60)</f>
        <v>2906300</v>
      </c>
      <c r="Q53" s="30">
        <f t="shared" si="79"/>
        <v>10001323</v>
      </c>
      <c r="R53" s="23">
        <f t="shared" si="79"/>
        <v>20785670</v>
      </c>
      <c r="S53" s="23">
        <f t="shared" si="79"/>
        <v>6510451</v>
      </c>
      <c r="T53" s="23">
        <f t="shared" si="79"/>
        <v>5526030</v>
      </c>
      <c r="U53" s="23">
        <f t="shared" si="79"/>
        <v>4688015</v>
      </c>
      <c r="V53" s="23">
        <f t="shared" si="79"/>
        <v>12474367</v>
      </c>
      <c r="W53" s="23">
        <f t="shared" si="79"/>
        <v>29968568</v>
      </c>
      <c r="X53" s="23">
        <f t="shared" si="79"/>
        <v>7301826</v>
      </c>
      <c r="Y53" s="23">
        <f t="shared" si="79"/>
        <v>1955664</v>
      </c>
      <c r="Z53" s="23">
        <f t="shared" si="79"/>
        <v>5104833</v>
      </c>
      <c r="AA53" s="23">
        <f t="shared" si="79"/>
        <v>2143934</v>
      </c>
      <c r="AB53" s="22">
        <f t="shared" si="52"/>
        <v>109366981</v>
      </c>
      <c r="AC53" s="18" t="s">
        <v>54</v>
      </c>
      <c r="AD53" s="23">
        <f>SUM(AD55:AD60)</f>
        <v>6421034</v>
      </c>
      <c r="AE53" s="23">
        <f>SUM(AE55:AE60)</f>
        <v>11170412</v>
      </c>
      <c r="AF53" s="23">
        <f aca="true" t="shared" si="80" ref="AF53:AO53">SUM(AF54:AF59)</f>
        <v>23783908</v>
      </c>
      <c r="AG53" s="23">
        <f t="shared" si="80"/>
        <v>15742128</v>
      </c>
      <c r="AH53" s="23">
        <f t="shared" si="80"/>
        <v>21325051</v>
      </c>
      <c r="AI53" s="23">
        <f t="shared" si="80"/>
        <v>7666801</v>
      </c>
      <c r="AJ53" s="23">
        <f t="shared" si="80"/>
        <v>50572496</v>
      </c>
      <c r="AK53" s="23">
        <f t="shared" si="80"/>
        <v>5308321</v>
      </c>
      <c r="AL53" s="23">
        <f t="shared" si="80"/>
        <v>4494982</v>
      </c>
      <c r="AM53" s="23">
        <f t="shared" si="80"/>
        <v>5893366</v>
      </c>
      <c r="AN53" s="23">
        <f t="shared" si="80"/>
        <v>6622544</v>
      </c>
      <c r="AO53" s="23">
        <f t="shared" si="80"/>
        <v>0</v>
      </c>
      <c r="AP53" s="24">
        <f t="shared" si="53"/>
        <v>159001043</v>
      </c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>
        <f t="shared" si="54"/>
        <v>0</v>
      </c>
      <c r="BD53" s="37" t="s">
        <v>182</v>
      </c>
      <c r="BE53" s="7">
        <v>0</v>
      </c>
      <c r="BF53" s="52">
        <v>0</v>
      </c>
      <c r="BG53" s="27">
        <v>0</v>
      </c>
      <c r="BH53" s="27">
        <v>0</v>
      </c>
      <c r="BI53" s="63">
        <v>0</v>
      </c>
      <c r="BJ53" s="27">
        <v>0</v>
      </c>
      <c r="BK53" s="64">
        <v>0</v>
      </c>
      <c r="BL53" s="65">
        <v>0</v>
      </c>
      <c r="BM53" s="66">
        <v>0</v>
      </c>
      <c r="BN53" s="65">
        <v>0</v>
      </c>
      <c r="BO53" s="64">
        <v>173537</v>
      </c>
      <c r="BP53" s="65">
        <v>0</v>
      </c>
      <c r="BQ53" s="24">
        <f t="shared" si="4"/>
        <v>173537</v>
      </c>
      <c r="BR53" s="7" t="s">
        <v>54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52">
        <v>29691</v>
      </c>
      <c r="CA53" s="52">
        <v>19500</v>
      </c>
      <c r="CB53" s="7">
        <v>0</v>
      </c>
      <c r="CC53" s="7">
        <v>0</v>
      </c>
      <c r="CD53" s="60">
        <v>407800</v>
      </c>
      <c r="CE53" s="24"/>
      <c r="CF53" s="26" t="s">
        <v>54</v>
      </c>
      <c r="CG53" s="27">
        <f t="shared" si="55"/>
        <v>2331833.5</v>
      </c>
      <c r="CH53" s="27">
        <f t="shared" si="56"/>
        <v>5292933.75</v>
      </c>
      <c r="CI53" s="27">
        <f t="shared" si="57"/>
        <v>11142394.5</v>
      </c>
      <c r="CJ53" s="27">
        <f t="shared" si="58"/>
        <v>5563144.75</v>
      </c>
      <c r="CK53" s="27">
        <f t="shared" si="59"/>
        <v>6712770.25</v>
      </c>
      <c r="CL53" s="27">
        <f t="shared" si="60"/>
        <v>3088704</v>
      </c>
      <c r="CM53" s="27">
        <f t="shared" si="61"/>
        <v>15761715.75</v>
      </c>
      <c r="CN53" s="27">
        <f t="shared" si="62"/>
        <v>8819222.25</v>
      </c>
      <c r="CO53" s="27">
        <f t="shared" si="63"/>
        <v>2949202</v>
      </c>
      <c r="CP53" s="27">
        <f t="shared" si="64"/>
        <v>1962257.5</v>
      </c>
      <c r="CQ53" s="27">
        <f t="shared" si="65"/>
        <v>2931844.25</v>
      </c>
      <c r="CR53" s="27">
        <f t="shared" si="66"/>
        <v>535983.5</v>
      </c>
      <c r="CS53" s="37"/>
      <c r="CT53" s="18" t="s">
        <v>54</v>
      </c>
      <c r="DG53" s="29">
        <f t="shared" si="77"/>
        <v>0</v>
      </c>
      <c r="DH53" s="37" t="s">
        <v>182</v>
      </c>
      <c r="DI53" s="7">
        <v>0</v>
      </c>
      <c r="DJ53" s="52">
        <v>0</v>
      </c>
      <c r="DK53" s="27">
        <v>0</v>
      </c>
      <c r="DL53" s="27">
        <v>0</v>
      </c>
      <c r="DM53" s="63">
        <v>0</v>
      </c>
      <c r="DN53" s="27">
        <v>0</v>
      </c>
      <c r="DO53" s="64">
        <v>0</v>
      </c>
      <c r="DP53" s="65">
        <v>0</v>
      </c>
      <c r="DQ53" s="66">
        <v>0</v>
      </c>
      <c r="DR53" s="65">
        <v>0</v>
      </c>
      <c r="DS53" s="64">
        <v>173537</v>
      </c>
      <c r="DT53" s="65">
        <v>0</v>
      </c>
      <c r="DV53" s="7" t="s">
        <v>54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52">
        <v>29691</v>
      </c>
      <c r="EE53" s="52">
        <v>19500</v>
      </c>
      <c r="EF53" s="7">
        <v>0</v>
      </c>
      <c r="EG53" s="7">
        <v>0</v>
      </c>
      <c r="EH53" s="60">
        <v>407800</v>
      </c>
    </row>
    <row r="54" spans="1:124" ht="15" customHeight="1">
      <c r="A54" s="14" t="s">
        <v>55</v>
      </c>
      <c r="B54" s="15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5">
        <v>0</v>
      </c>
      <c r="L54" s="15">
        <v>0</v>
      </c>
      <c r="M54" s="15"/>
      <c r="N54" s="17">
        <f t="shared" si="51"/>
        <v>0</v>
      </c>
      <c r="O54" s="18" t="s">
        <v>55</v>
      </c>
      <c r="P54" s="30">
        <v>0</v>
      </c>
      <c r="Q54" s="30">
        <v>0</v>
      </c>
      <c r="R54" s="27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27">
        <v>0</v>
      </c>
      <c r="Z54" s="31">
        <v>0</v>
      </c>
      <c r="AA54" s="27">
        <v>0</v>
      </c>
      <c r="AB54" s="22">
        <f t="shared" si="52"/>
        <v>0</v>
      </c>
      <c r="AC54" s="18" t="s">
        <v>55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>
        <f t="shared" si="53"/>
        <v>0</v>
      </c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4">
        <f t="shared" si="54"/>
        <v>0</v>
      </c>
      <c r="BD54" s="37" t="s">
        <v>183</v>
      </c>
      <c r="BE54" s="7">
        <v>0</v>
      </c>
      <c r="BF54" s="52">
        <v>0</v>
      </c>
      <c r="BG54" s="27">
        <v>0</v>
      </c>
      <c r="BH54" s="27">
        <v>0</v>
      </c>
      <c r="BI54" s="63">
        <v>0</v>
      </c>
      <c r="BJ54" s="27">
        <v>0</v>
      </c>
      <c r="BK54" s="64">
        <v>0</v>
      </c>
      <c r="BL54" s="65">
        <v>0</v>
      </c>
      <c r="BM54" s="66">
        <v>0</v>
      </c>
      <c r="BN54" s="65">
        <v>0</v>
      </c>
      <c r="BO54" s="64">
        <v>115217</v>
      </c>
      <c r="BP54" s="65">
        <v>0</v>
      </c>
      <c r="BQ54" s="24">
        <f t="shared" si="4"/>
        <v>115217</v>
      </c>
      <c r="CE54" s="24"/>
      <c r="CF54" s="26" t="s">
        <v>55</v>
      </c>
      <c r="CG54" s="27">
        <f t="shared" si="55"/>
        <v>0</v>
      </c>
      <c r="CH54" s="27">
        <f t="shared" si="56"/>
        <v>0</v>
      </c>
      <c r="CI54" s="27">
        <f t="shared" si="57"/>
        <v>0</v>
      </c>
      <c r="CJ54" s="27">
        <f t="shared" si="58"/>
        <v>0</v>
      </c>
      <c r="CK54" s="27">
        <f t="shared" si="59"/>
        <v>0</v>
      </c>
      <c r="CL54" s="27">
        <f t="shared" si="60"/>
        <v>0</v>
      </c>
      <c r="CM54" s="27">
        <f t="shared" si="61"/>
        <v>0</v>
      </c>
      <c r="CN54" s="27">
        <f t="shared" si="62"/>
        <v>0</v>
      </c>
      <c r="CO54" s="27">
        <f t="shared" si="63"/>
        <v>0</v>
      </c>
      <c r="CP54" s="27">
        <f t="shared" si="64"/>
        <v>0</v>
      </c>
      <c r="CQ54" s="27">
        <f t="shared" si="65"/>
        <v>0</v>
      </c>
      <c r="CR54" s="27">
        <f t="shared" si="66"/>
        <v>0</v>
      </c>
      <c r="CS54" s="27">
        <f aca="true" t="shared" si="81" ref="CS54:CS59">+SUM(CG54:CR54)</f>
        <v>0</v>
      </c>
      <c r="CT54" s="18" t="s">
        <v>55</v>
      </c>
      <c r="CU54" s="38" t="e">
        <f aca="true" t="shared" si="82" ref="CU54:DF54">+CG54/$CS$54</f>
        <v>#DIV/0!</v>
      </c>
      <c r="CV54" s="38" t="e">
        <f t="shared" si="82"/>
        <v>#DIV/0!</v>
      </c>
      <c r="CW54" s="38" t="e">
        <f t="shared" si="82"/>
        <v>#DIV/0!</v>
      </c>
      <c r="CX54" s="38" t="e">
        <f t="shared" si="82"/>
        <v>#DIV/0!</v>
      </c>
      <c r="CY54" s="38" t="e">
        <f t="shared" si="82"/>
        <v>#DIV/0!</v>
      </c>
      <c r="CZ54" s="38" t="e">
        <f t="shared" si="82"/>
        <v>#DIV/0!</v>
      </c>
      <c r="DA54" s="38" t="e">
        <f t="shared" si="82"/>
        <v>#DIV/0!</v>
      </c>
      <c r="DB54" s="38" t="e">
        <f t="shared" si="82"/>
        <v>#DIV/0!</v>
      </c>
      <c r="DC54" s="38" t="e">
        <f t="shared" si="82"/>
        <v>#DIV/0!</v>
      </c>
      <c r="DD54" s="38" t="e">
        <f t="shared" si="82"/>
        <v>#DIV/0!</v>
      </c>
      <c r="DE54" s="38" t="e">
        <f t="shared" si="82"/>
        <v>#DIV/0!</v>
      </c>
      <c r="DF54" s="38" t="e">
        <f t="shared" si="82"/>
        <v>#DIV/0!</v>
      </c>
      <c r="DG54" s="29" t="e">
        <f t="shared" si="77"/>
        <v>#DIV/0!</v>
      </c>
      <c r="DH54" s="37" t="s">
        <v>183</v>
      </c>
      <c r="DI54" s="7">
        <v>0</v>
      </c>
      <c r="DJ54" s="52">
        <v>0</v>
      </c>
      <c r="DK54" s="27">
        <v>0</v>
      </c>
      <c r="DL54" s="27">
        <v>0</v>
      </c>
      <c r="DM54" s="63">
        <v>0</v>
      </c>
      <c r="DN54" s="27">
        <v>0</v>
      </c>
      <c r="DO54" s="64">
        <v>0</v>
      </c>
      <c r="DP54" s="65">
        <v>0</v>
      </c>
      <c r="DQ54" s="66">
        <v>0</v>
      </c>
      <c r="DR54" s="65">
        <v>0</v>
      </c>
      <c r="DS54" s="64">
        <v>115217</v>
      </c>
      <c r="DT54" s="65">
        <v>0</v>
      </c>
    </row>
    <row r="55" spans="1:111" ht="13.5" customHeight="1">
      <c r="A55" s="14" t="s">
        <v>56</v>
      </c>
      <c r="B55" s="15"/>
      <c r="C55" s="36"/>
      <c r="D55" s="36"/>
      <c r="E55" s="36"/>
      <c r="F55" s="36"/>
      <c r="G55" s="36"/>
      <c r="H55" s="36"/>
      <c r="I55" s="36"/>
      <c r="J55" s="36"/>
      <c r="K55" s="15"/>
      <c r="L55" s="15"/>
      <c r="M55" s="15"/>
      <c r="N55" s="17">
        <f t="shared" si="51"/>
        <v>0</v>
      </c>
      <c r="O55" s="18" t="s">
        <v>56</v>
      </c>
      <c r="P55" s="30">
        <v>2906300</v>
      </c>
      <c r="Q55" s="30">
        <v>10001323</v>
      </c>
      <c r="R55" s="27">
        <v>20785670</v>
      </c>
      <c r="S55" s="31">
        <v>6510451</v>
      </c>
      <c r="T55" s="31">
        <v>5526030</v>
      </c>
      <c r="U55" s="31">
        <v>4688015</v>
      </c>
      <c r="V55" s="31">
        <v>12474367</v>
      </c>
      <c r="W55" s="31">
        <v>29968568</v>
      </c>
      <c r="X55" s="31">
        <v>7301826</v>
      </c>
      <c r="Y55" s="27">
        <v>1955664</v>
      </c>
      <c r="Z55" s="31">
        <v>5104833</v>
      </c>
      <c r="AA55" s="27">
        <v>2143934</v>
      </c>
      <c r="AB55" s="22">
        <f t="shared" si="52"/>
        <v>109366981</v>
      </c>
      <c r="AC55" s="18" t="s">
        <v>56</v>
      </c>
      <c r="AD55" s="23">
        <v>3445146</v>
      </c>
      <c r="AE55" s="23">
        <v>7281110</v>
      </c>
      <c r="AF55" s="23">
        <v>15637212</v>
      </c>
      <c r="AG55" s="23">
        <v>9453486</v>
      </c>
      <c r="AH55" s="23">
        <v>13138702</v>
      </c>
      <c r="AI55" s="23">
        <v>5502701</v>
      </c>
      <c r="AJ55" s="23">
        <v>10185364</v>
      </c>
      <c r="AK55" s="23">
        <v>2653939</v>
      </c>
      <c r="AL55" s="23">
        <v>2756504</v>
      </c>
      <c r="AM55" s="23">
        <v>4746489</v>
      </c>
      <c r="AN55" s="23">
        <v>4568081</v>
      </c>
      <c r="AO55" s="23"/>
      <c r="AP55" s="24">
        <f t="shared" si="53"/>
        <v>79368734</v>
      </c>
      <c r="AQ55" s="23">
        <v>7654762</v>
      </c>
      <c r="AR55" s="23">
        <v>10250862</v>
      </c>
      <c r="AS55" s="23">
        <v>19166634</v>
      </c>
      <c r="AT55" s="23">
        <v>7679782</v>
      </c>
      <c r="AU55" s="23">
        <v>19602442</v>
      </c>
      <c r="AV55" s="23">
        <v>10562140</v>
      </c>
      <c r="AW55" s="23">
        <v>5734470</v>
      </c>
      <c r="AX55" s="23">
        <v>4737170</v>
      </c>
      <c r="AY55" s="23">
        <v>4169644</v>
      </c>
      <c r="AZ55" s="23">
        <v>7889244</v>
      </c>
      <c r="BA55" s="23">
        <v>5799634</v>
      </c>
      <c r="BB55" s="23">
        <v>2882000</v>
      </c>
      <c r="BC55" s="24">
        <f t="shared" si="54"/>
        <v>106128784</v>
      </c>
      <c r="BQ55" s="24">
        <f t="shared" si="4"/>
        <v>0</v>
      </c>
      <c r="CE55" s="24"/>
      <c r="CF55" s="26" t="s">
        <v>56</v>
      </c>
      <c r="CG55" s="27">
        <f t="shared" si="55"/>
        <v>3501552</v>
      </c>
      <c r="CH55" s="27">
        <f t="shared" si="56"/>
        <v>6883323.75</v>
      </c>
      <c r="CI55" s="27">
        <f t="shared" si="57"/>
        <v>13897379</v>
      </c>
      <c r="CJ55" s="27">
        <f t="shared" si="58"/>
        <v>5910929.75</v>
      </c>
      <c r="CK55" s="27">
        <f t="shared" si="59"/>
        <v>9566793.5</v>
      </c>
      <c r="CL55" s="27">
        <f t="shared" si="60"/>
        <v>5188214</v>
      </c>
      <c r="CM55" s="27">
        <f t="shared" si="61"/>
        <v>7098550.25</v>
      </c>
      <c r="CN55" s="27">
        <f t="shared" si="62"/>
        <v>9339919.25</v>
      </c>
      <c r="CO55" s="27">
        <f t="shared" si="63"/>
        <v>3556993.5</v>
      </c>
      <c r="CP55" s="27">
        <f t="shared" si="64"/>
        <v>3647849.25</v>
      </c>
      <c r="CQ55" s="27">
        <f t="shared" si="65"/>
        <v>3868137</v>
      </c>
      <c r="CR55" s="27">
        <f t="shared" si="66"/>
        <v>1256483.5</v>
      </c>
      <c r="CS55" s="27">
        <f t="shared" si="81"/>
        <v>73716124.75</v>
      </c>
      <c r="CT55" s="18" t="s">
        <v>56</v>
      </c>
      <c r="CU55" s="28">
        <f aca="true" t="shared" si="83" ref="CU55:DF55">+CG55/$CS$55</f>
        <v>0.04750048936884735</v>
      </c>
      <c r="CV55" s="28">
        <f t="shared" si="83"/>
        <v>0.09337609340349921</v>
      </c>
      <c r="CW55" s="28">
        <f t="shared" si="83"/>
        <v>0.1885256319038936</v>
      </c>
      <c r="CX55" s="28">
        <f t="shared" si="83"/>
        <v>0.0801850310233515</v>
      </c>
      <c r="CY55" s="28">
        <f t="shared" si="83"/>
        <v>0.1297788446211017</v>
      </c>
      <c r="CZ55" s="28">
        <f t="shared" si="83"/>
        <v>0.07038099218583788</v>
      </c>
      <c r="DA55" s="28">
        <f t="shared" si="83"/>
        <v>0.09629575990428065</v>
      </c>
      <c r="DB55" s="28">
        <f t="shared" si="83"/>
        <v>0.1267011699499301</v>
      </c>
      <c r="DC55" s="28">
        <f t="shared" si="83"/>
        <v>0.04825258397756456</v>
      </c>
      <c r="DD55" s="28">
        <f t="shared" si="83"/>
        <v>0.0494850924729328</v>
      </c>
      <c r="DE55" s="28">
        <f t="shared" si="83"/>
        <v>0.05247341762902424</v>
      </c>
      <c r="DF55" s="28">
        <f t="shared" si="83"/>
        <v>0.017044893559736398</v>
      </c>
      <c r="DG55" s="29">
        <f t="shared" si="77"/>
        <v>0.9999999999999999</v>
      </c>
    </row>
    <row r="56" spans="1:138" ht="13.5" customHeight="1">
      <c r="A56" s="14" t="s">
        <v>15</v>
      </c>
      <c r="B56" s="15"/>
      <c r="C56" s="36"/>
      <c r="D56" s="36"/>
      <c r="E56" s="36"/>
      <c r="F56" s="36"/>
      <c r="G56" s="36"/>
      <c r="H56" s="36"/>
      <c r="I56" s="36"/>
      <c r="J56" s="36"/>
      <c r="K56" s="15"/>
      <c r="L56" s="15"/>
      <c r="M56" s="15"/>
      <c r="N56" s="17">
        <f t="shared" si="51"/>
        <v>0</v>
      </c>
      <c r="O56" s="18" t="s">
        <v>15</v>
      </c>
      <c r="P56" s="30"/>
      <c r="Q56" s="30"/>
      <c r="R56" s="27"/>
      <c r="S56" s="31"/>
      <c r="T56" s="31"/>
      <c r="U56" s="31"/>
      <c r="V56" s="31"/>
      <c r="W56" s="31"/>
      <c r="X56" s="31"/>
      <c r="Y56" s="27"/>
      <c r="Z56" s="31"/>
      <c r="AA56" s="27"/>
      <c r="AB56" s="22">
        <f t="shared" si="52"/>
        <v>0</v>
      </c>
      <c r="AC56" s="18" t="s">
        <v>15</v>
      </c>
      <c r="AD56" s="23">
        <v>516200</v>
      </c>
      <c r="AE56" s="23">
        <v>336850</v>
      </c>
      <c r="AF56" s="23">
        <v>198950</v>
      </c>
      <c r="AG56" s="23">
        <v>59750</v>
      </c>
      <c r="AH56" s="23">
        <v>233800</v>
      </c>
      <c r="AI56" s="23">
        <v>125900</v>
      </c>
      <c r="AJ56" s="23">
        <v>190550</v>
      </c>
      <c r="AK56" s="23">
        <v>109850</v>
      </c>
      <c r="AL56" s="23">
        <v>146100</v>
      </c>
      <c r="AM56" s="23">
        <v>37750</v>
      </c>
      <c r="AN56" s="23">
        <v>70650</v>
      </c>
      <c r="AO56" s="23"/>
      <c r="AP56" s="24">
        <f t="shared" si="53"/>
        <v>2026350</v>
      </c>
      <c r="AQ56" s="23">
        <v>355650</v>
      </c>
      <c r="AR56" s="23">
        <v>165150</v>
      </c>
      <c r="AS56" s="23">
        <v>392300</v>
      </c>
      <c r="AT56" s="23">
        <v>363800</v>
      </c>
      <c r="AU56" s="23">
        <v>366350</v>
      </c>
      <c r="AV56" s="23">
        <v>215850</v>
      </c>
      <c r="AW56" s="23">
        <v>251300</v>
      </c>
      <c r="AX56" s="23">
        <v>229950</v>
      </c>
      <c r="AY56" s="23">
        <v>180550</v>
      </c>
      <c r="AZ56" s="23">
        <v>62400</v>
      </c>
      <c r="BA56" s="23">
        <v>116250</v>
      </c>
      <c r="BB56" s="23">
        <v>124000</v>
      </c>
      <c r="BC56" s="24">
        <f t="shared" si="54"/>
        <v>2823550</v>
      </c>
      <c r="BQ56" s="24">
        <f t="shared" si="4"/>
        <v>0</v>
      </c>
      <c r="BU56" s="52"/>
      <c r="BV56" s="52"/>
      <c r="BW56" s="52"/>
      <c r="BZ56" s="52"/>
      <c r="CB56" s="52"/>
      <c r="CD56" s="60"/>
      <c r="CE56" s="24"/>
      <c r="CF56" s="26" t="s">
        <v>15</v>
      </c>
      <c r="CG56" s="27">
        <f t="shared" si="55"/>
        <v>217962.5</v>
      </c>
      <c r="CH56" s="27">
        <f t="shared" si="56"/>
        <v>125500</v>
      </c>
      <c r="CI56" s="27">
        <f t="shared" si="57"/>
        <v>147812.5</v>
      </c>
      <c r="CJ56" s="27">
        <f t="shared" si="58"/>
        <v>105887.5</v>
      </c>
      <c r="CK56" s="27">
        <f t="shared" si="59"/>
        <v>150037.5</v>
      </c>
      <c r="CL56" s="27">
        <f t="shared" si="60"/>
        <v>85437.5</v>
      </c>
      <c r="CM56" s="27">
        <f t="shared" si="61"/>
        <v>110462.5</v>
      </c>
      <c r="CN56" s="27">
        <f t="shared" si="62"/>
        <v>84950</v>
      </c>
      <c r="CO56" s="27">
        <f t="shared" si="63"/>
        <v>81662.5</v>
      </c>
      <c r="CP56" s="27">
        <f t="shared" si="64"/>
        <v>25037.5</v>
      </c>
      <c r="CQ56" s="27">
        <f t="shared" si="65"/>
        <v>46725</v>
      </c>
      <c r="CR56" s="27">
        <f t="shared" si="66"/>
        <v>31000</v>
      </c>
      <c r="CS56" s="27">
        <f t="shared" si="81"/>
        <v>1212475</v>
      </c>
      <c r="CT56" s="18" t="s">
        <v>15</v>
      </c>
      <c r="CU56" s="28">
        <f aca="true" t="shared" si="84" ref="CU56:DF56">+CG56/$CS$56</f>
        <v>0.17976659312563145</v>
      </c>
      <c r="CV56" s="28">
        <f t="shared" si="84"/>
        <v>0.10350728881007856</v>
      </c>
      <c r="CW56" s="28">
        <f t="shared" si="84"/>
        <v>0.12190973009752779</v>
      </c>
      <c r="CX56" s="28">
        <f t="shared" si="84"/>
        <v>0.08733169756077445</v>
      </c>
      <c r="CY56" s="28">
        <f t="shared" si="84"/>
        <v>0.12374481948081403</v>
      </c>
      <c r="CZ56" s="28">
        <f t="shared" si="84"/>
        <v>0.07046537042000867</v>
      </c>
      <c r="DA56" s="28">
        <f t="shared" si="84"/>
        <v>0.09110497123652034</v>
      </c>
      <c r="DB56" s="28">
        <f t="shared" si="84"/>
        <v>0.07006330027423247</v>
      </c>
      <c r="DC56" s="28">
        <f t="shared" si="84"/>
        <v>0.06735190416297243</v>
      </c>
      <c r="DD56" s="28">
        <f t="shared" si="84"/>
        <v>0.02064991030742902</v>
      </c>
      <c r="DE56" s="28">
        <f t="shared" si="84"/>
        <v>0.03853687704901132</v>
      </c>
      <c r="DF56" s="28">
        <f t="shared" si="84"/>
        <v>0.025567537474999485</v>
      </c>
      <c r="DG56" s="29">
        <f t="shared" si="77"/>
        <v>1</v>
      </c>
      <c r="DY56" s="52"/>
      <c r="DZ56" s="52"/>
      <c r="EA56" s="52"/>
      <c r="ED56" s="52"/>
      <c r="EF56" s="52"/>
      <c r="EH56" s="60"/>
    </row>
    <row r="57" spans="1:128" ht="13.5" customHeight="1">
      <c r="A57" s="14" t="s">
        <v>17</v>
      </c>
      <c r="B57" s="15"/>
      <c r="C57" s="36"/>
      <c r="D57" s="36"/>
      <c r="E57" s="36"/>
      <c r="F57" s="36"/>
      <c r="G57" s="36"/>
      <c r="H57" s="36"/>
      <c r="I57" s="36"/>
      <c r="J57" s="36"/>
      <c r="K57" s="15"/>
      <c r="L57" s="15"/>
      <c r="M57" s="15"/>
      <c r="N57" s="17">
        <f t="shared" si="51"/>
        <v>0</v>
      </c>
      <c r="O57" s="18" t="s">
        <v>17</v>
      </c>
      <c r="P57" s="30"/>
      <c r="Q57" s="30"/>
      <c r="R57" s="27"/>
      <c r="S57" s="31"/>
      <c r="T57" s="31"/>
      <c r="U57" s="31"/>
      <c r="V57" s="31"/>
      <c r="W57" s="31"/>
      <c r="X57" s="31"/>
      <c r="Y57" s="27"/>
      <c r="Z57" s="31"/>
      <c r="AA57" s="27"/>
      <c r="AB57" s="22">
        <f t="shared" si="52"/>
        <v>0</v>
      </c>
      <c r="AC57" s="18" t="s">
        <v>17</v>
      </c>
      <c r="AD57" s="23">
        <v>1860234</v>
      </c>
      <c r="AE57" s="23">
        <v>2648705</v>
      </c>
      <c r="AF57" s="23">
        <v>3807196</v>
      </c>
      <c r="AG57" s="23">
        <v>4515420</v>
      </c>
      <c r="AH57" s="23">
        <v>5868016</v>
      </c>
      <c r="AI57" s="23">
        <v>1529631</v>
      </c>
      <c r="AJ57" s="23">
        <v>29291360</v>
      </c>
      <c r="AK57" s="23">
        <v>1662778</v>
      </c>
      <c r="AL57" s="23">
        <v>747883</v>
      </c>
      <c r="AM57" s="23">
        <v>860315</v>
      </c>
      <c r="AN57" s="23">
        <v>613716</v>
      </c>
      <c r="AO57" s="23"/>
      <c r="AP57" s="24">
        <f t="shared" si="53"/>
        <v>53405254</v>
      </c>
      <c r="AQ57" s="23">
        <v>4559925</v>
      </c>
      <c r="AR57" s="23">
        <v>2546448</v>
      </c>
      <c r="AS57" s="23">
        <v>9169358</v>
      </c>
      <c r="AT57" s="23">
        <v>2992491</v>
      </c>
      <c r="AU57" s="23">
        <v>4238145</v>
      </c>
      <c r="AV57" s="23">
        <v>1624447</v>
      </c>
      <c r="AW57" s="23">
        <v>2058450</v>
      </c>
      <c r="AX57" s="23">
        <v>2521340</v>
      </c>
      <c r="AY57" s="23">
        <v>377858</v>
      </c>
      <c r="AZ57" s="23">
        <v>2287115</v>
      </c>
      <c r="BA57" s="23">
        <v>1047044</v>
      </c>
      <c r="BB57" s="23">
        <v>2567000</v>
      </c>
      <c r="BC57" s="24">
        <f t="shared" si="54"/>
        <v>35989621</v>
      </c>
      <c r="BQ57" s="24">
        <f t="shared" si="4"/>
        <v>0</v>
      </c>
      <c r="BT57" s="52"/>
      <c r="CE57" s="24"/>
      <c r="CF57" s="26" t="s">
        <v>17</v>
      </c>
      <c r="CG57" s="27">
        <f t="shared" si="55"/>
        <v>1605039.75</v>
      </c>
      <c r="CH57" s="27">
        <f t="shared" si="56"/>
        <v>1298788.25</v>
      </c>
      <c r="CI57" s="27">
        <f t="shared" si="57"/>
        <v>3244138.5</v>
      </c>
      <c r="CJ57" s="27">
        <f t="shared" si="58"/>
        <v>1876977.75</v>
      </c>
      <c r="CK57" s="27">
        <f t="shared" si="59"/>
        <v>2526540.25</v>
      </c>
      <c r="CL57" s="27">
        <f t="shared" si="60"/>
        <v>788519.5</v>
      </c>
      <c r="CM57" s="27">
        <f t="shared" si="61"/>
        <v>7837452.5</v>
      </c>
      <c r="CN57" s="27">
        <f t="shared" si="62"/>
        <v>1046029.5</v>
      </c>
      <c r="CO57" s="27">
        <f t="shared" si="63"/>
        <v>281435.25</v>
      </c>
      <c r="CP57" s="27">
        <f t="shared" si="64"/>
        <v>786857.5</v>
      </c>
      <c r="CQ57" s="27">
        <f t="shared" si="65"/>
        <v>415190</v>
      </c>
      <c r="CR57" s="27">
        <f t="shared" si="66"/>
        <v>641750</v>
      </c>
      <c r="CS57" s="27">
        <f t="shared" si="81"/>
        <v>22348718.75</v>
      </c>
      <c r="CT57" s="18" t="s">
        <v>17</v>
      </c>
      <c r="CU57" s="28">
        <f aca="true" t="shared" si="85" ref="CU57:DF57">+CG57/$CS$57</f>
        <v>0.07181797614236834</v>
      </c>
      <c r="CV57" s="28">
        <f t="shared" si="85"/>
        <v>0.05811466261348875</v>
      </c>
      <c r="CW57" s="28">
        <f t="shared" si="85"/>
        <v>0.1451599322668106</v>
      </c>
      <c r="CX57" s="28">
        <f t="shared" si="85"/>
        <v>0.08398592201174844</v>
      </c>
      <c r="CY57" s="28">
        <f t="shared" si="85"/>
        <v>0.11305078730743792</v>
      </c>
      <c r="CZ57" s="28">
        <f t="shared" si="85"/>
        <v>0.03528253717005589</v>
      </c>
      <c r="DA57" s="28">
        <f t="shared" si="85"/>
        <v>0.3506891194825207</v>
      </c>
      <c r="DB57" s="28">
        <f t="shared" si="85"/>
        <v>0.046804897931788596</v>
      </c>
      <c r="DC57" s="28">
        <f t="shared" si="85"/>
        <v>0.012592903116649585</v>
      </c>
      <c r="DD57" s="28">
        <f t="shared" si="85"/>
        <v>0.035208170490758</v>
      </c>
      <c r="DE57" s="28">
        <f t="shared" si="85"/>
        <v>0.01857779878320765</v>
      </c>
      <c r="DF57" s="28">
        <f t="shared" si="85"/>
        <v>0.028715292683165562</v>
      </c>
      <c r="DG57" s="29">
        <f t="shared" si="77"/>
        <v>1</v>
      </c>
      <c r="DX57" s="52"/>
    </row>
    <row r="58" spans="1:111" ht="15" customHeight="1">
      <c r="A58" s="14" t="s">
        <v>43</v>
      </c>
      <c r="B58" s="15"/>
      <c r="C58" s="36"/>
      <c r="D58" s="36"/>
      <c r="E58" s="36"/>
      <c r="F58" s="36"/>
      <c r="G58" s="36"/>
      <c r="H58" s="36"/>
      <c r="I58" s="36"/>
      <c r="J58" s="36"/>
      <c r="K58" s="15"/>
      <c r="L58" s="15"/>
      <c r="M58" s="15"/>
      <c r="N58" s="17">
        <f t="shared" si="51"/>
        <v>0</v>
      </c>
      <c r="O58" s="18" t="s">
        <v>43</v>
      </c>
      <c r="P58" s="30"/>
      <c r="Q58" s="30"/>
      <c r="R58" s="27"/>
      <c r="S58" s="31"/>
      <c r="T58" s="31"/>
      <c r="U58" s="31"/>
      <c r="V58" s="31"/>
      <c r="W58" s="31"/>
      <c r="X58" s="31"/>
      <c r="Y58" s="27"/>
      <c r="Z58" s="31"/>
      <c r="AA58" s="27"/>
      <c r="AB58" s="22">
        <f t="shared" si="52"/>
        <v>0</v>
      </c>
      <c r="AC58" s="18" t="s">
        <v>43</v>
      </c>
      <c r="AD58" s="23">
        <v>599454</v>
      </c>
      <c r="AE58" s="23">
        <v>903747</v>
      </c>
      <c r="AF58" s="23">
        <v>4140550</v>
      </c>
      <c r="AG58" s="23">
        <v>1234022</v>
      </c>
      <c r="AH58" s="23">
        <v>1247561</v>
      </c>
      <c r="AI58" s="23">
        <v>358369</v>
      </c>
      <c r="AJ58" s="23">
        <v>6311638</v>
      </c>
      <c r="AK58" s="23">
        <v>663208</v>
      </c>
      <c r="AL58" s="23">
        <v>597088</v>
      </c>
      <c r="AM58" s="23">
        <v>218012</v>
      </c>
      <c r="AN58" s="23">
        <v>454485</v>
      </c>
      <c r="AO58" s="23"/>
      <c r="AP58" s="24">
        <f t="shared" si="53"/>
        <v>16728134</v>
      </c>
      <c r="AQ58" s="23">
        <v>752924</v>
      </c>
      <c r="AR58" s="23">
        <v>875668</v>
      </c>
      <c r="AS58" s="23">
        <v>1829908</v>
      </c>
      <c r="AT58" s="23">
        <v>1896298</v>
      </c>
      <c r="AU58" s="23">
        <v>2008978</v>
      </c>
      <c r="AV58" s="23">
        <v>685169</v>
      </c>
      <c r="AW58" s="23">
        <v>2030859</v>
      </c>
      <c r="AX58" s="23">
        <v>1011018</v>
      </c>
      <c r="AY58" s="23">
        <v>454434</v>
      </c>
      <c r="AZ58" s="23">
        <v>486503</v>
      </c>
      <c r="BA58" s="23">
        <v>412613</v>
      </c>
      <c r="BB58" s="23">
        <v>1154000</v>
      </c>
      <c r="BC58" s="24">
        <f t="shared" si="54"/>
        <v>13598372</v>
      </c>
      <c r="BQ58" s="24">
        <f t="shared" si="4"/>
        <v>0</v>
      </c>
      <c r="CE58" s="24"/>
      <c r="CF58" s="26" t="s">
        <v>43</v>
      </c>
      <c r="CG58" s="27">
        <f t="shared" si="55"/>
        <v>338094.5</v>
      </c>
      <c r="CH58" s="27">
        <f t="shared" si="56"/>
        <v>444853.75</v>
      </c>
      <c r="CI58" s="27">
        <f t="shared" si="57"/>
        <v>1492614.5</v>
      </c>
      <c r="CJ58" s="27">
        <f t="shared" si="58"/>
        <v>782580</v>
      </c>
      <c r="CK58" s="27">
        <f t="shared" si="59"/>
        <v>814134.75</v>
      </c>
      <c r="CL58" s="27">
        <f t="shared" si="60"/>
        <v>260884.5</v>
      </c>
      <c r="CM58" s="27">
        <f t="shared" si="61"/>
        <v>2085624.25</v>
      </c>
      <c r="CN58" s="27">
        <f t="shared" si="62"/>
        <v>418556.5</v>
      </c>
      <c r="CO58" s="27">
        <f t="shared" si="63"/>
        <v>262880.5</v>
      </c>
      <c r="CP58" s="27">
        <f t="shared" si="64"/>
        <v>176128.75</v>
      </c>
      <c r="CQ58" s="27">
        <f t="shared" si="65"/>
        <v>216774.5</v>
      </c>
      <c r="CR58" s="27">
        <f t="shared" si="66"/>
        <v>288500</v>
      </c>
      <c r="CS58" s="27">
        <f t="shared" si="81"/>
        <v>7581626.5</v>
      </c>
      <c r="CT58" s="18" t="s">
        <v>43</v>
      </c>
      <c r="CU58" s="28">
        <f aca="true" t="shared" si="86" ref="CU58:DF58">+CG58/$CS$58</f>
        <v>0.04459392717380631</v>
      </c>
      <c r="CV58" s="28">
        <f t="shared" si="86"/>
        <v>0.058675239409380034</v>
      </c>
      <c r="CW58" s="28">
        <f t="shared" si="86"/>
        <v>0.1968725971927</v>
      </c>
      <c r="CX58" s="28">
        <f t="shared" si="86"/>
        <v>0.10322059521133098</v>
      </c>
      <c r="CY58" s="28">
        <f t="shared" si="86"/>
        <v>0.10738259791615955</v>
      </c>
      <c r="CZ58" s="28">
        <f t="shared" si="86"/>
        <v>0.03441009656700973</v>
      </c>
      <c r="DA58" s="28">
        <f t="shared" si="86"/>
        <v>0.2750892898773106</v>
      </c>
      <c r="DB58" s="28">
        <f t="shared" si="86"/>
        <v>0.05520668948806697</v>
      </c>
      <c r="DC58" s="28">
        <f t="shared" si="86"/>
        <v>0.034673364613780434</v>
      </c>
      <c r="DD58" s="28">
        <f t="shared" si="86"/>
        <v>0.023230997992317346</v>
      </c>
      <c r="DE58" s="28">
        <f t="shared" si="86"/>
        <v>0.028592083769887637</v>
      </c>
      <c r="DF58" s="28">
        <f t="shared" si="86"/>
        <v>0.03805252078825038</v>
      </c>
      <c r="DG58" s="29">
        <f t="shared" si="77"/>
        <v>1</v>
      </c>
    </row>
    <row r="59" spans="1:138" ht="15" customHeight="1">
      <c r="A59" s="14" t="s">
        <v>57</v>
      </c>
      <c r="B59" s="15"/>
      <c r="C59" s="36"/>
      <c r="D59" s="36"/>
      <c r="E59" s="36"/>
      <c r="F59" s="36"/>
      <c r="G59" s="36"/>
      <c r="H59" s="36"/>
      <c r="I59" s="36"/>
      <c r="J59" s="36"/>
      <c r="K59" s="15"/>
      <c r="L59" s="15"/>
      <c r="M59" s="15"/>
      <c r="N59" s="17">
        <f t="shared" si="51"/>
        <v>0</v>
      </c>
      <c r="O59" s="18" t="s">
        <v>57</v>
      </c>
      <c r="P59" s="30"/>
      <c r="Q59" s="30"/>
      <c r="R59" s="27"/>
      <c r="S59" s="31"/>
      <c r="T59" s="31"/>
      <c r="U59" s="31"/>
      <c r="V59" s="31"/>
      <c r="W59" s="31"/>
      <c r="X59" s="31"/>
      <c r="Y59" s="27"/>
      <c r="Z59" s="31"/>
      <c r="AA59" s="27"/>
      <c r="AB59" s="22">
        <f t="shared" si="52"/>
        <v>0</v>
      </c>
      <c r="AC59" s="18" t="s">
        <v>57</v>
      </c>
      <c r="AD59" s="23">
        <v>0</v>
      </c>
      <c r="AE59" s="23"/>
      <c r="AF59" s="23"/>
      <c r="AG59" s="23">
        <v>479450</v>
      </c>
      <c r="AH59" s="23">
        <v>836972</v>
      </c>
      <c r="AI59" s="23">
        <v>150200</v>
      </c>
      <c r="AJ59" s="23">
        <v>4593584</v>
      </c>
      <c r="AK59" s="23">
        <v>218546</v>
      </c>
      <c r="AL59" s="23">
        <v>247407</v>
      </c>
      <c r="AM59" s="23">
        <v>30800</v>
      </c>
      <c r="AN59" s="23">
        <v>915612</v>
      </c>
      <c r="AO59" s="23"/>
      <c r="AP59" s="24">
        <f t="shared" si="53"/>
        <v>7472571</v>
      </c>
      <c r="AQ59" s="23">
        <v>770200</v>
      </c>
      <c r="AR59" s="23">
        <v>341900</v>
      </c>
      <c r="AS59" s="23">
        <v>993410</v>
      </c>
      <c r="AT59" s="23">
        <v>434029</v>
      </c>
      <c r="AU59" s="23">
        <v>524132</v>
      </c>
      <c r="AV59" s="23">
        <v>147583</v>
      </c>
      <c r="AW59" s="23">
        <v>221600</v>
      </c>
      <c r="AX59" s="23">
        <v>125200</v>
      </c>
      <c r="AY59" s="23">
        <v>43150</v>
      </c>
      <c r="AZ59" s="23">
        <v>26790</v>
      </c>
      <c r="BA59" s="23">
        <v>51100</v>
      </c>
      <c r="BB59" s="23">
        <v>338000</v>
      </c>
      <c r="BC59" s="24">
        <f t="shared" si="54"/>
        <v>4017094</v>
      </c>
      <c r="BQ59" s="24">
        <f t="shared" si="4"/>
        <v>0</v>
      </c>
      <c r="BR59" s="7" t="s">
        <v>46</v>
      </c>
      <c r="BS59" s="7" t="s">
        <v>46</v>
      </c>
      <c r="BT59" s="52" t="s">
        <v>46</v>
      </c>
      <c r="BU59" s="7" t="s">
        <v>46</v>
      </c>
      <c r="BV59" s="7" t="s">
        <v>46</v>
      </c>
      <c r="BW59" s="7" t="s">
        <v>197</v>
      </c>
      <c r="BX59" s="52" t="s">
        <v>46</v>
      </c>
      <c r="BY59" s="52" t="s">
        <v>197</v>
      </c>
      <c r="BZ59" s="52" t="s">
        <v>46</v>
      </c>
      <c r="CA59" s="52" t="s">
        <v>46</v>
      </c>
      <c r="CB59" s="52" t="s">
        <v>46</v>
      </c>
      <c r="CC59" s="7" t="s">
        <v>46</v>
      </c>
      <c r="CD59" s="60" t="s">
        <v>46</v>
      </c>
      <c r="CE59" s="24"/>
      <c r="CF59" s="26" t="s">
        <v>57</v>
      </c>
      <c r="CG59" s="27">
        <f t="shared" si="55"/>
        <v>192550</v>
      </c>
      <c r="CH59" s="27">
        <f t="shared" si="56"/>
        <v>85475</v>
      </c>
      <c r="CI59" s="27">
        <f t="shared" si="57"/>
        <v>248352.5</v>
      </c>
      <c r="CJ59" s="27">
        <f t="shared" si="58"/>
        <v>228369.75</v>
      </c>
      <c r="CK59" s="27">
        <f t="shared" si="59"/>
        <v>340276</v>
      </c>
      <c r="CL59" s="27">
        <f t="shared" si="60"/>
        <v>74445.75</v>
      </c>
      <c r="CM59" s="27">
        <f t="shared" si="61"/>
        <v>1203796</v>
      </c>
      <c r="CN59" s="27">
        <f t="shared" si="62"/>
        <v>85936.5</v>
      </c>
      <c r="CO59" s="27">
        <f t="shared" si="63"/>
        <v>72639.25</v>
      </c>
      <c r="CP59" s="27">
        <f t="shared" si="64"/>
        <v>14397.5</v>
      </c>
      <c r="CQ59" s="27">
        <f t="shared" si="65"/>
        <v>241678</v>
      </c>
      <c r="CR59" s="27">
        <f t="shared" si="66"/>
        <v>84500</v>
      </c>
      <c r="CS59" s="27">
        <f t="shared" si="81"/>
        <v>2872416.25</v>
      </c>
      <c r="CT59" s="18" t="s">
        <v>57</v>
      </c>
      <c r="CU59" s="28">
        <f aca="true" t="shared" si="87" ref="CU59:DF59">+CG59/$CS$59</f>
        <v>0.06703415634833565</v>
      </c>
      <c r="CV59" s="28">
        <f t="shared" si="87"/>
        <v>0.029757177428584733</v>
      </c>
      <c r="CW59" s="28">
        <f t="shared" si="87"/>
        <v>0.0864611805479098</v>
      </c>
      <c r="CX59" s="28">
        <f t="shared" si="87"/>
        <v>0.07950440678644678</v>
      </c>
      <c r="CY59" s="28">
        <f t="shared" si="87"/>
        <v>0.11846333204666977</v>
      </c>
      <c r="CZ59" s="28">
        <f t="shared" si="87"/>
        <v>0.025917465826897478</v>
      </c>
      <c r="DA59" s="28">
        <f t="shared" si="87"/>
        <v>0.41908828499351375</v>
      </c>
      <c r="DB59" s="28">
        <f t="shared" si="87"/>
        <v>0.029917843557666825</v>
      </c>
      <c r="DC59" s="28">
        <f t="shared" si="87"/>
        <v>0.02528855279940712</v>
      </c>
      <c r="DD59" s="28">
        <f t="shared" si="87"/>
        <v>0.0050123306467159835</v>
      </c>
      <c r="DE59" s="28">
        <f t="shared" si="87"/>
        <v>0.08413752707324365</v>
      </c>
      <c r="DF59" s="28">
        <f t="shared" si="87"/>
        <v>0.029417741944608482</v>
      </c>
      <c r="DG59" s="29">
        <f t="shared" si="77"/>
        <v>1</v>
      </c>
      <c r="DV59" s="7" t="s">
        <v>46</v>
      </c>
      <c r="DW59" s="7" t="s">
        <v>46</v>
      </c>
      <c r="DX59" s="52" t="s">
        <v>46</v>
      </c>
      <c r="DY59" s="7" t="s">
        <v>46</v>
      </c>
      <c r="DZ59" s="7" t="s">
        <v>46</v>
      </c>
      <c r="EA59" s="7" t="s">
        <v>197</v>
      </c>
      <c r="EB59" s="52" t="s">
        <v>46</v>
      </c>
      <c r="EC59" s="52" t="s">
        <v>197</v>
      </c>
      <c r="ED59" s="52" t="s">
        <v>46</v>
      </c>
      <c r="EE59" s="52" t="s">
        <v>46</v>
      </c>
      <c r="EF59" s="52" t="s">
        <v>46</v>
      </c>
      <c r="EG59" s="7" t="s">
        <v>46</v>
      </c>
      <c r="EH59" s="60" t="s">
        <v>46</v>
      </c>
    </row>
    <row r="60" spans="1:111" ht="13.5" customHeight="1">
      <c r="A60" s="14"/>
      <c r="B60" s="15"/>
      <c r="C60" s="36"/>
      <c r="D60" s="36"/>
      <c r="E60" s="36"/>
      <c r="F60" s="36"/>
      <c r="G60" s="36"/>
      <c r="H60" s="36"/>
      <c r="I60" s="36"/>
      <c r="J60" s="36"/>
      <c r="K60" s="15"/>
      <c r="L60" s="15"/>
      <c r="M60" s="15"/>
      <c r="N60" s="17">
        <f t="shared" si="51"/>
        <v>0</v>
      </c>
      <c r="O60" s="18"/>
      <c r="P60" s="30">
        <v>0</v>
      </c>
      <c r="Q60" s="30">
        <v>0</v>
      </c>
      <c r="R60" s="27"/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27">
        <v>0</v>
      </c>
      <c r="Z60" s="31">
        <v>0</v>
      </c>
      <c r="AA60" s="27"/>
      <c r="AB60" s="22">
        <f t="shared" si="52"/>
        <v>0</v>
      </c>
      <c r="AC60" s="18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4">
        <f t="shared" si="53"/>
        <v>0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4">
        <f t="shared" si="54"/>
        <v>0</v>
      </c>
      <c r="BQ60" s="24">
        <f t="shared" si="4"/>
        <v>0</v>
      </c>
      <c r="CE60" s="24"/>
      <c r="CF60" s="26"/>
      <c r="CG60" s="27">
        <f t="shared" si="55"/>
        <v>0</v>
      </c>
      <c r="CH60" s="27">
        <f t="shared" si="56"/>
        <v>0</v>
      </c>
      <c r="CI60" s="27">
        <f t="shared" si="57"/>
        <v>0</v>
      </c>
      <c r="CJ60" s="27">
        <f t="shared" si="58"/>
        <v>0</v>
      </c>
      <c r="CK60" s="27">
        <f t="shared" si="59"/>
        <v>0</v>
      </c>
      <c r="CL60" s="27">
        <f t="shared" si="60"/>
        <v>0</v>
      </c>
      <c r="CM60" s="27">
        <f t="shared" si="61"/>
        <v>0</v>
      </c>
      <c r="CN60" s="27">
        <f t="shared" si="62"/>
        <v>0</v>
      </c>
      <c r="CO60" s="27">
        <f t="shared" si="63"/>
        <v>0</v>
      </c>
      <c r="CP60" s="27">
        <f t="shared" si="64"/>
        <v>0</v>
      </c>
      <c r="CQ60" s="27">
        <f t="shared" si="65"/>
        <v>0</v>
      </c>
      <c r="CR60" s="27">
        <f t="shared" si="66"/>
        <v>0</v>
      </c>
      <c r="CS60" s="37"/>
      <c r="CT60" s="18"/>
      <c r="DG60" s="29"/>
    </row>
    <row r="61" spans="1:138" ht="15" customHeight="1">
      <c r="A61" s="14" t="s">
        <v>58</v>
      </c>
      <c r="B61" s="30">
        <f aca="true" t="shared" si="88" ref="B61:M61">SUM(B62)</f>
        <v>0</v>
      </c>
      <c r="C61" s="30">
        <f t="shared" si="88"/>
        <v>0</v>
      </c>
      <c r="D61" s="30">
        <f t="shared" si="88"/>
        <v>0</v>
      </c>
      <c r="E61" s="30">
        <f t="shared" si="88"/>
        <v>0</v>
      </c>
      <c r="F61" s="30">
        <f t="shared" si="88"/>
        <v>0</v>
      </c>
      <c r="G61" s="30">
        <f t="shared" si="88"/>
        <v>39000000</v>
      </c>
      <c r="H61" s="30">
        <f t="shared" si="88"/>
        <v>0</v>
      </c>
      <c r="I61" s="30">
        <f t="shared" si="88"/>
        <v>0</v>
      </c>
      <c r="J61" s="30">
        <f t="shared" si="88"/>
        <v>0</v>
      </c>
      <c r="K61" s="30">
        <f t="shared" si="88"/>
        <v>0</v>
      </c>
      <c r="L61" s="30">
        <f t="shared" si="88"/>
        <v>0</v>
      </c>
      <c r="M61" s="30">
        <f t="shared" si="88"/>
        <v>0</v>
      </c>
      <c r="N61" s="17">
        <f t="shared" si="51"/>
        <v>39000000</v>
      </c>
      <c r="O61" s="18" t="s">
        <v>58</v>
      </c>
      <c r="P61" s="30">
        <f aca="true" t="shared" si="89" ref="P61:AA61">SUM(P62)</f>
        <v>250000000</v>
      </c>
      <c r="Q61" s="30">
        <f t="shared" si="89"/>
        <v>0</v>
      </c>
      <c r="R61" s="23">
        <f t="shared" si="89"/>
        <v>0</v>
      </c>
      <c r="S61" s="23">
        <f t="shared" si="89"/>
        <v>0</v>
      </c>
      <c r="T61" s="23">
        <f t="shared" si="89"/>
        <v>0</v>
      </c>
      <c r="U61" s="23">
        <f t="shared" si="89"/>
        <v>0</v>
      </c>
      <c r="V61" s="23">
        <f t="shared" si="89"/>
        <v>0</v>
      </c>
      <c r="W61" s="23">
        <f t="shared" si="89"/>
        <v>0</v>
      </c>
      <c r="X61" s="23">
        <f t="shared" si="89"/>
        <v>0</v>
      </c>
      <c r="Y61" s="23">
        <f t="shared" si="89"/>
        <v>558628747</v>
      </c>
      <c r="Z61" s="23">
        <f t="shared" si="89"/>
        <v>558628747</v>
      </c>
      <c r="AA61" s="23">
        <f t="shared" si="89"/>
        <v>199304000</v>
      </c>
      <c r="AB61" s="22">
        <f t="shared" si="52"/>
        <v>1566561494</v>
      </c>
      <c r="AC61" s="18" t="s">
        <v>58</v>
      </c>
      <c r="AD61" s="23">
        <f aca="true" t="shared" si="90" ref="AD61:AO61">SUM(AD62)</f>
        <v>245909884</v>
      </c>
      <c r="AE61" s="23">
        <f t="shared" si="90"/>
        <v>0</v>
      </c>
      <c r="AF61" s="23">
        <f t="shared" si="90"/>
        <v>0</v>
      </c>
      <c r="AG61" s="23">
        <f t="shared" si="90"/>
        <v>0</v>
      </c>
      <c r="AH61" s="23">
        <f t="shared" si="90"/>
        <v>100000000</v>
      </c>
      <c r="AI61" s="23">
        <f t="shared" si="90"/>
        <v>100000000</v>
      </c>
      <c r="AJ61" s="23">
        <f t="shared" si="90"/>
        <v>0</v>
      </c>
      <c r="AK61" s="23">
        <f t="shared" si="90"/>
        <v>275461369</v>
      </c>
      <c r="AL61" s="23">
        <f t="shared" si="90"/>
        <v>0</v>
      </c>
      <c r="AM61" s="23">
        <f t="shared" si="90"/>
        <v>0</v>
      </c>
      <c r="AN61" s="23">
        <f t="shared" si="90"/>
        <v>0</v>
      </c>
      <c r="AO61" s="23">
        <f t="shared" si="90"/>
        <v>0</v>
      </c>
      <c r="AP61" s="24">
        <f t="shared" si="53"/>
        <v>721371253</v>
      </c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4">
        <f t="shared" si="54"/>
        <v>0</v>
      </c>
      <c r="BQ61" s="24">
        <f t="shared" si="4"/>
        <v>0</v>
      </c>
      <c r="BS61" s="52" t="s">
        <v>46</v>
      </c>
      <c r="BT61" s="52" t="s">
        <v>46</v>
      </c>
      <c r="BU61" s="52" t="s">
        <v>197</v>
      </c>
      <c r="BV61" s="52" t="s">
        <v>46</v>
      </c>
      <c r="BW61" s="52" t="s">
        <v>46</v>
      </c>
      <c r="BX61" s="52" t="s">
        <v>46</v>
      </c>
      <c r="BY61" s="52" t="s">
        <v>46</v>
      </c>
      <c r="BZ61" s="52" t="s">
        <v>46</v>
      </c>
      <c r="CA61" s="52" t="s">
        <v>46</v>
      </c>
      <c r="CB61" s="52" t="s">
        <v>46</v>
      </c>
      <c r="CC61" s="7" t="s">
        <v>46</v>
      </c>
      <c r="CD61" s="60" t="s">
        <v>46</v>
      </c>
      <c r="CE61" s="24"/>
      <c r="CF61" s="26" t="s">
        <v>58</v>
      </c>
      <c r="CG61" s="27">
        <f t="shared" si="55"/>
        <v>123977471</v>
      </c>
      <c r="CH61" s="27">
        <f t="shared" si="56"/>
        <v>0</v>
      </c>
      <c r="CI61" s="27">
        <f t="shared" si="57"/>
        <v>0</v>
      </c>
      <c r="CJ61" s="27">
        <f t="shared" si="58"/>
        <v>0</v>
      </c>
      <c r="CK61" s="27">
        <f t="shared" si="59"/>
        <v>25000000</v>
      </c>
      <c r="CL61" s="27">
        <f t="shared" si="60"/>
        <v>34750000</v>
      </c>
      <c r="CM61" s="27">
        <f t="shared" si="61"/>
        <v>0</v>
      </c>
      <c r="CN61" s="27">
        <f t="shared" si="62"/>
        <v>68865342.25</v>
      </c>
      <c r="CO61" s="27">
        <f t="shared" si="63"/>
        <v>0</v>
      </c>
      <c r="CP61" s="27">
        <f t="shared" si="64"/>
        <v>139657186.75</v>
      </c>
      <c r="CQ61" s="27">
        <f t="shared" si="65"/>
        <v>139657186.75</v>
      </c>
      <c r="CR61" s="27">
        <f t="shared" si="66"/>
        <v>49826000</v>
      </c>
      <c r="CS61" s="37"/>
      <c r="CT61" s="18" t="s">
        <v>58</v>
      </c>
      <c r="DG61" s="29">
        <f aca="true" t="shared" si="91" ref="DG61:DG97">+SUM(CU61:DF61)</f>
        <v>0</v>
      </c>
      <c r="DW61" s="52" t="s">
        <v>46</v>
      </c>
      <c r="DX61" s="52" t="s">
        <v>46</v>
      </c>
      <c r="DY61" s="52" t="s">
        <v>197</v>
      </c>
      <c r="DZ61" s="52" t="s">
        <v>46</v>
      </c>
      <c r="EA61" s="52" t="s">
        <v>46</v>
      </c>
      <c r="EB61" s="52" t="s">
        <v>46</v>
      </c>
      <c r="EC61" s="52" t="s">
        <v>46</v>
      </c>
      <c r="ED61" s="52" t="s">
        <v>46</v>
      </c>
      <c r="EE61" s="52" t="s">
        <v>46</v>
      </c>
      <c r="EF61" s="52" t="s">
        <v>46</v>
      </c>
      <c r="EG61" s="7" t="s">
        <v>46</v>
      </c>
      <c r="EH61" s="60" t="s">
        <v>46</v>
      </c>
    </row>
    <row r="62" spans="1:124" ht="15" customHeight="1">
      <c r="A62" s="14" t="s">
        <v>59</v>
      </c>
      <c r="B62" s="15">
        <v>0</v>
      </c>
      <c r="C62" s="16">
        <v>0</v>
      </c>
      <c r="D62" s="16">
        <v>0</v>
      </c>
      <c r="E62" s="16">
        <v>0</v>
      </c>
      <c r="F62" s="16">
        <v>0</v>
      </c>
      <c r="G62" s="16">
        <v>39000000</v>
      </c>
      <c r="H62" s="16">
        <v>0</v>
      </c>
      <c r="I62" s="16">
        <v>0</v>
      </c>
      <c r="J62" s="16">
        <v>0</v>
      </c>
      <c r="K62" s="15">
        <v>0</v>
      </c>
      <c r="L62" s="15">
        <v>0</v>
      </c>
      <c r="M62" s="15"/>
      <c r="N62" s="17">
        <f t="shared" si="51"/>
        <v>39000000</v>
      </c>
      <c r="O62" s="18" t="s">
        <v>59</v>
      </c>
      <c r="P62" s="30">
        <v>250000000</v>
      </c>
      <c r="Q62" s="30">
        <v>0</v>
      </c>
      <c r="R62" s="27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27">
        <v>558628747</v>
      </c>
      <c r="Z62" s="31">
        <v>558628747</v>
      </c>
      <c r="AA62" s="27">
        <v>199304000</v>
      </c>
      <c r="AB62" s="22">
        <f t="shared" si="52"/>
        <v>1566561494</v>
      </c>
      <c r="AC62" s="18" t="s">
        <v>59</v>
      </c>
      <c r="AD62" s="23">
        <v>245909884</v>
      </c>
      <c r="AE62" s="23"/>
      <c r="AF62" s="23"/>
      <c r="AG62" s="23"/>
      <c r="AH62" s="23">
        <v>100000000</v>
      </c>
      <c r="AI62" s="23">
        <v>100000000</v>
      </c>
      <c r="AJ62" s="23"/>
      <c r="AK62" s="23">
        <v>275461369</v>
      </c>
      <c r="AL62" s="23"/>
      <c r="AM62" s="23"/>
      <c r="AN62" s="23"/>
      <c r="AO62" s="23"/>
      <c r="AP62" s="24">
        <f t="shared" si="53"/>
        <v>721371253</v>
      </c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>
        <f t="shared" si="54"/>
        <v>0</v>
      </c>
      <c r="BE62" s="7">
        <v>337</v>
      </c>
      <c r="BF62" s="52">
        <v>291</v>
      </c>
      <c r="BG62" s="27">
        <v>0</v>
      </c>
      <c r="BH62" s="27">
        <v>257</v>
      </c>
      <c r="BI62" s="63">
        <v>184</v>
      </c>
      <c r="BJ62" s="27">
        <v>274</v>
      </c>
      <c r="BK62" s="64">
        <v>0</v>
      </c>
      <c r="BL62" s="65">
        <v>0</v>
      </c>
      <c r="BM62" s="66">
        <v>0</v>
      </c>
      <c r="BN62" s="65">
        <v>63</v>
      </c>
      <c r="BO62" s="64">
        <v>63</v>
      </c>
      <c r="BP62" s="65">
        <v>0</v>
      </c>
      <c r="BQ62" s="24">
        <f t="shared" si="4"/>
        <v>1469</v>
      </c>
      <c r="CE62" s="24"/>
      <c r="CF62" s="26" t="s">
        <v>59</v>
      </c>
      <c r="CG62" s="27">
        <f t="shared" si="55"/>
        <v>123977471</v>
      </c>
      <c r="CH62" s="27">
        <f t="shared" si="56"/>
        <v>0</v>
      </c>
      <c r="CI62" s="27">
        <f t="shared" si="57"/>
        <v>0</v>
      </c>
      <c r="CJ62" s="27">
        <f t="shared" si="58"/>
        <v>0</v>
      </c>
      <c r="CK62" s="27">
        <f t="shared" si="59"/>
        <v>25000000</v>
      </c>
      <c r="CL62" s="27">
        <f t="shared" si="60"/>
        <v>34750000</v>
      </c>
      <c r="CM62" s="27">
        <f t="shared" si="61"/>
        <v>0</v>
      </c>
      <c r="CN62" s="27">
        <f t="shared" si="62"/>
        <v>68865342.25</v>
      </c>
      <c r="CO62" s="27">
        <f t="shared" si="63"/>
        <v>0</v>
      </c>
      <c r="CP62" s="27">
        <f t="shared" si="64"/>
        <v>139657186.75</v>
      </c>
      <c r="CQ62" s="27">
        <f t="shared" si="65"/>
        <v>139657186.75</v>
      </c>
      <c r="CR62" s="27">
        <f t="shared" si="66"/>
        <v>49826000</v>
      </c>
      <c r="CS62" s="27">
        <f>+SUM(CG62:CR62)</f>
        <v>581733186.75</v>
      </c>
      <c r="CT62" s="18" t="s">
        <v>59</v>
      </c>
      <c r="CU62" s="28">
        <f aca="true" t="shared" si="92" ref="CU62:DF62">+CG62/$CS$62</f>
        <v>0.2131174115965974</v>
      </c>
      <c r="CV62" s="28">
        <f t="shared" si="92"/>
        <v>0</v>
      </c>
      <c r="CW62" s="28">
        <f t="shared" si="92"/>
        <v>0</v>
      </c>
      <c r="CX62" s="28">
        <f t="shared" si="92"/>
        <v>0</v>
      </c>
      <c r="CY62" s="28">
        <f t="shared" si="92"/>
        <v>0.0429750280187191</v>
      </c>
      <c r="CZ62" s="28">
        <f t="shared" si="92"/>
        <v>0.059735288946019545</v>
      </c>
      <c r="DA62" s="28">
        <f t="shared" si="92"/>
        <v>0</v>
      </c>
      <c r="DB62" s="28">
        <f t="shared" si="92"/>
        <v>0.1183796005084972</v>
      </c>
      <c r="DC62" s="28">
        <f t="shared" si="92"/>
        <v>0</v>
      </c>
      <c r="DD62" s="28">
        <f t="shared" si="92"/>
        <v>0.24007086054386942</v>
      </c>
      <c r="DE62" s="28">
        <f t="shared" si="92"/>
        <v>0.24007086054386942</v>
      </c>
      <c r="DF62" s="28">
        <f t="shared" si="92"/>
        <v>0.08565094984242791</v>
      </c>
      <c r="DG62" s="29">
        <f t="shared" si="91"/>
        <v>1</v>
      </c>
      <c r="DI62" s="7">
        <v>337</v>
      </c>
      <c r="DJ62" s="52">
        <v>291</v>
      </c>
      <c r="DK62" s="27">
        <v>0</v>
      </c>
      <c r="DL62" s="27">
        <v>257</v>
      </c>
      <c r="DM62" s="63">
        <v>184</v>
      </c>
      <c r="DN62" s="27">
        <v>274</v>
      </c>
      <c r="DO62" s="64">
        <v>0</v>
      </c>
      <c r="DP62" s="65">
        <v>0</v>
      </c>
      <c r="DQ62" s="66">
        <v>0</v>
      </c>
      <c r="DR62" s="65">
        <v>63</v>
      </c>
      <c r="DS62" s="64">
        <v>63</v>
      </c>
      <c r="DT62" s="65">
        <v>0</v>
      </c>
    </row>
    <row r="63" spans="1:111" ht="15" customHeight="1">
      <c r="A63" s="37"/>
      <c r="B63" s="15"/>
      <c r="C63" s="16"/>
      <c r="D63" s="16"/>
      <c r="E63" s="16"/>
      <c r="F63" s="16"/>
      <c r="G63" s="16"/>
      <c r="H63" s="16"/>
      <c r="I63" s="16"/>
      <c r="J63" s="16"/>
      <c r="K63" s="15"/>
      <c r="L63" s="15"/>
      <c r="M63" s="15"/>
      <c r="N63" s="17">
        <f t="shared" si="51"/>
        <v>0</v>
      </c>
      <c r="O63" s="18"/>
      <c r="P63" s="30">
        <v>0</v>
      </c>
      <c r="Q63" s="30">
        <v>0</v>
      </c>
      <c r="R63" s="27"/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27">
        <v>0</v>
      </c>
      <c r="Z63" s="31">
        <v>0</v>
      </c>
      <c r="AA63" s="27"/>
      <c r="AB63" s="22">
        <f t="shared" si="52"/>
        <v>0</v>
      </c>
      <c r="AC63" s="1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>
        <f t="shared" si="53"/>
        <v>0</v>
      </c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>
        <f t="shared" si="54"/>
        <v>0</v>
      </c>
      <c r="BQ63" s="24">
        <f t="shared" si="4"/>
        <v>0</v>
      </c>
      <c r="CE63" s="24"/>
      <c r="CF63" s="26"/>
      <c r="CG63" s="27">
        <f t="shared" si="55"/>
        <v>0</v>
      </c>
      <c r="CH63" s="27">
        <f t="shared" si="56"/>
        <v>0</v>
      </c>
      <c r="CI63" s="27">
        <f t="shared" si="57"/>
        <v>0</v>
      </c>
      <c r="CJ63" s="27">
        <f t="shared" si="58"/>
        <v>0</v>
      </c>
      <c r="CK63" s="27">
        <f t="shared" si="59"/>
        <v>0</v>
      </c>
      <c r="CL63" s="27">
        <f t="shared" si="60"/>
        <v>0</v>
      </c>
      <c r="CM63" s="27">
        <f t="shared" si="61"/>
        <v>0</v>
      </c>
      <c r="CN63" s="27">
        <f t="shared" si="62"/>
        <v>0</v>
      </c>
      <c r="CO63" s="27">
        <f t="shared" si="63"/>
        <v>0</v>
      </c>
      <c r="CP63" s="27">
        <f t="shared" si="64"/>
        <v>0</v>
      </c>
      <c r="CQ63" s="27">
        <f t="shared" si="65"/>
        <v>0</v>
      </c>
      <c r="CR63" s="27">
        <f t="shared" si="66"/>
        <v>0</v>
      </c>
      <c r="CS63" s="37"/>
      <c r="CT63" s="18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29">
        <f t="shared" si="91"/>
        <v>0</v>
      </c>
    </row>
    <row r="64" spans="1:111" ht="15" customHeight="1">
      <c r="A64" s="14" t="s">
        <v>60</v>
      </c>
      <c r="B64" s="30">
        <f aca="true" t="shared" si="93" ref="B64:M64">+SUM(B65:B67)</f>
        <v>0</v>
      </c>
      <c r="C64" s="30">
        <f t="shared" si="93"/>
        <v>637468062</v>
      </c>
      <c r="D64" s="30">
        <f t="shared" si="93"/>
        <v>637839786</v>
      </c>
      <c r="E64" s="30">
        <f t="shared" si="93"/>
        <v>0</v>
      </c>
      <c r="F64" s="30">
        <f t="shared" si="93"/>
        <v>137386</v>
      </c>
      <c r="G64" s="30">
        <f t="shared" si="93"/>
        <v>637755893</v>
      </c>
      <c r="H64" s="30">
        <f t="shared" si="93"/>
        <v>168581</v>
      </c>
      <c r="I64" s="30">
        <f t="shared" si="93"/>
        <v>167396</v>
      </c>
      <c r="J64" s="30">
        <f t="shared" si="93"/>
        <v>2411203</v>
      </c>
      <c r="K64" s="30">
        <f t="shared" si="93"/>
        <v>107082</v>
      </c>
      <c r="L64" s="30">
        <f t="shared" si="93"/>
        <v>184126</v>
      </c>
      <c r="M64" s="30">
        <f t="shared" si="93"/>
        <v>101483</v>
      </c>
      <c r="N64" s="17">
        <f t="shared" si="51"/>
        <v>1916340998</v>
      </c>
      <c r="O64" s="18" t="s">
        <v>60</v>
      </c>
      <c r="P64" s="30">
        <f aca="true" t="shared" si="94" ref="P64:AA64">SUM(P65)</f>
        <v>197723</v>
      </c>
      <c r="Q64" s="30">
        <f t="shared" si="94"/>
        <v>0</v>
      </c>
      <c r="R64" s="23">
        <f t="shared" si="94"/>
        <v>309440</v>
      </c>
      <c r="S64" s="23">
        <f t="shared" si="94"/>
        <v>80470</v>
      </c>
      <c r="T64" s="23">
        <f t="shared" si="94"/>
        <v>49813</v>
      </c>
      <c r="U64" s="23">
        <f t="shared" si="94"/>
        <v>175799</v>
      </c>
      <c r="V64" s="23">
        <f t="shared" si="94"/>
        <v>45531</v>
      </c>
      <c r="W64" s="23">
        <f t="shared" si="94"/>
        <v>77381</v>
      </c>
      <c r="X64" s="23">
        <f t="shared" si="94"/>
        <v>540999</v>
      </c>
      <c r="Y64" s="23">
        <f t="shared" si="94"/>
        <v>167609</v>
      </c>
      <c r="Z64" s="23">
        <f t="shared" si="94"/>
        <v>1840447.56</v>
      </c>
      <c r="AA64" s="23">
        <f t="shared" si="94"/>
        <v>32915</v>
      </c>
      <c r="AB64" s="22">
        <f t="shared" si="52"/>
        <v>3518127.56</v>
      </c>
      <c r="AC64" s="18" t="s">
        <v>60</v>
      </c>
      <c r="AD64" s="23">
        <f aca="true" t="shared" si="95" ref="AD64:AO64">SUM(AD65)</f>
        <v>98797</v>
      </c>
      <c r="AE64" s="23">
        <f t="shared" si="95"/>
        <v>1870761</v>
      </c>
      <c r="AF64" s="23">
        <f t="shared" si="95"/>
        <v>149410</v>
      </c>
      <c r="AG64" s="23">
        <f t="shared" si="95"/>
        <v>218164</v>
      </c>
      <c r="AH64" s="23">
        <f t="shared" si="95"/>
        <v>116618</v>
      </c>
      <c r="AI64" s="23">
        <f t="shared" si="95"/>
        <v>495316</v>
      </c>
      <c r="AJ64" s="23">
        <f t="shared" si="95"/>
        <v>185225</v>
      </c>
      <c r="AK64" s="23">
        <f t="shared" si="95"/>
        <v>171160</v>
      </c>
      <c r="AL64" s="23">
        <f t="shared" si="95"/>
        <v>110346</v>
      </c>
      <c r="AM64" s="23">
        <f t="shared" si="95"/>
        <v>46821</v>
      </c>
      <c r="AN64" s="23">
        <f t="shared" si="95"/>
        <v>0</v>
      </c>
      <c r="AO64" s="23">
        <f t="shared" si="95"/>
        <v>0</v>
      </c>
      <c r="AP64" s="24">
        <f t="shared" si="53"/>
        <v>3462618</v>
      </c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4">
        <f t="shared" si="54"/>
        <v>0</v>
      </c>
      <c r="BQ64" s="24">
        <f t="shared" si="4"/>
        <v>0</v>
      </c>
      <c r="CE64" s="24"/>
      <c r="CF64" s="26" t="s">
        <v>60</v>
      </c>
      <c r="CG64" s="27">
        <f t="shared" si="55"/>
        <v>74130</v>
      </c>
      <c r="CH64" s="27">
        <f t="shared" si="56"/>
        <v>159834705.75</v>
      </c>
      <c r="CI64" s="27">
        <f t="shared" si="57"/>
        <v>159574659</v>
      </c>
      <c r="CJ64" s="27">
        <f t="shared" si="58"/>
        <v>74658.5</v>
      </c>
      <c r="CK64" s="27">
        <f t="shared" si="59"/>
        <v>75954.25</v>
      </c>
      <c r="CL64" s="27">
        <f t="shared" si="60"/>
        <v>159606752</v>
      </c>
      <c r="CM64" s="27">
        <f t="shared" si="61"/>
        <v>99834.25</v>
      </c>
      <c r="CN64" s="27">
        <f t="shared" si="62"/>
        <v>103984.25</v>
      </c>
      <c r="CO64" s="27">
        <f t="shared" si="63"/>
        <v>765637</v>
      </c>
      <c r="CP64" s="27">
        <f t="shared" si="64"/>
        <v>80378</v>
      </c>
      <c r="CQ64" s="27">
        <f t="shared" si="65"/>
        <v>506143.39</v>
      </c>
      <c r="CR64" s="27">
        <f t="shared" si="66"/>
        <v>33599.5</v>
      </c>
      <c r="CS64" s="37"/>
      <c r="CT64" s="18" t="s">
        <v>60</v>
      </c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29">
        <f t="shared" si="91"/>
        <v>0</v>
      </c>
    </row>
    <row r="65" spans="1:124" ht="15" customHeight="1">
      <c r="A65" s="14" t="s">
        <v>61</v>
      </c>
      <c r="B65" s="15">
        <v>0</v>
      </c>
      <c r="C65" s="16">
        <v>111083</v>
      </c>
      <c r="D65" s="16">
        <v>482807</v>
      </c>
      <c r="E65" s="16">
        <v>0</v>
      </c>
      <c r="F65" s="16">
        <v>137386</v>
      </c>
      <c r="G65" s="16">
        <v>398914</v>
      </c>
      <c r="H65" s="16">
        <v>168581</v>
      </c>
      <c r="I65" s="16">
        <v>167396</v>
      </c>
      <c r="J65" s="16">
        <v>163485</v>
      </c>
      <c r="K65" s="15">
        <v>107082</v>
      </c>
      <c r="L65" s="15">
        <v>104453</v>
      </c>
      <c r="M65" s="15">
        <v>101483</v>
      </c>
      <c r="N65" s="17">
        <f t="shared" si="51"/>
        <v>1942670</v>
      </c>
      <c r="O65" s="18" t="s">
        <v>61</v>
      </c>
      <c r="P65" s="30">
        <v>197723</v>
      </c>
      <c r="Q65" s="30">
        <v>0</v>
      </c>
      <c r="R65" s="27">
        <v>309440</v>
      </c>
      <c r="S65" s="31">
        <v>80470</v>
      </c>
      <c r="T65" s="31">
        <v>49813</v>
      </c>
      <c r="U65" s="31">
        <v>175799</v>
      </c>
      <c r="V65" s="31">
        <v>45531</v>
      </c>
      <c r="W65" s="31">
        <v>77381</v>
      </c>
      <c r="X65" s="31">
        <v>540999</v>
      </c>
      <c r="Y65" s="27">
        <v>167609</v>
      </c>
      <c r="Z65" s="31">
        <v>1840447.56</v>
      </c>
      <c r="AA65" s="27">
        <v>32915</v>
      </c>
      <c r="AB65" s="22">
        <f t="shared" si="52"/>
        <v>3518127.56</v>
      </c>
      <c r="AC65" s="18" t="s">
        <v>61</v>
      </c>
      <c r="AD65" s="23">
        <v>98797</v>
      </c>
      <c r="AE65" s="23">
        <v>1870761</v>
      </c>
      <c r="AF65" s="23">
        <v>149410</v>
      </c>
      <c r="AG65" s="23">
        <v>218164</v>
      </c>
      <c r="AH65" s="23">
        <v>116618</v>
      </c>
      <c r="AI65" s="23">
        <v>495316</v>
      </c>
      <c r="AJ65" s="23">
        <v>185225</v>
      </c>
      <c r="AK65" s="23">
        <v>171160</v>
      </c>
      <c r="AL65" s="23">
        <v>110346</v>
      </c>
      <c r="AM65" s="23">
        <v>46821</v>
      </c>
      <c r="AN65" s="23"/>
      <c r="AO65" s="23"/>
      <c r="AP65" s="24">
        <f t="shared" si="53"/>
        <v>3462618</v>
      </c>
      <c r="AQ65" s="23">
        <v>54037</v>
      </c>
      <c r="AR65" s="23">
        <v>191376</v>
      </c>
      <c r="AS65" s="23">
        <v>0</v>
      </c>
      <c r="AT65" s="23">
        <v>124814</v>
      </c>
      <c r="AU65" s="23"/>
      <c r="AV65" s="23">
        <v>1498053</v>
      </c>
      <c r="AW65" s="23"/>
      <c r="AX65" s="23"/>
      <c r="AY65" s="23"/>
      <c r="AZ65" s="23"/>
      <c r="BA65" s="23"/>
      <c r="BB65" s="23">
        <v>290000</v>
      </c>
      <c r="BC65" s="24">
        <f t="shared" si="54"/>
        <v>2158280</v>
      </c>
      <c r="BD65" s="37" t="s">
        <v>188</v>
      </c>
      <c r="BE65" s="7">
        <v>287342</v>
      </c>
      <c r="BF65" s="52">
        <v>0</v>
      </c>
      <c r="BG65" s="27">
        <v>0</v>
      </c>
      <c r="BH65" s="27">
        <v>0</v>
      </c>
      <c r="BI65" s="63">
        <v>0</v>
      </c>
      <c r="BJ65" s="27">
        <v>0</v>
      </c>
      <c r="BK65" s="64">
        <v>0</v>
      </c>
      <c r="BL65" s="65">
        <v>0</v>
      </c>
      <c r="BM65" s="66">
        <v>0</v>
      </c>
      <c r="BN65" s="65">
        <v>0</v>
      </c>
      <c r="BO65" s="64">
        <v>286101</v>
      </c>
      <c r="BP65" s="65">
        <v>0</v>
      </c>
      <c r="BQ65" s="24">
        <f t="shared" si="4"/>
        <v>573443</v>
      </c>
      <c r="CE65" s="24"/>
      <c r="CF65" s="26" t="s">
        <v>61</v>
      </c>
      <c r="CG65" s="27">
        <f t="shared" si="55"/>
        <v>87639.25</v>
      </c>
      <c r="CH65" s="27">
        <f t="shared" si="56"/>
        <v>543305</v>
      </c>
      <c r="CI65" s="27">
        <f t="shared" si="57"/>
        <v>235414.25</v>
      </c>
      <c r="CJ65" s="27">
        <f t="shared" si="58"/>
        <v>105862</v>
      </c>
      <c r="CK65" s="27">
        <f t="shared" si="59"/>
        <v>75954.25</v>
      </c>
      <c r="CL65" s="27">
        <f t="shared" si="60"/>
        <v>642020.5</v>
      </c>
      <c r="CM65" s="27">
        <f t="shared" si="61"/>
        <v>99834.25</v>
      </c>
      <c r="CN65" s="27">
        <f t="shared" si="62"/>
        <v>103984.25</v>
      </c>
      <c r="CO65" s="27">
        <f t="shared" si="63"/>
        <v>203707.5</v>
      </c>
      <c r="CP65" s="27">
        <f t="shared" si="64"/>
        <v>80378</v>
      </c>
      <c r="CQ65" s="27">
        <f t="shared" si="65"/>
        <v>486225.14</v>
      </c>
      <c r="CR65" s="27">
        <f t="shared" si="66"/>
        <v>106099.5</v>
      </c>
      <c r="CS65" s="27">
        <f>+SUM(CG65:CR65)</f>
        <v>2770423.89</v>
      </c>
      <c r="CT65" s="18" t="s">
        <v>61</v>
      </c>
      <c r="CU65" s="28">
        <f aca="true" t="shared" si="96" ref="CU65:DF65">+CG65/$CS$65</f>
        <v>0.03163387751467881</v>
      </c>
      <c r="CV65" s="28">
        <f t="shared" si="96"/>
        <v>0.19610897883211653</v>
      </c>
      <c r="CW65" s="28">
        <f t="shared" si="96"/>
        <v>0.08497409037286348</v>
      </c>
      <c r="CX65" s="28">
        <f t="shared" si="96"/>
        <v>0.038211481059672786</v>
      </c>
      <c r="CY65" s="28">
        <f t="shared" si="96"/>
        <v>0.027416111402360163</v>
      </c>
      <c r="CZ65" s="28">
        <f t="shared" si="96"/>
        <v>0.23174089074145254</v>
      </c>
      <c r="DA65" s="28">
        <f t="shared" si="96"/>
        <v>0.03603573097978158</v>
      </c>
      <c r="DB65" s="28">
        <f t="shared" si="96"/>
        <v>0.03753369669361319</v>
      </c>
      <c r="DC65" s="28">
        <f t="shared" si="96"/>
        <v>0.0735293616024947</v>
      </c>
      <c r="DD65" s="28">
        <f t="shared" si="96"/>
        <v>0.029012888709965608</v>
      </c>
      <c r="DE65" s="28">
        <f t="shared" si="96"/>
        <v>0.17550568407782535</v>
      </c>
      <c r="DF65" s="28">
        <f t="shared" si="96"/>
        <v>0.038297208013175196</v>
      </c>
      <c r="DG65" s="29">
        <f t="shared" si="91"/>
        <v>1</v>
      </c>
      <c r="DH65" s="37" t="s">
        <v>188</v>
      </c>
      <c r="DI65" s="7">
        <v>287342</v>
      </c>
      <c r="DJ65" s="52">
        <v>0</v>
      </c>
      <c r="DK65" s="27">
        <v>0</v>
      </c>
      <c r="DL65" s="27">
        <v>0</v>
      </c>
      <c r="DM65" s="63">
        <v>0</v>
      </c>
      <c r="DN65" s="27">
        <v>0</v>
      </c>
      <c r="DO65" s="64">
        <v>0</v>
      </c>
      <c r="DP65" s="65">
        <v>0</v>
      </c>
      <c r="DQ65" s="66">
        <v>0</v>
      </c>
      <c r="DR65" s="65">
        <v>0</v>
      </c>
      <c r="DS65" s="64">
        <v>286101</v>
      </c>
      <c r="DT65" s="65">
        <v>0</v>
      </c>
    </row>
    <row r="66" spans="1:111" ht="15" customHeight="1">
      <c r="A66" s="14" t="s">
        <v>62</v>
      </c>
      <c r="B66" s="15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2247718</v>
      </c>
      <c r="K66" s="15"/>
      <c r="L66" s="15">
        <v>79673</v>
      </c>
      <c r="M66" s="15"/>
      <c r="N66" s="17">
        <f t="shared" si="51"/>
        <v>2327391</v>
      </c>
      <c r="O66" s="18" t="s">
        <v>62</v>
      </c>
      <c r="P66" s="30"/>
      <c r="Q66" s="30"/>
      <c r="R66" s="27"/>
      <c r="S66" s="31"/>
      <c r="T66" s="31"/>
      <c r="U66" s="31"/>
      <c r="V66" s="31"/>
      <c r="W66" s="31"/>
      <c r="X66" s="31"/>
      <c r="Y66" s="27"/>
      <c r="Z66" s="31"/>
      <c r="AA66" s="27"/>
      <c r="AB66" s="22">
        <f t="shared" si="52"/>
        <v>0</v>
      </c>
      <c r="AC66" s="18" t="s">
        <v>62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4">
        <f t="shared" si="53"/>
        <v>0</v>
      </c>
      <c r="AQ66" s="23"/>
      <c r="AR66" s="23"/>
      <c r="AS66" s="23"/>
      <c r="AT66" s="23"/>
      <c r="AU66" s="23"/>
      <c r="AV66" s="23">
        <v>0</v>
      </c>
      <c r="AW66" s="23"/>
      <c r="AX66" s="23"/>
      <c r="AY66" s="23"/>
      <c r="AZ66" s="23"/>
      <c r="BA66" s="23"/>
      <c r="BB66" s="23"/>
      <c r="BC66" s="24">
        <f t="shared" si="54"/>
        <v>0</v>
      </c>
      <c r="BQ66" s="24">
        <f t="shared" si="4"/>
        <v>0</v>
      </c>
      <c r="CE66" s="24"/>
      <c r="CF66" s="26" t="s">
        <v>62</v>
      </c>
      <c r="CG66" s="27">
        <f t="shared" si="55"/>
        <v>0</v>
      </c>
      <c r="CH66" s="27">
        <f t="shared" si="56"/>
        <v>0</v>
      </c>
      <c r="CI66" s="27">
        <f t="shared" si="57"/>
        <v>0</v>
      </c>
      <c r="CJ66" s="27">
        <f t="shared" si="58"/>
        <v>0</v>
      </c>
      <c r="CK66" s="27">
        <f t="shared" si="59"/>
        <v>0</v>
      </c>
      <c r="CL66" s="27">
        <f t="shared" si="60"/>
        <v>0</v>
      </c>
      <c r="CM66" s="27">
        <f t="shared" si="61"/>
        <v>0</v>
      </c>
      <c r="CN66" s="27">
        <f t="shared" si="62"/>
        <v>0</v>
      </c>
      <c r="CO66" s="27">
        <f t="shared" si="63"/>
        <v>561929.5</v>
      </c>
      <c r="CP66" s="27">
        <f t="shared" si="64"/>
        <v>0</v>
      </c>
      <c r="CQ66" s="27">
        <f t="shared" si="65"/>
        <v>19918.25</v>
      </c>
      <c r="CR66" s="27">
        <f t="shared" si="66"/>
        <v>0</v>
      </c>
      <c r="CS66" s="27">
        <f>+SUM(CG66:CR66)</f>
        <v>581847.75</v>
      </c>
      <c r="CT66" s="18" t="s">
        <v>62</v>
      </c>
      <c r="CU66" s="28">
        <f aca="true" t="shared" si="97" ref="CU66:DF66">+CG66/$CS$66</f>
        <v>0</v>
      </c>
      <c r="CV66" s="28">
        <f t="shared" si="97"/>
        <v>0</v>
      </c>
      <c r="CW66" s="28">
        <f t="shared" si="97"/>
        <v>0</v>
      </c>
      <c r="CX66" s="28">
        <f t="shared" si="97"/>
        <v>0</v>
      </c>
      <c r="CY66" s="28">
        <f t="shared" si="97"/>
        <v>0</v>
      </c>
      <c r="CZ66" s="28">
        <f t="shared" si="97"/>
        <v>0</v>
      </c>
      <c r="DA66" s="28">
        <f t="shared" si="97"/>
        <v>0</v>
      </c>
      <c r="DB66" s="28">
        <f t="shared" si="97"/>
        <v>0</v>
      </c>
      <c r="DC66" s="28">
        <f t="shared" si="97"/>
        <v>0.9657672475316782</v>
      </c>
      <c r="DD66" s="28">
        <f t="shared" si="97"/>
        <v>0</v>
      </c>
      <c r="DE66" s="28">
        <f t="shared" si="97"/>
        <v>0.034232752468321824</v>
      </c>
      <c r="DF66" s="28">
        <f t="shared" si="97"/>
        <v>0</v>
      </c>
      <c r="DG66" s="29">
        <f t="shared" si="91"/>
        <v>1</v>
      </c>
    </row>
    <row r="67" spans="1:111" ht="15" customHeight="1">
      <c r="A67" s="14" t="s">
        <v>63</v>
      </c>
      <c r="B67" s="15">
        <v>0</v>
      </c>
      <c r="C67" s="16">
        <v>637356979</v>
      </c>
      <c r="D67" s="16">
        <v>637356979</v>
      </c>
      <c r="E67" s="16">
        <v>0</v>
      </c>
      <c r="F67" s="16">
        <v>0</v>
      </c>
      <c r="G67" s="16">
        <v>637356979</v>
      </c>
      <c r="H67" s="16">
        <v>0</v>
      </c>
      <c r="I67" s="16">
        <v>0</v>
      </c>
      <c r="J67" s="16">
        <v>0</v>
      </c>
      <c r="K67" s="15">
        <v>0</v>
      </c>
      <c r="L67" s="15">
        <v>0</v>
      </c>
      <c r="M67" s="15"/>
      <c r="N67" s="17">
        <f t="shared" si="51"/>
        <v>1912070937</v>
      </c>
      <c r="O67" s="18" t="s">
        <v>63</v>
      </c>
      <c r="P67" s="30"/>
      <c r="Q67" s="30"/>
      <c r="R67" s="27"/>
      <c r="S67" s="31"/>
      <c r="T67" s="31"/>
      <c r="U67" s="31"/>
      <c r="V67" s="31"/>
      <c r="W67" s="31"/>
      <c r="X67" s="31"/>
      <c r="Y67" s="27"/>
      <c r="Z67" s="31"/>
      <c r="AA67" s="27"/>
      <c r="AB67" s="22">
        <f t="shared" si="52"/>
        <v>0</v>
      </c>
      <c r="AC67" s="18" t="s">
        <v>63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>
        <f t="shared" si="53"/>
        <v>0</v>
      </c>
      <c r="AQ67" s="23"/>
      <c r="AR67" s="23"/>
      <c r="AS67" s="23">
        <v>0</v>
      </c>
      <c r="AT67" s="23"/>
      <c r="AU67" s="23"/>
      <c r="AV67" s="23"/>
      <c r="AW67" s="23"/>
      <c r="AX67" s="23"/>
      <c r="AY67" s="23"/>
      <c r="AZ67" s="23"/>
      <c r="BA67" s="23"/>
      <c r="BB67" s="23"/>
      <c r="BC67" s="24">
        <f t="shared" si="54"/>
        <v>0</v>
      </c>
      <c r="BQ67" s="24">
        <f aca="true" t="shared" si="98" ref="BQ67:BQ130">SUM(BE67:BP67)</f>
        <v>0</v>
      </c>
      <c r="CE67" s="24"/>
      <c r="CF67" s="26" t="s">
        <v>63</v>
      </c>
      <c r="CG67" s="27">
        <f t="shared" si="55"/>
        <v>0</v>
      </c>
      <c r="CH67" s="27">
        <f t="shared" si="56"/>
        <v>159339244.75</v>
      </c>
      <c r="CI67" s="27">
        <f t="shared" si="57"/>
        <v>159339244.75</v>
      </c>
      <c r="CJ67" s="27">
        <f t="shared" si="58"/>
        <v>0</v>
      </c>
      <c r="CK67" s="27">
        <f t="shared" si="59"/>
        <v>0</v>
      </c>
      <c r="CL67" s="27">
        <f t="shared" si="60"/>
        <v>159339244.75</v>
      </c>
      <c r="CM67" s="27">
        <f t="shared" si="61"/>
        <v>0</v>
      </c>
      <c r="CN67" s="27">
        <f t="shared" si="62"/>
        <v>0</v>
      </c>
      <c r="CO67" s="27">
        <f t="shared" si="63"/>
        <v>0</v>
      </c>
      <c r="CP67" s="27">
        <f t="shared" si="64"/>
        <v>0</v>
      </c>
      <c r="CQ67" s="27">
        <f t="shared" si="65"/>
        <v>0</v>
      </c>
      <c r="CR67" s="27">
        <f t="shared" si="66"/>
        <v>0</v>
      </c>
      <c r="CS67" s="27">
        <f>+SUM(CG67:CR67)</f>
        <v>478017734.25</v>
      </c>
      <c r="CT67" s="18" t="s">
        <v>63</v>
      </c>
      <c r="CU67" s="28">
        <f aca="true" t="shared" si="99" ref="CU67:DF67">+CG67/$CS$67</f>
        <v>0</v>
      </c>
      <c r="CV67" s="28">
        <f t="shared" si="99"/>
        <v>0.3333333333333333</v>
      </c>
      <c r="CW67" s="28">
        <f t="shared" si="99"/>
        <v>0.3333333333333333</v>
      </c>
      <c r="CX67" s="28">
        <f t="shared" si="99"/>
        <v>0</v>
      </c>
      <c r="CY67" s="28">
        <f t="shared" si="99"/>
        <v>0</v>
      </c>
      <c r="CZ67" s="28">
        <f t="shared" si="99"/>
        <v>0.3333333333333333</v>
      </c>
      <c r="DA67" s="28">
        <f t="shared" si="99"/>
        <v>0</v>
      </c>
      <c r="DB67" s="28">
        <f t="shared" si="99"/>
        <v>0</v>
      </c>
      <c r="DC67" s="28">
        <f t="shared" si="99"/>
        <v>0</v>
      </c>
      <c r="DD67" s="28">
        <f t="shared" si="99"/>
        <v>0</v>
      </c>
      <c r="DE67" s="28">
        <f t="shared" si="99"/>
        <v>0</v>
      </c>
      <c r="DF67" s="28">
        <f t="shared" si="99"/>
        <v>0</v>
      </c>
      <c r="DG67" s="29">
        <f t="shared" si="91"/>
        <v>1</v>
      </c>
    </row>
    <row r="68" spans="1:111" ht="15" customHeight="1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5"/>
      <c r="L68" s="15"/>
      <c r="M68" s="15"/>
      <c r="N68" s="17">
        <f t="shared" si="51"/>
        <v>0</v>
      </c>
      <c r="O68" s="18"/>
      <c r="P68" s="30"/>
      <c r="Q68" s="30"/>
      <c r="R68" s="27"/>
      <c r="S68" s="31"/>
      <c r="T68" s="31"/>
      <c r="U68" s="31"/>
      <c r="V68" s="31"/>
      <c r="W68" s="31"/>
      <c r="X68" s="31"/>
      <c r="Y68" s="27"/>
      <c r="Z68" s="31"/>
      <c r="AA68" s="27"/>
      <c r="AB68" s="22">
        <f t="shared" si="52"/>
        <v>0</v>
      </c>
      <c r="AC68" s="1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4">
        <f t="shared" si="53"/>
        <v>0</v>
      </c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>
        <f t="shared" si="54"/>
        <v>0</v>
      </c>
      <c r="BQ68" s="24">
        <f t="shared" si="98"/>
        <v>0</v>
      </c>
      <c r="CE68" s="24"/>
      <c r="CF68" s="26"/>
      <c r="CG68" s="27">
        <f t="shared" si="55"/>
        <v>0</v>
      </c>
      <c r="CH68" s="27">
        <f t="shared" si="56"/>
        <v>0</v>
      </c>
      <c r="CI68" s="27">
        <f t="shared" si="57"/>
        <v>0</v>
      </c>
      <c r="CJ68" s="27">
        <f t="shared" si="58"/>
        <v>0</v>
      </c>
      <c r="CK68" s="27">
        <f t="shared" si="59"/>
        <v>0</v>
      </c>
      <c r="CL68" s="27">
        <f t="shared" si="60"/>
        <v>0</v>
      </c>
      <c r="CM68" s="27">
        <f t="shared" si="61"/>
        <v>0</v>
      </c>
      <c r="CN68" s="27">
        <f t="shared" si="62"/>
        <v>0</v>
      </c>
      <c r="CO68" s="27">
        <f t="shared" si="63"/>
        <v>0</v>
      </c>
      <c r="CP68" s="27">
        <f t="shared" si="64"/>
        <v>0</v>
      </c>
      <c r="CQ68" s="27">
        <f t="shared" si="65"/>
        <v>0</v>
      </c>
      <c r="CR68" s="27">
        <f t="shared" si="66"/>
        <v>0</v>
      </c>
      <c r="CS68" s="37"/>
      <c r="CT68" s="18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29">
        <f t="shared" si="91"/>
        <v>0</v>
      </c>
    </row>
    <row r="69" spans="1:111" ht="15" customHeight="1">
      <c r="A69" s="14" t="s">
        <v>64</v>
      </c>
      <c r="B69" s="30">
        <f aca="true" t="shared" si="100" ref="B69:M69">SUM(B70)</f>
        <v>197092</v>
      </c>
      <c r="C69" s="30">
        <f t="shared" si="100"/>
        <v>149580</v>
      </c>
      <c r="D69" s="30">
        <f t="shared" si="100"/>
        <v>1476281</v>
      </c>
      <c r="E69" s="30">
        <f t="shared" si="100"/>
        <v>1263890</v>
      </c>
      <c r="F69" s="30">
        <f t="shared" si="100"/>
        <v>1401177</v>
      </c>
      <c r="G69" s="30">
        <f t="shared" si="100"/>
        <v>269999</v>
      </c>
      <c r="H69" s="30">
        <f t="shared" si="100"/>
        <v>2832511</v>
      </c>
      <c r="I69" s="30">
        <f t="shared" si="100"/>
        <v>5351004</v>
      </c>
      <c r="J69" s="30">
        <f t="shared" si="100"/>
        <v>3747241</v>
      </c>
      <c r="K69" s="30">
        <f t="shared" si="100"/>
        <v>3958770</v>
      </c>
      <c r="L69" s="30">
        <f t="shared" si="100"/>
        <v>4886740</v>
      </c>
      <c r="M69" s="30">
        <f t="shared" si="100"/>
        <v>4419148</v>
      </c>
      <c r="N69" s="17">
        <f t="shared" si="51"/>
        <v>29953433</v>
      </c>
      <c r="O69" s="18" t="s">
        <v>64</v>
      </c>
      <c r="P69" s="30">
        <f aca="true" t="shared" si="101" ref="P69:AA69">SUM(P70)</f>
        <v>2996489</v>
      </c>
      <c r="Q69" s="30">
        <f t="shared" si="101"/>
        <v>2414655</v>
      </c>
      <c r="R69" s="23">
        <f t="shared" si="101"/>
        <v>6699023</v>
      </c>
      <c r="S69" s="23">
        <f t="shared" si="101"/>
        <v>1336254</v>
      </c>
      <c r="T69" s="23">
        <f t="shared" si="101"/>
        <v>225086</v>
      </c>
      <c r="U69" s="23">
        <f t="shared" si="101"/>
        <v>79674</v>
      </c>
      <c r="V69" s="23">
        <f t="shared" si="101"/>
        <v>0</v>
      </c>
      <c r="W69" s="23">
        <f t="shared" si="101"/>
        <v>431301</v>
      </c>
      <c r="X69" s="23">
        <f t="shared" si="101"/>
        <v>1938512</v>
      </c>
      <c r="Y69" s="23">
        <f t="shared" si="101"/>
        <v>191122</v>
      </c>
      <c r="Z69" s="23">
        <f t="shared" si="101"/>
        <v>379648</v>
      </c>
      <c r="AA69" s="23">
        <f t="shared" si="101"/>
        <v>893159</v>
      </c>
      <c r="AB69" s="22">
        <f t="shared" si="52"/>
        <v>17584923</v>
      </c>
      <c r="AC69" s="18" t="s">
        <v>64</v>
      </c>
      <c r="AD69" s="23">
        <f aca="true" t="shared" si="102" ref="AD69:AO69">SUM(AD70)</f>
        <v>384253</v>
      </c>
      <c r="AE69" s="23">
        <f t="shared" si="102"/>
        <v>97743</v>
      </c>
      <c r="AF69" s="23">
        <f t="shared" si="102"/>
        <v>57161</v>
      </c>
      <c r="AG69" s="23">
        <f t="shared" si="102"/>
        <v>56352</v>
      </c>
      <c r="AH69" s="23">
        <f t="shared" si="102"/>
        <v>584382</v>
      </c>
      <c r="AI69" s="23">
        <f t="shared" si="102"/>
        <v>54734</v>
      </c>
      <c r="AJ69" s="23">
        <f t="shared" si="102"/>
        <v>0</v>
      </c>
      <c r="AK69" s="23">
        <f t="shared" si="102"/>
        <v>100000</v>
      </c>
      <c r="AL69" s="23">
        <f t="shared" si="102"/>
        <v>580101</v>
      </c>
      <c r="AM69" s="23">
        <f t="shared" si="102"/>
        <v>50000</v>
      </c>
      <c r="AN69" s="23">
        <f t="shared" si="102"/>
        <v>54155</v>
      </c>
      <c r="AO69" s="23">
        <f t="shared" si="102"/>
        <v>0</v>
      </c>
      <c r="AP69" s="24">
        <f t="shared" si="53"/>
        <v>2018881</v>
      </c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>
        <f t="shared" si="54"/>
        <v>0</v>
      </c>
      <c r="BQ69" s="24">
        <f t="shared" si="98"/>
        <v>0</v>
      </c>
      <c r="CE69" s="24"/>
      <c r="CF69" s="26" t="s">
        <v>64</v>
      </c>
      <c r="CG69" s="27">
        <f t="shared" si="55"/>
        <v>894458.5</v>
      </c>
      <c r="CH69" s="27">
        <f t="shared" si="56"/>
        <v>665494.5</v>
      </c>
      <c r="CI69" s="27">
        <f t="shared" si="57"/>
        <v>2058116.25</v>
      </c>
      <c r="CJ69" s="27">
        <f t="shared" si="58"/>
        <v>664124</v>
      </c>
      <c r="CK69" s="27">
        <f t="shared" si="59"/>
        <v>552661.25</v>
      </c>
      <c r="CL69" s="27">
        <f t="shared" si="60"/>
        <v>101101.75</v>
      </c>
      <c r="CM69" s="27">
        <f t="shared" si="61"/>
        <v>708127.75</v>
      </c>
      <c r="CN69" s="27">
        <f t="shared" si="62"/>
        <v>1470576.25</v>
      </c>
      <c r="CO69" s="27">
        <f t="shared" si="63"/>
        <v>1566463.5</v>
      </c>
      <c r="CP69" s="27">
        <f t="shared" si="64"/>
        <v>1049973</v>
      </c>
      <c r="CQ69" s="27">
        <f t="shared" si="65"/>
        <v>1330135.75</v>
      </c>
      <c r="CR69" s="27">
        <f t="shared" si="66"/>
        <v>1328076.75</v>
      </c>
      <c r="CS69" s="37"/>
      <c r="CT69" s="18" t="s">
        <v>64</v>
      </c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29">
        <f t="shared" si="91"/>
        <v>0</v>
      </c>
    </row>
    <row r="70" spans="1:138" ht="15" customHeight="1">
      <c r="A70" s="14" t="s">
        <v>65</v>
      </c>
      <c r="B70" s="15">
        <v>197092</v>
      </c>
      <c r="C70" s="16">
        <v>149580</v>
      </c>
      <c r="D70" s="16">
        <v>1476281</v>
      </c>
      <c r="E70" s="16">
        <v>1263890</v>
      </c>
      <c r="F70" s="16">
        <v>1401177</v>
      </c>
      <c r="G70" s="16">
        <v>269999</v>
      </c>
      <c r="H70" s="16">
        <v>2832511</v>
      </c>
      <c r="I70" s="16">
        <v>5351004</v>
      </c>
      <c r="J70" s="16">
        <v>3747241</v>
      </c>
      <c r="K70" s="15">
        <v>3958770</v>
      </c>
      <c r="L70" s="15">
        <v>4886740</v>
      </c>
      <c r="M70" s="15">
        <v>4419148</v>
      </c>
      <c r="N70" s="17">
        <f t="shared" si="51"/>
        <v>29953433</v>
      </c>
      <c r="O70" s="18" t="s">
        <v>65</v>
      </c>
      <c r="P70" s="30">
        <v>2996489</v>
      </c>
      <c r="Q70" s="30">
        <v>2414655</v>
      </c>
      <c r="R70" s="27">
        <v>6699023</v>
      </c>
      <c r="S70" s="31">
        <v>1336254</v>
      </c>
      <c r="T70" s="31">
        <v>225086</v>
      </c>
      <c r="U70" s="31">
        <v>79674</v>
      </c>
      <c r="V70" s="31">
        <v>0</v>
      </c>
      <c r="W70" s="31">
        <v>431301</v>
      </c>
      <c r="X70" s="31">
        <v>1938512</v>
      </c>
      <c r="Y70" s="27">
        <v>191122</v>
      </c>
      <c r="Z70" s="31">
        <v>379648</v>
      </c>
      <c r="AA70" s="27">
        <v>893159</v>
      </c>
      <c r="AB70" s="22">
        <f t="shared" si="52"/>
        <v>17584923</v>
      </c>
      <c r="AC70" s="18" t="s">
        <v>65</v>
      </c>
      <c r="AD70" s="23">
        <v>384253</v>
      </c>
      <c r="AE70" s="23">
        <v>97743</v>
      </c>
      <c r="AF70" s="23">
        <v>57161</v>
      </c>
      <c r="AG70" s="23">
        <v>56352</v>
      </c>
      <c r="AH70" s="23">
        <v>584382</v>
      </c>
      <c r="AI70" s="23">
        <v>54734</v>
      </c>
      <c r="AJ70" s="23"/>
      <c r="AK70" s="23">
        <v>100000</v>
      </c>
      <c r="AL70" s="23">
        <v>580101</v>
      </c>
      <c r="AM70" s="23">
        <v>50000</v>
      </c>
      <c r="AN70" s="23">
        <v>54155</v>
      </c>
      <c r="AO70" s="23"/>
      <c r="AP70" s="24">
        <f t="shared" si="53"/>
        <v>2018881</v>
      </c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>
        <f t="shared" si="54"/>
        <v>0</v>
      </c>
      <c r="BD70" s="37" t="s">
        <v>160</v>
      </c>
      <c r="BE70" s="7">
        <v>697</v>
      </c>
      <c r="BF70" s="52">
        <v>0</v>
      </c>
      <c r="BG70" s="27">
        <v>0</v>
      </c>
      <c r="BH70" s="27">
        <v>0</v>
      </c>
      <c r="BI70" s="63">
        <v>0</v>
      </c>
      <c r="BJ70" s="27">
        <v>0</v>
      </c>
      <c r="BK70" s="64">
        <v>148</v>
      </c>
      <c r="BL70" s="65">
        <v>564</v>
      </c>
      <c r="BM70" s="66">
        <v>0</v>
      </c>
      <c r="BN70" s="65">
        <v>0</v>
      </c>
      <c r="BO70" s="64">
        <v>235</v>
      </c>
      <c r="BP70" s="65">
        <v>352</v>
      </c>
      <c r="BQ70" s="24">
        <f t="shared" si="98"/>
        <v>1996</v>
      </c>
      <c r="BR70" s="7" t="s">
        <v>243</v>
      </c>
      <c r="BS70" s="7">
        <v>442</v>
      </c>
      <c r="BT70" s="7">
        <v>0</v>
      </c>
      <c r="BU70" s="7">
        <v>165</v>
      </c>
      <c r="BV70" s="7">
        <v>0</v>
      </c>
      <c r="BW70" s="7">
        <v>227</v>
      </c>
      <c r="BX70" s="7">
        <v>0</v>
      </c>
      <c r="BY70" s="7">
        <v>0</v>
      </c>
      <c r="BZ70" s="7">
        <v>0</v>
      </c>
      <c r="CA70" s="7">
        <v>200</v>
      </c>
      <c r="CB70" s="7">
        <v>0</v>
      </c>
      <c r="CC70" s="7">
        <v>0</v>
      </c>
      <c r="CD70" s="7" t="s">
        <v>201</v>
      </c>
      <c r="CE70" s="24"/>
      <c r="CF70" s="26" t="s">
        <v>65</v>
      </c>
      <c r="CG70" s="27">
        <f t="shared" si="55"/>
        <v>894458.5</v>
      </c>
      <c r="CH70" s="27">
        <f t="shared" si="56"/>
        <v>665494.5</v>
      </c>
      <c r="CI70" s="27">
        <f t="shared" si="57"/>
        <v>2058116.25</v>
      </c>
      <c r="CJ70" s="27">
        <f t="shared" si="58"/>
        <v>664124</v>
      </c>
      <c r="CK70" s="27">
        <f t="shared" si="59"/>
        <v>552661.25</v>
      </c>
      <c r="CL70" s="27">
        <f t="shared" si="60"/>
        <v>101101.75</v>
      </c>
      <c r="CM70" s="27">
        <f t="shared" si="61"/>
        <v>708127.75</v>
      </c>
      <c r="CN70" s="27">
        <f t="shared" si="62"/>
        <v>1470576.25</v>
      </c>
      <c r="CO70" s="27">
        <f t="shared" si="63"/>
        <v>1566463.5</v>
      </c>
      <c r="CP70" s="27">
        <f t="shared" si="64"/>
        <v>1049973</v>
      </c>
      <c r="CQ70" s="27">
        <f t="shared" si="65"/>
        <v>1330135.75</v>
      </c>
      <c r="CR70" s="27">
        <f t="shared" si="66"/>
        <v>1328076.75</v>
      </c>
      <c r="CS70" s="27">
        <f>+SUM(CG70:CR70)</f>
        <v>12389309.25</v>
      </c>
      <c r="CT70" s="18" t="s">
        <v>65</v>
      </c>
      <c r="CU70" s="28">
        <f aca="true" t="shared" si="103" ref="CU70:DF70">+CG70/$CS$70</f>
        <v>0.07219599430048936</v>
      </c>
      <c r="CV70" s="28">
        <f t="shared" si="103"/>
        <v>0.05371522225906178</v>
      </c>
      <c r="CW70" s="28">
        <f t="shared" si="103"/>
        <v>0.1661203387912849</v>
      </c>
      <c r="CX70" s="28">
        <f t="shared" si="103"/>
        <v>0.05360460269405254</v>
      </c>
      <c r="CY70" s="28">
        <f t="shared" si="103"/>
        <v>0.04460791468257199</v>
      </c>
      <c r="CZ70" s="28">
        <f t="shared" si="103"/>
        <v>0.00816040248571566</v>
      </c>
      <c r="DA70" s="28">
        <f t="shared" si="103"/>
        <v>0.057156354378675306</v>
      </c>
      <c r="DB70" s="28">
        <f t="shared" si="103"/>
        <v>0.11869719451873396</v>
      </c>
      <c r="DC70" s="28">
        <f t="shared" si="103"/>
        <v>0.12643670994006384</v>
      </c>
      <c r="DD70" s="28">
        <f t="shared" si="103"/>
        <v>0.08474830830459737</v>
      </c>
      <c r="DE70" s="28">
        <f t="shared" si="103"/>
        <v>0.10736157465760249</v>
      </c>
      <c r="DF70" s="28">
        <f t="shared" si="103"/>
        <v>0.1071953829871508</v>
      </c>
      <c r="DG70" s="29">
        <f t="shared" si="91"/>
        <v>1</v>
      </c>
      <c r="DH70" s="37" t="s">
        <v>160</v>
      </c>
      <c r="DI70" s="7">
        <v>697</v>
      </c>
      <c r="DJ70" s="52">
        <v>0</v>
      </c>
      <c r="DK70" s="27">
        <v>0</v>
      </c>
      <c r="DL70" s="27">
        <v>0</v>
      </c>
      <c r="DM70" s="63">
        <v>0</v>
      </c>
      <c r="DN70" s="27">
        <v>0</v>
      </c>
      <c r="DO70" s="64">
        <v>148</v>
      </c>
      <c r="DP70" s="65">
        <v>564</v>
      </c>
      <c r="DQ70" s="66">
        <v>0</v>
      </c>
      <c r="DR70" s="65">
        <v>0</v>
      </c>
      <c r="DS70" s="64">
        <v>235</v>
      </c>
      <c r="DT70" s="65">
        <v>352</v>
      </c>
      <c r="DV70" s="7" t="s">
        <v>243</v>
      </c>
      <c r="DW70" s="7">
        <v>442</v>
      </c>
      <c r="DX70" s="7">
        <v>0</v>
      </c>
      <c r="DY70" s="7">
        <v>165</v>
      </c>
      <c r="DZ70" s="7">
        <v>0</v>
      </c>
      <c r="EA70" s="7">
        <v>227</v>
      </c>
      <c r="EB70" s="7">
        <v>0</v>
      </c>
      <c r="EC70" s="7">
        <v>0</v>
      </c>
      <c r="ED70" s="7">
        <v>0</v>
      </c>
      <c r="EE70" s="7">
        <v>200</v>
      </c>
      <c r="EF70" s="7">
        <v>0</v>
      </c>
      <c r="EG70" s="7">
        <v>0</v>
      </c>
      <c r="EH70" s="7" t="s">
        <v>201</v>
      </c>
    </row>
    <row r="71" spans="1:138" ht="15" customHeight="1">
      <c r="A71" s="37" t="s">
        <v>161</v>
      </c>
      <c r="B71" s="15"/>
      <c r="C71" s="16"/>
      <c r="D71" s="16"/>
      <c r="E71" s="16"/>
      <c r="F71" s="16"/>
      <c r="G71" s="16"/>
      <c r="H71" s="16"/>
      <c r="I71" s="16"/>
      <c r="J71" s="16"/>
      <c r="K71" s="15"/>
      <c r="L71" s="15"/>
      <c r="M71" s="15"/>
      <c r="N71" s="17">
        <f t="shared" si="51"/>
        <v>0</v>
      </c>
      <c r="O71" s="18"/>
      <c r="P71" s="30">
        <v>0</v>
      </c>
      <c r="Q71" s="30">
        <v>0</v>
      </c>
      <c r="R71" s="27"/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27">
        <v>0</v>
      </c>
      <c r="Z71" s="31">
        <v>0</v>
      </c>
      <c r="AA71" s="27"/>
      <c r="AB71" s="22">
        <f t="shared" si="52"/>
        <v>0</v>
      </c>
      <c r="AC71" s="18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4">
        <f t="shared" si="53"/>
        <v>0</v>
      </c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>
        <f t="shared" si="54"/>
        <v>0</v>
      </c>
      <c r="BD71" s="37" t="s">
        <v>161</v>
      </c>
      <c r="BE71" s="7">
        <v>697</v>
      </c>
      <c r="BF71" s="52">
        <v>0</v>
      </c>
      <c r="BG71" s="27">
        <v>0</v>
      </c>
      <c r="BH71" s="27">
        <v>0</v>
      </c>
      <c r="BI71" s="63">
        <v>0</v>
      </c>
      <c r="BJ71" s="27">
        <v>0</v>
      </c>
      <c r="BK71" s="64">
        <v>148</v>
      </c>
      <c r="BL71" s="65">
        <v>564</v>
      </c>
      <c r="BM71" s="66">
        <v>0</v>
      </c>
      <c r="BN71" s="65">
        <v>0</v>
      </c>
      <c r="BO71" s="64">
        <v>235</v>
      </c>
      <c r="BP71" s="65">
        <v>352</v>
      </c>
      <c r="BQ71" s="24">
        <f t="shared" si="98"/>
        <v>1996</v>
      </c>
      <c r="BR71" s="7" t="s">
        <v>242</v>
      </c>
      <c r="BS71" s="7">
        <v>0</v>
      </c>
      <c r="BT71" s="7">
        <v>0</v>
      </c>
      <c r="BU71" s="7">
        <v>614</v>
      </c>
      <c r="BV71" s="7">
        <v>0</v>
      </c>
      <c r="BW71" s="7">
        <v>0</v>
      </c>
      <c r="BX71" s="7">
        <v>0</v>
      </c>
      <c r="BY71" s="7">
        <v>0</v>
      </c>
      <c r="BZ71" s="7">
        <v>436</v>
      </c>
      <c r="CA71" s="7">
        <v>0</v>
      </c>
      <c r="CB71" s="7">
        <v>0</v>
      </c>
      <c r="CC71" s="7">
        <v>0</v>
      </c>
      <c r="CD71" s="7" t="s">
        <v>201</v>
      </c>
      <c r="CE71" s="24"/>
      <c r="CF71" s="26"/>
      <c r="CG71" s="27">
        <f t="shared" si="55"/>
        <v>0</v>
      </c>
      <c r="CH71" s="27">
        <f t="shared" si="56"/>
        <v>0</v>
      </c>
      <c r="CI71" s="27">
        <f t="shared" si="57"/>
        <v>0</v>
      </c>
      <c r="CJ71" s="27">
        <f t="shared" si="58"/>
        <v>0</v>
      </c>
      <c r="CK71" s="27">
        <f t="shared" si="59"/>
        <v>0</v>
      </c>
      <c r="CL71" s="27">
        <f t="shared" si="60"/>
        <v>0</v>
      </c>
      <c r="CM71" s="27">
        <f t="shared" si="61"/>
        <v>0</v>
      </c>
      <c r="CN71" s="27">
        <f t="shared" si="62"/>
        <v>0</v>
      </c>
      <c r="CO71" s="27">
        <f t="shared" si="63"/>
        <v>0</v>
      </c>
      <c r="CP71" s="27">
        <f t="shared" si="64"/>
        <v>0</v>
      </c>
      <c r="CQ71" s="27">
        <f t="shared" si="65"/>
        <v>0</v>
      </c>
      <c r="CR71" s="27">
        <f t="shared" si="66"/>
        <v>0</v>
      </c>
      <c r="CS71" s="37"/>
      <c r="CT71" s="18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29">
        <f t="shared" si="91"/>
        <v>0</v>
      </c>
      <c r="DH71" s="37" t="s">
        <v>161</v>
      </c>
      <c r="DI71" s="7">
        <v>697</v>
      </c>
      <c r="DJ71" s="52">
        <v>0</v>
      </c>
      <c r="DK71" s="27">
        <v>0</v>
      </c>
      <c r="DL71" s="27">
        <v>0</v>
      </c>
      <c r="DM71" s="63">
        <v>0</v>
      </c>
      <c r="DN71" s="27">
        <v>0</v>
      </c>
      <c r="DO71" s="64">
        <v>148</v>
      </c>
      <c r="DP71" s="65">
        <v>564</v>
      </c>
      <c r="DQ71" s="66">
        <v>0</v>
      </c>
      <c r="DR71" s="65">
        <v>0</v>
      </c>
      <c r="DS71" s="64">
        <v>235</v>
      </c>
      <c r="DT71" s="65">
        <v>352</v>
      </c>
      <c r="DV71" s="7" t="s">
        <v>242</v>
      </c>
      <c r="DW71" s="7">
        <v>0</v>
      </c>
      <c r="DX71" s="7">
        <v>0</v>
      </c>
      <c r="DY71" s="7">
        <v>614</v>
      </c>
      <c r="DZ71" s="7">
        <v>0</v>
      </c>
      <c r="EA71" s="7">
        <v>0</v>
      </c>
      <c r="EB71" s="7">
        <v>0</v>
      </c>
      <c r="EC71" s="7">
        <v>0</v>
      </c>
      <c r="ED71" s="7">
        <v>436</v>
      </c>
      <c r="EE71" s="7">
        <v>0</v>
      </c>
      <c r="EF71" s="7">
        <v>0</v>
      </c>
      <c r="EG71" s="7">
        <v>0</v>
      </c>
      <c r="EH71" s="7" t="s">
        <v>201</v>
      </c>
    </row>
    <row r="72" spans="1:124" ht="15" customHeight="1">
      <c r="A72" s="37"/>
      <c r="B72" s="15"/>
      <c r="C72" s="16"/>
      <c r="D72" s="16"/>
      <c r="E72" s="16"/>
      <c r="F72" s="16"/>
      <c r="G72" s="16"/>
      <c r="H72" s="16"/>
      <c r="I72" s="16"/>
      <c r="J72" s="16"/>
      <c r="K72" s="15"/>
      <c r="L72" s="15"/>
      <c r="M72" s="15"/>
      <c r="N72" s="17"/>
      <c r="O72" s="18"/>
      <c r="P72" s="30"/>
      <c r="Q72" s="30"/>
      <c r="R72" s="27"/>
      <c r="S72" s="31"/>
      <c r="T72" s="31"/>
      <c r="U72" s="31"/>
      <c r="V72" s="31"/>
      <c r="W72" s="31"/>
      <c r="X72" s="31"/>
      <c r="Y72" s="27"/>
      <c r="Z72" s="31"/>
      <c r="AA72" s="27"/>
      <c r="AB72" s="22"/>
      <c r="AC72" s="18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4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4"/>
      <c r="BD72" s="6"/>
      <c r="BF72" s="52"/>
      <c r="BG72" s="27"/>
      <c r="BH72" s="27"/>
      <c r="BI72" s="63"/>
      <c r="BJ72" s="27"/>
      <c r="BK72" s="64"/>
      <c r="BL72" s="65"/>
      <c r="BM72" s="66"/>
      <c r="BN72" s="65"/>
      <c r="BO72" s="64"/>
      <c r="BP72" s="65"/>
      <c r="BQ72" s="24">
        <f t="shared" si="98"/>
        <v>0</v>
      </c>
      <c r="CE72" s="24"/>
      <c r="CF72" s="26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37"/>
      <c r="CT72" s="18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29"/>
      <c r="DH72" s="6"/>
      <c r="DJ72" s="52"/>
      <c r="DK72" s="27"/>
      <c r="DL72" s="27"/>
      <c r="DM72" s="63"/>
      <c r="DN72" s="27"/>
      <c r="DO72" s="64"/>
      <c r="DP72" s="65"/>
      <c r="DQ72" s="66"/>
      <c r="DR72" s="65"/>
      <c r="DS72" s="64"/>
      <c r="DT72" s="65"/>
    </row>
    <row r="73" spans="1:124" ht="13.5" customHeight="1">
      <c r="A73" s="37" t="s">
        <v>157</v>
      </c>
      <c r="B73" s="15"/>
      <c r="C73" s="16"/>
      <c r="D73" s="16"/>
      <c r="E73" s="16"/>
      <c r="F73" s="16"/>
      <c r="G73" s="16"/>
      <c r="H73" s="16"/>
      <c r="I73" s="16"/>
      <c r="J73" s="16"/>
      <c r="K73" s="15"/>
      <c r="L73" s="15"/>
      <c r="M73" s="15"/>
      <c r="N73" s="17"/>
      <c r="O73" s="18"/>
      <c r="P73" s="30"/>
      <c r="Q73" s="30"/>
      <c r="R73" s="27"/>
      <c r="S73" s="31"/>
      <c r="T73" s="31"/>
      <c r="U73" s="31"/>
      <c r="V73" s="31"/>
      <c r="W73" s="31"/>
      <c r="X73" s="31"/>
      <c r="Y73" s="27"/>
      <c r="Z73" s="31"/>
      <c r="AA73" s="27"/>
      <c r="AB73" s="22"/>
      <c r="AC73" s="18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4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4"/>
      <c r="BE73" s="7">
        <v>0</v>
      </c>
      <c r="BF73" s="52">
        <v>10000</v>
      </c>
      <c r="BG73" s="27">
        <v>0</v>
      </c>
      <c r="BH73" s="27">
        <v>0</v>
      </c>
      <c r="BI73" s="63">
        <v>0</v>
      </c>
      <c r="BJ73" s="27">
        <v>0</v>
      </c>
      <c r="BK73" s="64">
        <v>0</v>
      </c>
      <c r="BL73" s="65">
        <v>0</v>
      </c>
      <c r="BM73" s="66">
        <v>0</v>
      </c>
      <c r="BN73" s="65">
        <v>0</v>
      </c>
      <c r="BO73" s="64">
        <v>0</v>
      </c>
      <c r="BP73" s="65"/>
      <c r="BQ73" s="24">
        <f t="shared" si="98"/>
        <v>10000</v>
      </c>
      <c r="CE73" s="24"/>
      <c r="CF73" s="26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37"/>
      <c r="CT73" s="18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29"/>
      <c r="DI73" s="7">
        <v>0</v>
      </c>
      <c r="DJ73" s="52">
        <v>10000</v>
      </c>
      <c r="DK73" s="27">
        <v>0</v>
      </c>
      <c r="DL73" s="27">
        <v>0</v>
      </c>
      <c r="DM73" s="63">
        <v>0</v>
      </c>
      <c r="DN73" s="27">
        <v>0</v>
      </c>
      <c r="DO73" s="64">
        <v>0</v>
      </c>
      <c r="DP73" s="65">
        <v>0</v>
      </c>
      <c r="DQ73" s="66">
        <v>0</v>
      </c>
      <c r="DR73" s="65">
        <v>0</v>
      </c>
      <c r="DS73" s="64">
        <v>0</v>
      </c>
      <c r="DT73" s="65"/>
    </row>
    <row r="74" spans="1:138" ht="13.5" customHeight="1">
      <c r="A74" s="37" t="s">
        <v>158</v>
      </c>
      <c r="B74" s="15"/>
      <c r="C74" s="16"/>
      <c r="D74" s="16"/>
      <c r="E74" s="16"/>
      <c r="F74" s="16"/>
      <c r="G74" s="16"/>
      <c r="H74" s="16"/>
      <c r="I74" s="16"/>
      <c r="J74" s="16"/>
      <c r="K74" s="15"/>
      <c r="L74" s="15"/>
      <c r="M74" s="15"/>
      <c r="N74" s="17"/>
      <c r="O74" s="18"/>
      <c r="P74" s="30"/>
      <c r="Q74" s="30"/>
      <c r="R74" s="27"/>
      <c r="S74" s="31"/>
      <c r="T74" s="31"/>
      <c r="U74" s="31"/>
      <c r="V74" s="31"/>
      <c r="W74" s="31"/>
      <c r="X74" s="31"/>
      <c r="Y74" s="27"/>
      <c r="Z74" s="31"/>
      <c r="AA74" s="27"/>
      <c r="AB74" s="22"/>
      <c r="AC74" s="18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4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4"/>
      <c r="BE74" s="7">
        <v>0</v>
      </c>
      <c r="BF74" s="52">
        <v>27</v>
      </c>
      <c r="BG74" s="27">
        <v>70</v>
      </c>
      <c r="BH74" s="27">
        <v>72</v>
      </c>
      <c r="BI74" s="63">
        <v>113</v>
      </c>
      <c r="BJ74" s="27">
        <v>9400</v>
      </c>
      <c r="BK74" s="64">
        <v>0</v>
      </c>
      <c r="BL74" s="65">
        <v>411</v>
      </c>
      <c r="BM74" s="66">
        <v>0</v>
      </c>
      <c r="BN74" s="65">
        <v>104</v>
      </c>
      <c r="BO74" s="64">
        <v>370</v>
      </c>
      <c r="BP74" s="65">
        <v>0</v>
      </c>
      <c r="BQ74" s="24">
        <f t="shared" si="98"/>
        <v>10567</v>
      </c>
      <c r="BR74" s="7" t="s">
        <v>240</v>
      </c>
      <c r="BS74" s="7">
        <v>119</v>
      </c>
      <c r="BT74" s="7">
        <v>0</v>
      </c>
      <c r="BU74" s="7">
        <v>0</v>
      </c>
      <c r="BV74" s="7">
        <v>0</v>
      </c>
      <c r="BW74" s="7">
        <v>0</v>
      </c>
      <c r="BX74" s="52">
        <v>20952</v>
      </c>
      <c r="BY74" s="52">
        <v>2133</v>
      </c>
      <c r="BZ74" s="7">
        <v>555</v>
      </c>
      <c r="CA74" s="7">
        <v>0</v>
      </c>
      <c r="CB74" s="52">
        <v>4541</v>
      </c>
      <c r="CC74" s="7">
        <v>0</v>
      </c>
      <c r="CD74" s="7" t="s">
        <v>201</v>
      </c>
      <c r="CE74" s="24"/>
      <c r="CF74" s="26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37"/>
      <c r="CT74" s="18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29"/>
      <c r="DI74" s="7">
        <v>0</v>
      </c>
      <c r="DJ74" s="52">
        <v>27</v>
      </c>
      <c r="DK74" s="27">
        <v>70</v>
      </c>
      <c r="DL74" s="27">
        <v>72</v>
      </c>
      <c r="DM74" s="63">
        <v>113</v>
      </c>
      <c r="DN74" s="27">
        <v>9400</v>
      </c>
      <c r="DO74" s="64">
        <v>0</v>
      </c>
      <c r="DP74" s="65">
        <v>411</v>
      </c>
      <c r="DQ74" s="66">
        <v>0</v>
      </c>
      <c r="DR74" s="65">
        <v>104</v>
      </c>
      <c r="DS74" s="64">
        <v>370</v>
      </c>
      <c r="DT74" s="65">
        <v>0</v>
      </c>
      <c r="DV74" s="7" t="s">
        <v>240</v>
      </c>
      <c r="DW74" s="7">
        <v>119</v>
      </c>
      <c r="DX74" s="7">
        <v>0</v>
      </c>
      <c r="DY74" s="7">
        <v>0</v>
      </c>
      <c r="DZ74" s="7">
        <v>0</v>
      </c>
      <c r="EA74" s="7">
        <v>0</v>
      </c>
      <c r="EB74" s="52">
        <v>20952</v>
      </c>
      <c r="EC74" s="52">
        <v>2133</v>
      </c>
      <c r="ED74" s="7">
        <v>555</v>
      </c>
      <c r="EE74" s="7">
        <v>0</v>
      </c>
      <c r="EF74" s="52">
        <v>4541</v>
      </c>
      <c r="EG74" s="7">
        <v>0</v>
      </c>
      <c r="EH74" s="7" t="s">
        <v>201</v>
      </c>
    </row>
    <row r="75" spans="1:124" ht="15" customHeight="1">
      <c r="A75" s="69"/>
      <c r="B75" s="15"/>
      <c r="C75" s="16"/>
      <c r="D75" s="16"/>
      <c r="E75" s="16"/>
      <c r="F75" s="16"/>
      <c r="G75" s="16"/>
      <c r="H75" s="16"/>
      <c r="I75" s="16"/>
      <c r="J75" s="16"/>
      <c r="K75" s="15"/>
      <c r="L75" s="15"/>
      <c r="M75" s="15"/>
      <c r="N75" s="17"/>
      <c r="O75" s="18"/>
      <c r="P75" s="30"/>
      <c r="Q75" s="30"/>
      <c r="R75" s="27"/>
      <c r="S75" s="31"/>
      <c r="T75" s="31"/>
      <c r="U75" s="31"/>
      <c r="V75" s="31"/>
      <c r="W75" s="31"/>
      <c r="X75" s="31"/>
      <c r="Y75" s="27"/>
      <c r="Z75" s="31"/>
      <c r="AA75" s="27"/>
      <c r="AB75" s="22"/>
      <c r="AC75" s="18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4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4"/>
      <c r="BD75" s="6"/>
      <c r="BF75" s="52"/>
      <c r="BG75" s="70"/>
      <c r="BH75" s="70"/>
      <c r="BI75" s="71"/>
      <c r="BJ75" s="70"/>
      <c r="BK75" s="6"/>
      <c r="BL75" s="70"/>
      <c r="BM75" s="72"/>
      <c r="BN75" s="70"/>
      <c r="BO75" s="6"/>
      <c r="BP75" s="70"/>
      <c r="BQ75" s="24">
        <f t="shared" si="98"/>
        <v>0</v>
      </c>
      <c r="CE75" s="24"/>
      <c r="CF75" s="26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37"/>
      <c r="CT75" s="18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29"/>
      <c r="DH75" s="6"/>
      <c r="DJ75" s="52"/>
      <c r="DK75" s="70"/>
      <c r="DL75" s="70"/>
      <c r="DM75" s="71"/>
      <c r="DN75" s="70"/>
      <c r="DO75" s="6"/>
      <c r="DP75" s="70"/>
      <c r="DQ75" s="72"/>
      <c r="DR75" s="70"/>
      <c r="DS75" s="6"/>
      <c r="DT75" s="70"/>
    </row>
    <row r="76" spans="1:111" ht="13.5" customHeight="1">
      <c r="A76" s="14" t="s">
        <v>66</v>
      </c>
      <c r="B76" s="15"/>
      <c r="C76" s="16"/>
      <c r="D76" s="16"/>
      <c r="E76" s="16"/>
      <c r="F76" s="16"/>
      <c r="G76" s="16"/>
      <c r="H76" s="16"/>
      <c r="I76" s="16"/>
      <c r="J76" s="16"/>
      <c r="K76" s="15"/>
      <c r="L76" s="15"/>
      <c r="M76" s="15"/>
      <c r="N76" s="17">
        <f t="shared" si="51"/>
        <v>0</v>
      </c>
      <c r="O76" s="18" t="s">
        <v>66</v>
      </c>
      <c r="P76" s="30">
        <f aca="true" t="shared" si="104" ref="P76:AA76">SUM(P77+P145+P147+P142+P139+P132+P101)</f>
        <v>140174531</v>
      </c>
      <c r="Q76" s="30">
        <f t="shared" si="104"/>
        <v>948258</v>
      </c>
      <c r="R76" s="23">
        <f t="shared" si="104"/>
        <v>146295323</v>
      </c>
      <c r="S76" s="23">
        <f t="shared" si="104"/>
        <v>120667457.5</v>
      </c>
      <c r="T76" s="23">
        <f t="shared" si="104"/>
        <v>145471176.38</v>
      </c>
      <c r="U76" s="23">
        <f t="shared" si="104"/>
        <v>1359262</v>
      </c>
      <c r="V76" s="23">
        <f t="shared" si="104"/>
        <v>161796102.88</v>
      </c>
      <c r="W76" s="23">
        <f t="shared" si="104"/>
        <v>844998</v>
      </c>
      <c r="X76" s="23">
        <f t="shared" si="104"/>
        <v>146731896.38</v>
      </c>
      <c r="Y76" s="23">
        <f t="shared" si="104"/>
        <v>1913183</v>
      </c>
      <c r="Z76" s="23">
        <f t="shared" si="104"/>
        <v>75366595.76</v>
      </c>
      <c r="AA76" s="23">
        <f t="shared" si="104"/>
        <v>54885734.53</v>
      </c>
      <c r="AB76" s="22">
        <f t="shared" si="52"/>
        <v>996454518.43</v>
      </c>
      <c r="AC76" s="18" t="s">
        <v>66</v>
      </c>
      <c r="AD76" s="23">
        <f aca="true" t="shared" si="105" ref="AD76:AO76">SUM(AD77+AD145+AD147+AD142+AD139+AD132+AD101)</f>
        <v>488702198</v>
      </c>
      <c r="AE76" s="23">
        <f t="shared" si="105"/>
        <v>51314158</v>
      </c>
      <c r="AF76" s="23">
        <f t="shared" si="105"/>
        <v>272007451.91999996</v>
      </c>
      <c r="AG76" s="23">
        <f t="shared" si="105"/>
        <v>129500892.07</v>
      </c>
      <c r="AH76" s="23">
        <f t="shared" si="105"/>
        <v>276710508</v>
      </c>
      <c r="AI76" s="23">
        <f t="shared" si="105"/>
        <v>340995757</v>
      </c>
      <c r="AJ76" s="23">
        <f t="shared" si="105"/>
        <v>360094755</v>
      </c>
      <c r="AK76" s="23">
        <f t="shared" si="105"/>
        <v>133780698</v>
      </c>
      <c r="AL76" s="23">
        <f t="shared" si="105"/>
        <v>228902483</v>
      </c>
      <c r="AM76" s="23">
        <f t="shared" si="105"/>
        <v>131472661</v>
      </c>
      <c r="AN76" s="23">
        <f t="shared" si="105"/>
        <v>248628768</v>
      </c>
      <c r="AO76" s="23">
        <f t="shared" si="105"/>
        <v>18856304</v>
      </c>
      <c r="AP76" s="24">
        <f t="shared" si="53"/>
        <v>2680966633.99</v>
      </c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4">
        <f t="shared" si="54"/>
        <v>0</v>
      </c>
      <c r="BQ76" s="24">
        <f t="shared" si="98"/>
        <v>0</v>
      </c>
      <c r="CE76" s="24"/>
      <c r="CF76" s="26" t="s">
        <v>66</v>
      </c>
      <c r="CG76" s="27">
        <f t="shared" si="55"/>
        <v>157219182.25</v>
      </c>
      <c r="CH76" s="27">
        <f t="shared" si="56"/>
        <v>13065604</v>
      </c>
      <c r="CI76" s="27">
        <f t="shared" si="57"/>
        <v>104575693.72999999</v>
      </c>
      <c r="CJ76" s="27">
        <f t="shared" si="58"/>
        <v>62542087.3925</v>
      </c>
      <c r="CK76" s="27">
        <f t="shared" si="59"/>
        <v>105545421.095</v>
      </c>
      <c r="CL76" s="27">
        <f t="shared" si="60"/>
        <v>85588754.75</v>
      </c>
      <c r="CM76" s="27">
        <f t="shared" si="61"/>
        <v>130472714.47</v>
      </c>
      <c r="CN76" s="27">
        <f t="shared" si="62"/>
        <v>33656424</v>
      </c>
      <c r="CO76" s="27">
        <f t="shared" si="63"/>
        <v>93908594.845</v>
      </c>
      <c r="CP76" s="27">
        <f t="shared" si="64"/>
        <v>33346461</v>
      </c>
      <c r="CQ76" s="27">
        <f t="shared" si="65"/>
        <v>80998840.94</v>
      </c>
      <c r="CR76" s="27">
        <f t="shared" si="66"/>
        <v>18435509.6325</v>
      </c>
      <c r="CS76" s="37"/>
      <c r="CT76" s="18" t="s">
        <v>66</v>
      </c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29">
        <f t="shared" si="91"/>
        <v>0</v>
      </c>
    </row>
    <row r="77" spans="1:124" ht="13.5" customHeight="1">
      <c r="A77" s="14" t="s">
        <v>67</v>
      </c>
      <c r="B77" s="15"/>
      <c r="C77" s="16"/>
      <c r="D77" s="16"/>
      <c r="E77" s="16"/>
      <c r="F77" s="16"/>
      <c r="G77" s="16"/>
      <c r="H77" s="16"/>
      <c r="I77" s="16"/>
      <c r="J77" s="16"/>
      <c r="K77" s="15"/>
      <c r="L77" s="15"/>
      <c r="M77" s="15"/>
      <c r="N77" s="17">
        <f t="shared" si="51"/>
        <v>0</v>
      </c>
      <c r="O77" s="18" t="s">
        <v>67</v>
      </c>
      <c r="P77" s="30">
        <f aca="true" t="shared" si="106" ref="P77:AA77">SUM(P78+P134)</f>
        <v>119596650</v>
      </c>
      <c r="Q77" s="30">
        <f t="shared" si="106"/>
        <v>314100</v>
      </c>
      <c r="R77" s="23">
        <f t="shared" si="106"/>
        <v>145443762</v>
      </c>
      <c r="S77" s="23">
        <f t="shared" si="106"/>
        <v>120134975.5</v>
      </c>
      <c r="T77" s="23">
        <f t="shared" si="106"/>
        <v>145044061.38</v>
      </c>
      <c r="U77" s="23">
        <f t="shared" si="106"/>
        <v>631100</v>
      </c>
      <c r="V77" s="23">
        <f t="shared" si="106"/>
        <v>144939861.38</v>
      </c>
      <c r="W77" s="23">
        <f t="shared" si="106"/>
        <v>281935</v>
      </c>
      <c r="X77" s="23">
        <f t="shared" si="106"/>
        <v>146275231.38</v>
      </c>
      <c r="Y77" s="23">
        <f t="shared" si="106"/>
        <v>1228480</v>
      </c>
      <c r="Z77" s="23">
        <f t="shared" si="106"/>
        <v>74352360.76</v>
      </c>
      <c r="AA77" s="23">
        <f t="shared" si="106"/>
        <v>54669817.53</v>
      </c>
      <c r="AB77" s="22">
        <f t="shared" si="52"/>
        <v>952912334.93</v>
      </c>
      <c r="AC77" s="18" t="s">
        <v>67</v>
      </c>
      <c r="AD77" s="23">
        <f aca="true" t="shared" si="107" ref="AD77:AO77">SUM(AD78+AD134+AD87+AD98)</f>
        <v>488184632</v>
      </c>
      <c r="AE77" s="23">
        <f t="shared" si="107"/>
        <v>36426662</v>
      </c>
      <c r="AF77" s="23">
        <f t="shared" si="107"/>
        <v>196046897.92</v>
      </c>
      <c r="AG77" s="23">
        <f t="shared" si="107"/>
        <v>126869226.07</v>
      </c>
      <c r="AH77" s="23">
        <f t="shared" si="107"/>
        <v>276239908</v>
      </c>
      <c r="AI77" s="23">
        <f t="shared" si="107"/>
        <v>291010231</v>
      </c>
      <c r="AJ77" s="23">
        <f t="shared" si="107"/>
        <v>359461434</v>
      </c>
      <c r="AK77" s="23">
        <f t="shared" si="107"/>
        <v>117809156</v>
      </c>
      <c r="AL77" s="23">
        <f t="shared" si="107"/>
        <v>208172225</v>
      </c>
      <c r="AM77" s="23">
        <f t="shared" si="107"/>
        <v>131218438</v>
      </c>
      <c r="AN77" s="23">
        <f t="shared" si="107"/>
        <v>241598730</v>
      </c>
      <c r="AO77" s="23">
        <f t="shared" si="107"/>
        <v>18856304</v>
      </c>
      <c r="AP77" s="24">
        <f t="shared" si="53"/>
        <v>2491893843.99</v>
      </c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4">
        <f t="shared" si="54"/>
        <v>0</v>
      </c>
      <c r="BD77" s="37" t="s">
        <v>165</v>
      </c>
      <c r="BE77" s="7">
        <v>140620</v>
      </c>
      <c r="BF77" s="52">
        <v>391</v>
      </c>
      <c r="BG77" s="27">
        <v>276232</v>
      </c>
      <c r="BH77" s="27">
        <v>348193</v>
      </c>
      <c r="BI77" s="63">
        <v>309633</v>
      </c>
      <c r="BJ77" s="27">
        <v>341559</v>
      </c>
      <c r="BK77" s="64">
        <v>38606</v>
      </c>
      <c r="BL77" s="65">
        <v>630480</v>
      </c>
      <c r="BM77" s="66">
        <v>227892</v>
      </c>
      <c r="BN77" s="65">
        <v>199507</v>
      </c>
      <c r="BO77" s="64">
        <v>524147</v>
      </c>
      <c r="BP77" s="65">
        <v>263422</v>
      </c>
      <c r="BQ77" s="24">
        <f t="shared" si="98"/>
        <v>3300682</v>
      </c>
      <c r="CE77" s="24"/>
      <c r="CF77" s="26" t="s">
        <v>67</v>
      </c>
      <c r="CG77" s="27">
        <f t="shared" si="55"/>
        <v>151945320.5</v>
      </c>
      <c r="CH77" s="27">
        <f t="shared" si="56"/>
        <v>9185190.5</v>
      </c>
      <c r="CI77" s="27">
        <f t="shared" si="57"/>
        <v>85372664.97999999</v>
      </c>
      <c r="CJ77" s="27">
        <f t="shared" si="58"/>
        <v>61751050.3925</v>
      </c>
      <c r="CK77" s="27">
        <f t="shared" si="59"/>
        <v>105320992.345</v>
      </c>
      <c r="CL77" s="27">
        <f t="shared" si="60"/>
        <v>72910332.75</v>
      </c>
      <c r="CM77" s="27">
        <f t="shared" si="61"/>
        <v>126100323.845</v>
      </c>
      <c r="CN77" s="27">
        <f t="shared" si="62"/>
        <v>29522772.75</v>
      </c>
      <c r="CO77" s="27">
        <f t="shared" si="63"/>
        <v>88611864.095</v>
      </c>
      <c r="CP77" s="27">
        <f t="shared" si="64"/>
        <v>33111729.5</v>
      </c>
      <c r="CQ77" s="27">
        <f t="shared" si="65"/>
        <v>78987772.69</v>
      </c>
      <c r="CR77" s="27">
        <f t="shared" si="66"/>
        <v>18381530.3825</v>
      </c>
      <c r="CS77" s="37"/>
      <c r="CT77" s="18" t="s">
        <v>67</v>
      </c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29">
        <f t="shared" si="91"/>
        <v>0</v>
      </c>
      <c r="DH77" s="37" t="s">
        <v>165</v>
      </c>
      <c r="DI77" s="7">
        <v>140620</v>
      </c>
      <c r="DJ77" s="52">
        <v>391</v>
      </c>
      <c r="DK77" s="27">
        <v>276232</v>
      </c>
      <c r="DL77" s="27">
        <v>348193</v>
      </c>
      <c r="DM77" s="63">
        <v>309633</v>
      </c>
      <c r="DN77" s="27">
        <v>341559</v>
      </c>
      <c r="DO77" s="64">
        <v>38606</v>
      </c>
      <c r="DP77" s="65">
        <v>630480</v>
      </c>
      <c r="DQ77" s="66">
        <v>227892</v>
      </c>
      <c r="DR77" s="65">
        <v>199507</v>
      </c>
      <c r="DS77" s="64">
        <v>524147</v>
      </c>
      <c r="DT77" s="65">
        <v>263422</v>
      </c>
    </row>
    <row r="78" spans="1:124" ht="15" customHeight="1">
      <c r="A78" s="14" t="s">
        <v>68</v>
      </c>
      <c r="B78" s="15"/>
      <c r="C78" s="16"/>
      <c r="D78" s="16"/>
      <c r="E78" s="16"/>
      <c r="F78" s="16"/>
      <c r="G78" s="16"/>
      <c r="H78" s="16"/>
      <c r="I78" s="16"/>
      <c r="J78" s="16"/>
      <c r="K78" s="15"/>
      <c r="L78" s="15"/>
      <c r="M78" s="15"/>
      <c r="N78" s="17">
        <f t="shared" si="51"/>
        <v>0</v>
      </c>
      <c r="O78" s="18" t="s">
        <v>68</v>
      </c>
      <c r="P78" s="30">
        <f aca="true" t="shared" si="108" ref="P78:AA78">SUM(P79+P82)</f>
        <v>119554650</v>
      </c>
      <c r="Q78" s="30">
        <f t="shared" si="108"/>
        <v>0</v>
      </c>
      <c r="R78" s="23">
        <f t="shared" si="108"/>
        <v>144749362</v>
      </c>
      <c r="S78" s="23">
        <f t="shared" si="108"/>
        <v>119509575.5</v>
      </c>
      <c r="T78" s="23">
        <f t="shared" si="108"/>
        <v>144749361.38</v>
      </c>
      <c r="U78" s="23">
        <f t="shared" si="108"/>
        <v>0</v>
      </c>
      <c r="V78" s="23">
        <f t="shared" si="108"/>
        <v>144749361.38</v>
      </c>
      <c r="W78" s="23">
        <f t="shared" si="108"/>
        <v>93995</v>
      </c>
      <c r="X78" s="23">
        <f t="shared" si="108"/>
        <v>144963511.38</v>
      </c>
      <c r="Y78" s="23">
        <f t="shared" si="108"/>
        <v>324560</v>
      </c>
      <c r="Z78" s="23">
        <f t="shared" si="108"/>
        <v>72699240.76</v>
      </c>
      <c r="AA78" s="23">
        <f t="shared" si="108"/>
        <v>53545817.53</v>
      </c>
      <c r="AB78" s="22">
        <f t="shared" si="52"/>
        <v>944939434.93</v>
      </c>
      <c r="AC78" s="18" t="s">
        <v>68</v>
      </c>
      <c r="AD78" s="23">
        <f aca="true" t="shared" si="109" ref="AD78:AO78">SUM(AD79+AD82)</f>
        <v>158662409</v>
      </c>
      <c r="AE78" s="23">
        <f t="shared" si="109"/>
        <v>0</v>
      </c>
      <c r="AF78" s="23">
        <f t="shared" si="109"/>
        <v>150289393.92</v>
      </c>
      <c r="AG78" s="23">
        <f t="shared" si="109"/>
        <v>34649393.07</v>
      </c>
      <c r="AH78" s="23">
        <f t="shared" si="109"/>
        <v>150289394</v>
      </c>
      <c r="AI78" s="23">
        <f t="shared" si="109"/>
        <v>0</v>
      </c>
      <c r="AJ78" s="23">
        <f t="shared" si="109"/>
        <v>127836354</v>
      </c>
      <c r="AK78" s="23">
        <f t="shared" si="109"/>
        <v>0</v>
      </c>
      <c r="AL78" s="23">
        <f t="shared" si="109"/>
        <v>127550177</v>
      </c>
      <c r="AM78" s="23">
        <f t="shared" si="109"/>
        <v>30214522</v>
      </c>
      <c r="AN78" s="23">
        <f t="shared" si="109"/>
        <v>127764810</v>
      </c>
      <c r="AO78" s="23">
        <f t="shared" si="109"/>
        <v>0</v>
      </c>
      <c r="AP78" s="24">
        <f t="shared" si="53"/>
        <v>907256452.99</v>
      </c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>
        <f t="shared" si="54"/>
        <v>0</v>
      </c>
      <c r="BD78" s="37" t="s">
        <v>185</v>
      </c>
      <c r="BE78" s="7">
        <v>0</v>
      </c>
      <c r="BF78" s="52">
        <v>0</v>
      </c>
      <c r="BG78" s="27">
        <v>0</v>
      </c>
      <c r="BH78" s="27">
        <v>0</v>
      </c>
      <c r="BI78" s="63">
        <v>0</v>
      </c>
      <c r="BJ78" s="27">
        <v>0</v>
      </c>
      <c r="BK78" s="64">
        <v>0</v>
      </c>
      <c r="BL78" s="65">
        <v>0</v>
      </c>
      <c r="BM78" s="66">
        <v>0</v>
      </c>
      <c r="BN78" s="65">
        <v>0</v>
      </c>
      <c r="BO78" s="64">
        <v>42478</v>
      </c>
      <c r="BP78" s="65">
        <v>0</v>
      </c>
      <c r="BQ78" s="24">
        <f t="shared" si="98"/>
        <v>42478</v>
      </c>
      <c r="CE78" s="24"/>
      <c r="CF78" s="26" t="s">
        <v>68</v>
      </c>
      <c r="CG78" s="27">
        <f t="shared" si="55"/>
        <v>69554264.75</v>
      </c>
      <c r="CH78" s="27">
        <f t="shared" si="56"/>
        <v>0</v>
      </c>
      <c r="CI78" s="27">
        <f t="shared" si="57"/>
        <v>73759688.97999999</v>
      </c>
      <c r="CJ78" s="27">
        <f t="shared" si="58"/>
        <v>38539742.1425</v>
      </c>
      <c r="CK78" s="27">
        <f t="shared" si="59"/>
        <v>73759688.845</v>
      </c>
      <c r="CL78" s="27">
        <f t="shared" si="60"/>
        <v>0</v>
      </c>
      <c r="CM78" s="27">
        <f t="shared" si="61"/>
        <v>68146428.845</v>
      </c>
      <c r="CN78" s="27">
        <f t="shared" si="62"/>
        <v>23498.75</v>
      </c>
      <c r="CO78" s="27">
        <f t="shared" si="63"/>
        <v>68128422.095</v>
      </c>
      <c r="CP78" s="27">
        <f t="shared" si="64"/>
        <v>7634770.5</v>
      </c>
      <c r="CQ78" s="27">
        <f t="shared" si="65"/>
        <v>50116012.69</v>
      </c>
      <c r="CR78" s="27">
        <f t="shared" si="66"/>
        <v>13386454.3825</v>
      </c>
      <c r="CS78" s="27">
        <f>+SUM(CG78:CR78)</f>
        <v>463048971.98</v>
      </c>
      <c r="CT78" s="18" t="s">
        <v>68</v>
      </c>
      <c r="CU78" s="28">
        <f aca="true" t="shared" si="110" ref="CU78:DF78">+CG78/$CS$78</f>
        <v>0.15020930605371086</v>
      </c>
      <c r="CV78" s="28">
        <f t="shared" si="110"/>
        <v>0</v>
      </c>
      <c r="CW78" s="28">
        <f t="shared" si="110"/>
        <v>0.15929133513589966</v>
      </c>
      <c r="CX78" s="28">
        <f t="shared" si="110"/>
        <v>0.08323038053125104</v>
      </c>
      <c r="CY78" s="28">
        <f t="shared" si="110"/>
        <v>0.15929133484435384</v>
      </c>
      <c r="CZ78" s="28">
        <f t="shared" si="110"/>
        <v>0</v>
      </c>
      <c r="DA78" s="28">
        <f t="shared" si="110"/>
        <v>0.14716894533553435</v>
      </c>
      <c r="DB78" s="28">
        <f t="shared" si="110"/>
        <v>5.0747872086874985E-05</v>
      </c>
      <c r="DC78" s="28">
        <f t="shared" si="110"/>
        <v>0.14713005798000692</v>
      </c>
      <c r="DD78" s="28">
        <f t="shared" si="110"/>
        <v>0.01648804114034349</v>
      </c>
      <c r="DE78" s="28">
        <f t="shared" si="110"/>
        <v>0.1082304804083759</v>
      </c>
      <c r="DF78" s="28">
        <f t="shared" si="110"/>
        <v>0.028909370698437027</v>
      </c>
      <c r="DG78" s="29">
        <f t="shared" si="91"/>
        <v>1</v>
      </c>
      <c r="DH78" s="37" t="s">
        <v>185</v>
      </c>
      <c r="DI78" s="7">
        <v>0</v>
      </c>
      <c r="DJ78" s="52">
        <v>0</v>
      </c>
      <c r="DK78" s="27">
        <v>0</v>
      </c>
      <c r="DL78" s="27">
        <v>0</v>
      </c>
      <c r="DM78" s="63">
        <v>0</v>
      </c>
      <c r="DN78" s="27">
        <v>0</v>
      </c>
      <c r="DO78" s="64">
        <v>0</v>
      </c>
      <c r="DP78" s="65">
        <v>0</v>
      </c>
      <c r="DQ78" s="66">
        <v>0</v>
      </c>
      <c r="DR78" s="65">
        <v>0</v>
      </c>
      <c r="DS78" s="64">
        <v>42478</v>
      </c>
      <c r="DT78" s="65">
        <v>0</v>
      </c>
    </row>
    <row r="79" spans="1:111" ht="15" customHeight="1">
      <c r="A79" s="14" t="s">
        <v>69</v>
      </c>
      <c r="B79" s="15"/>
      <c r="C79" s="16"/>
      <c r="D79" s="16"/>
      <c r="E79" s="16"/>
      <c r="F79" s="16"/>
      <c r="G79" s="16"/>
      <c r="H79" s="16"/>
      <c r="I79" s="16"/>
      <c r="J79" s="16"/>
      <c r="K79" s="15"/>
      <c r="L79" s="15"/>
      <c r="M79" s="15"/>
      <c r="N79" s="17">
        <f t="shared" si="51"/>
        <v>0</v>
      </c>
      <c r="O79" s="18" t="s">
        <v>69</v>
      </c>
      <c r="P79" s="30">
        <f aca="true" t="shared" si="111" ref="P79:AA79">SUM(P80:P81)</f>
        <v>71732790</v>
      </c>
      <c r="Q79" s="30">
        <f t="shared" si="111"/>
        <v>0</v>
      </c>
      <c r="R79" s="23">
        <f t="shared" si="111"/>
        <v>86849617</v>
      </c>
      <c r="S79" s="23">
        <f t="shared" si="111"/>
        <v>71705745.3</v>
      </c>
      <c r="T79" s="23">
        <f t="shared" si="111"/>
        <v>86849616.83</v>
      </c>
      <c r="U79" s="23">
        <f t="shared" si="111"/>
        <v>0</v>
      </c>
      <c r="V79" s="23">
        <f t="shared" si="111"/>
        <v>86849616.83</v>
      </c>
      <c r="W79" s="23">
        <f t="shared" si="111"/>
        <v>0</v>
      </c>
      <c r="X79" s="23">
        <f t="shared" si="111"/>
        <v>86849616.83</v>
      </c>
      <c r="Y79" s="23">
        <f t="shared" si="111"/>
        <v>0</v>
      </c>
      <c r="Z79" s="23">
        <f t="shared" si="111"/>
        <v>43424808.46</v>
      </c>
      <c r="AA79" s="23">
        <f t="shared" si="111"/>
        <v>32005252.52</v>
      </c>
      <c r="AB79" s="22">
        <f t="shared" si="52"/>
        <v>566267063.77</v>
      </c>
      <c r="AC79" s="18" t="s">
        <v>69</v>
      </c>
      <c r="AD79" s="23">
        <f aca="true" t="shared" si="112" ref="AD79:AO79">SUM(AD80:AD81)</f>
        <v>95197445</v>
      </c>
      <c r="AE79" s="23">
        <f t="shared" si="112"/>
        <v>0</v>
      </c>
      <c r="AF79" s="23">
        <f t="shared" si="112"/>
        <v>90173636.35</v>
      </c>
      <c r="AG79" s="23">
        <f t="shared" si="112"/>
        <v>20789635.84</v>
      </c>
      <c r="AH79" s="23">
        <f t="shared" si="112"/>
        <v>90173636</v>
      </c>
      <c r="AI79" s="23">
        <f t="shared" si="112"/>
        <v>0</v>
      </c>
      <c r="AJ79" s="23">
        <f t="shared" si="112"/>
        <v>76701812</v>
      </c>
      <c r="AK79" s="23">
        <f t="shared" si="112"/>
        <v>0</v>
      </c>
      <c r="AL79" s="23">
        <f t="shared" si="112"/>
        <v>76530106</v>
      </c>
      <c r="AM79" s="23">
        <f t="shared" si="112"/>
        <v>18128713</v>
      </c>
      <c r="AN79" s="23">
        <f t="shared" si="112"/>
        <v>76658886</v>
      </c>
      <c r="AO79" s="23">
        <f t="shared" si="112"/>
        <v>0</v>
      </c>
      <c r="AP79" s="24">
        <f t="shared" si="53"/>
        <v>544353870.19</v>
      </c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>
        <f t="shared" si="54"/>
        <v>0</v>
      </c>
      <c r="BQ79" s="24">
        <f t="shared" si="98"/>
        <v>0</v>
      </c>
      <c r="CE79" s="24"/>
      <c r="CF79" s="26" t="s">
        <v>69</v>
      </c>
      <c r="CG79" s="27">
        <f t="shared" si="55"/>
        <v>41732558.75</v>
      </c>
      <c r="CH79" s="27">
        <f t="shared" si="56"/>
        <v>0</v>
      </c>
      <c r="CI79" s="27">
        <f t="shared" si="57"/>
        <v>44255813.3375</v>
      </c>
      <c r="CJ79" s="27">
        <f t="shared" si="58"/>
        <v>23123845.285</v>
      </c>
      <c r="CK79" s="27">
        <f t="shared" si="59"/>
        <v>44255813.207499996</v>
      </c>
      <c r="CL79" s="27">
        <f t="shared" si="60"/>
        <v>0</v>
      </c>
      <c r="CM79" s="27">
        <f t="shared" si="61"/>
        <v>40887857.207499996</v>
      </c>
      <c r="CN79" s="27">
        <f t="shared" si="62"/>
        <v>0</v>
      </c>
      <c r="CO79" s="27">
        <f t="shared" si="63"/>
        <v>40844930.707499996</v>
      </c>
      <c r="CP79" s="27">
        <f t="shared" si="64"/>
        <v>4532178.25</v>
      </c>
      <c r="CQ79" s="27">
        <f t="shared" si="65"/>
        <v>30020923.615000002</v>
      </c>
      <c r="CR79" s="27">
        <f t="shared" si="66"/>
        <v>8001313.13</v>
      </c>
      <c r="CS79" s="37"/>
      <c r="CT79" s="18" t="s">
        <v>69</v>
      </c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29">
        <f t="shared" si="91"/>
        <v>0</v>
      </c>
    </row>
    <row r="80" spans="1:111" ht="15" customHeight="1">
      <c r="A80" s="14" t="s">
        <v>70</v>
      </c>
      <c r="B80" s="15"/>
      <c r="C80" s="16"/>
      <c r="D80" s="16"/>
      <c r="E80" s="16"/>
      <c r="F80" s="16"/>
      <c r="G80" s="16"/>
      <c r="H80" s="16"/>
      <c r="I80" s="16"/>
      <c r="J80" s="16"/>
      <c r="K80" s="15"/>
      <c r="L80" s="15"/>
      <c r="M80" s="15"/>
      <c r="N80" s="17">
        <f>SUM(B80:M80)</f>
        <v>0</v>
      </c>
      <c r="O80" s="18" t="s">
        <v>70</v>
      </c>
      <c r="P80" s="30">
        <v>29833667</v>
      </c>
      <c r="Q80" s="30">
        <v>0</v>
      </c>
      <c r="R80" s="27">
        <v>36120756</v>
      </c>
      <c r="S80" s="31">
        <v>29822419.47</v>
      </c>
      <c r="T80" s="31">
        <v>36120755.64</v>
      </c>
      <c r="U80" s="31">
        <v>0</v>
      </c>
      <c r="V80" s="31">
        <v>36120755.64</v>
      </c>
      <c r="W80" s="31">
        <v>0</v>
      </c>
      <c r="X80" s="31">
        <v>36120755.64</v>
      </c>
      <c r="Y80" s="27">
        <v>0</v>
      </c>
      <c r="Z80" s="31">
        <v>18060377.84</v>
      </c>
      <c r="AA80" s="27">
        <v>13310984.52</v>
      </c>
      <c r="AB80" s="22">
        <f>SUM(P80:AA80)</f>
        <v>235510471.75</v>
      </c>
      <c r="AC80" s="18" t="s">
        <v>70</v>
      </c>
      <c r="AD80" s="23">
        <v>39475091</v>
      </c>
      <c r="AE80" s="23"/>
      <c r="AF80" s="23">
        <v>45898380.9</v>
      </c>
      <c r="AG80" s="23">
        <v>10581924.64</v>
      </c>
      <c r="AH80" s="23">
        <v>45898381</v>
      </c>
      <c r="AI80" s="23"/>
      <c r="AJ80" s="23">
        <v>39041222</v>
      </c>
      <c r="AK80" s="23"/>
      <c r="AL80" s="23">
        <v>38953824</v>
      </c>
      <c r="AM80" s="23">
        <v>9227515</v>
      </c>
      <c r="AN80" s="23">
        <v>39019373</v>
      </c>
      <c r="AO80" s="23"/>
      <c r="AP80" s="24">
        <f>SUM(AD80:AO80)</f>
        <v>268095711.54000002</v>
      </c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4">
        <f>SUM(AQ80:BB80)</f>
        <v>0</v>
      </c>
      <c r="BQ80" s="24">
        <f t="shared" si="98"/>
        <v>0</v>
      </c>
      <c r="CE80" s="24"/>
      <c r="CF80" s="26" t="s">
        <v>70</v>
      </c>
      <c r="CG80" s="27">
        <f aca="true" t="shared" si="113" ref="CG80:CR82">+SUM(+B80+P80+AD80+AQ80)/4</f>
        <v>17327189.5</v>
      </c>
      <c r="CH80" s="27">
        <f t="shared" si="113"/>
        <v>0</v>
      </c>
      <c r="CI80" s="27">
        <f t="shared" si="113"/>
        <v>20504784.225</v>
      </c>
      <c r="CJ80" s="27">
        <f t="shared" si="113"/>
        <v>10101086.0275</v>
      </c>
      <c r="CK80" s="27">
        <f t="shared" si="113"/>
        <v>20504784.16</v>
      </c>
      <c r="CL80" s="27">
        <f t="shared" si="113"/>
        <v>0</v>
      </c>
      <c r="CM80" s="27">
        <f t="shared" si="113"/>
        <v>18790494.41</v>
      </c>
      <c r="CN80" s="27">
        <f t="shared" si="113"/>
        <v>0</v>
      </c>
      <c r="CO80" s="27">
        <f t="shared" si="113"/>
        <v>18768644.91</v>
      </c>
      <c r="CP80" s="27">
        <f t="shared" si="113"/>
        <v>2306878.75</v>
      </c>
      <c r="CQ80" s="27">
        <f t="shared" si="113"/>
        <v>14269937.71</v>
      </c>
      <c r="CR80" s="27">
        <f t="shared" si="113"/>
        <v>3327746.13</v>
      </c>
      <c r="CS80" s="27">
        <f>+SUM(CG80:CR80)</f>
        <v>125901545.82249999</v>
      </c>
      <c r="CT80" s="18" t="s">
        <v>70</v>
      </c>
      <c r="CU80" s="28">
        <f aca="true" t="shared" si="114" ref="CU80:DF80">+CG80/$CS$80</f>
        <v>0.13762491466489557</v>
      </c>
      <c r="CV80" s="28">
        <f t="shared" si="114"/>
        <v>0</v>
      </c>
      <c r="CW80" s="28">
        <f t="shared" si="114"/>
        <v>0.16286364151484128</v>
      </c>
      <c r="CX80" s="28">
        <f t="shared" si="114"/>
        <v>0.08023003976250484</v>
      </c>
      <c r="CY80" s="28">
        <f t="shared" si="114"/>
        <v>0.16286364099856485</v>
      </c>
      <c r="CZ80" s="28">
        <f t="shared" si="114"/>
        <v>0</v>
      </c>
      <c r="DA80" s="28">
        <f t="shared" si="114"/>
        <v>0.1492475274012238</v>
      </c>
      <c r="DB80" s="28">
        <f t="shared" si="114"/>
        <v>0</v>
      </c>
      <c r="DC80" s="28">
        <f t="shared" si="114"/>
        <v>0.1490739830665831</v>
      </c>
      <c r="DD80" s="28">
        <f t="shared" si="114"/>
        <v>0.018322878682143516</v>
      </c>
      <c r="DE80" s="28">
        <f t="shared" si="114"/>
        <v>0.11334203735765257</v>
      </c>
      <c r="DF80" s="28">
        <f t="shared" si="114"/>
        <v>0.02643133655159058</v>
      </c>
      <c r="DG80" s="29">
        <f t="shared" si="91"/>
        <v>1.0000000000000002</v>
      </c>
    </row>
    <row r="81" spans="1:111" ht="15" customHeight="1">
      <c r="A81" s="14" t="s">
        <v>71</v>
      </c>
      <c r="B81" s="15"/>
      <c r="C81" s="16"/>
      <c r="D81" s="16"/>
      <c r="E81" s="16"/>
      <c r="F81" s="16"/>
      <c r="G81" s="16"/>
      <c r="H81" s="16"/>
      <c r="I81" s="16"/>
      <c r="J81" s="16"/>
      <c r="K81" s="15"/>
      <c r="L81" s="15"/>
      <c r="M81" s="15"/>
      <c r="N81" s="17">
        <f>SUM(B81:M81)</f>
        <v>0</v>
      </c>
      <c r="O81" s="18" t="s">
        <v>71</v>
      </c>
      <c r="P81" s="30">
        <v>41899123</v>
      </c>
      <c r="Q81" s="30">
        <v>0</v>
      </c>
      <c r="R81" s="27">
        <v>50728861</v>
      </c>
      <c r="S81" s="31">
        <v>41883325.83</v>
      </c>
      <c r="T81" s="31">
        <v>50728861.19</v>
      </c>
      <c r="U81" s="31">
        <v>0</v>
      </c>
      <c r="V81" s="31">
        <v>50728861.19</v>
      </c>
      <c r="W81" s="31">
        <v>0</v>
      </c>
      <c r="X81" s="31">
        <v>50728861.19</v>
      </c>
      <c r="Y81" s="27">
        <v>0</v>
      </c>
      <c r="Z81" s="31">
        <v>25364430.62</v>
      </c>
      <c r="AA81" s="27">
        <v>18694268</v>
      </c>
      <c r="AB81" s="22">
        <f>SUM(P81:AA81)</f>
        <v>330756592.02</v>
      </c>
      <c r="AC81" s="18" t="s">
        <v>71</v>
      </c>
      <c r="AD81" s="23">
        <v>55722354</v>
      </c>
      <c r="AE81" s="23"/>
      <c r="AF81" s="23">
        <v>44275255.45</v>
      </c>
      <c r="AG81" s="23">
        <v>10207711.2</v>
      </c>
      <c r="AH81" s="23">
        <v>44275255</v>
      </c>
      <c r="AI81" s="23"/>
      <c r="AJ81" s="23">
        <v>37660590</v>
      </c>
      <c r="AK81" s="23"/>
      <c r="AL81" s="23">
        <v>37576282</v>
      </c>
      <c r="AM81" s="23">
        <v>8901198</v>
      </c>
      <c r="AN81" s="23">
        <v>37639513</v>
      </c>
      <c r="AO81" s="23"/>
      <c r="AP81" s="24">
        <f>SUM(AD81:AO81)</f>
        <v>276258158.65</v>
      </c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4">
        <f>SUM(AQ81:BB81)</f>
        <v>0</v>
      </c>
      <c r="BQ81" s="24">
        <f t="shared" si="98"/>
        <v>0</v>
      </c>
      <c r="CE81" s="24"/>
      <c r="CF81" s="26" t="s">
        <v>71</v>
      </c>
      <c r="CG81" s="27">
        <f t="shared" si="113"/>
        <v>24405369.25</v>
      </c>
      <c r="CH81" s="27">
        <f t="shared" si="113"/>
        <v>0</v>
      </c>
      <c r="CI81" s="27">
        <f t="shared" si="113"/>
        <v>23751029.1125</v>
      </c>
      <c r="CJ81" s="27">
        <f t="shared" si="113"/>
        <v>13022759.2575</v>
      </c>
      <c r="CK81" s="27">
        <f t="shared" si="113"/>
        <v>23751029.0475</v>
      </c>
      <c r="CL81" s="27">
        <f t="shared" si="113"/>
        <v>0</v>
      </c>
      <c r="CM81" s="27">
        <f t="shared" si="113"/>
        <v>22097362.7975</v>
      </c>
      <c r="CN81" s="27">
        <f t="shared" si="113"/>
        <v>0</v>
      </c>
      <c r="CO81" s="27">
        <f t="shared" si="113"/>
        <v>22076285.7975</v>
      </c>
      <c r="CP81" s="27">
        <f t="shared" si="113"/>
        <v>2225299.5</v>
      </c>
      <c r="CQ81" s="27">
        <f t="shared" si="113"/>
        <v>15750985.905000001</v>
      </c>
      <c r="CR81" s="27">
        <f t="shared" si="113"/>
        <v>4673567</v>
      </c>
      <c r="CS81" s="27">
        <f>+SUM(CG81:CR81)</f>
        <v>151753687.6675</v>
      </c>
      <c r="CT81" s="18" t="s">
        <v>71</v>
      </c>
      <c r="CU81" s="28">
        <f aca="true" t="shared" si="115" ref="CU81:DF81">+CG81/$CS$81</f>
        <v>0.16082224837575876</v>
      </c>
      <c r="CV81" s="28">
        <f t="shared" si="115"/>
        <v>0</v>
      </c>
      <c r="CW81" s="28">
        <f t="shared" si="115"/>
        <v>0.15651039179054224</v>
      </c>
      <c r="CX81" s="28">
        <f t="shared" si="115"/>
        <v>0.08581510906037107</v>
      </c>
      <c r="CY81" s="28">
        <f t="shared" si="115"/>
        <v>0.15651039136221656</v>
      </c>
      <c r="CZ81" s="28">
        <f t="shared" si="115"/>
        <v>0</v>
      </c>
      <c r="DA81" s="28">
        <f t="shared" si="115"/>
        <v>0.14561334974551945</v>
      </c>
      <c r="DB81" s="28">
        <f t="shared" si="115"/>
        <v>0</v>
      </c>
      <c r="DC81" s="28">
        <f t="shared" si="115"/>
        <v>0.1454744602046855</v>
      </c>
      <c r="DD81" s="28">
        <f t="shared" si="115"/>
        <v>0.014663890770652927</v>
      </c>
      <c r="DE81" s="28">
        <f t="shared" si="115"/>
        <v>0.10379310148634548</v>
      </c>
      <c r="DF81" s="28">
        <f t="shared" si="115"/>
        <v>0.030797057203908098</v>
      </c>
      <c r="DG81" s="29">
        <f t="shared" si="91"/>
        <v>1</v>
      </c>
    </row>
    <row r="82" spans="1:111" ht="13.5" customHeight="1">
      <c r="A82" s="14" t="s">
        <v>72</v>
      </c>
      <c r="B82" s="15"/>
      <c r="C82" s="16"/>
      <c r="D82" s="16"/>
      <c r="E82" s="16"/>
      <c r="F82" s="16"/>
      <c r="G82" s="16"/>
      <c r="H82" s="16"/>
      <c r="I82" s="16"/>
      <c r="J82" s="16"/>
      <c r="K82" s="15"/>
      <c r="L82" s="15"/>
      <c r="M82" s="15"/>
      <c r="N82" s="17">
        <f>SUM(B82:M82)</f>
        <v>0</v>
      </c>
      <c r="O82" s="18" t="s">
        <v>72</v>
      </c>
      <c r="P82" s="30">
        <f aca="true" t="shared" si="116" ref="P82:AA82">SUM(P85:P86)</f>
        <v>47821860</v>
      </c>
      <c r="Q82" s="30">
        <f t="shared" si="116"/>
        <v>0</v>
      </c>
      <c r="R82" s="23">
        <f t="shared" si="116"/>
        <v>57899745</v>
      </c>
      <c r="S82" s="23">
        <f t="shared" si="116"/>
        <v>47803830.2</v>
      </c>
      <c r="T82" s="23">
        <f t="shared" si="116"/>
        <v>57899744.55</v>
      </c>
      <c r="U82" s="23">
        <f t="shared" si="116"/>
        <v>0</v>
      </c>
      <c r="V82" s="23">
        <f t="shared" si="116"/>
        <v>57899744.55</v>
      </c>
      <c r="W82" s="23">
        <f t="shared" si="116"/>
        <v>93995</v>
      </c>
      <c r="X82" s="23">
        <f t="shared" si="116"/>
        <v>58113894.55</v>
      </c>
      <c r="Y82" s="23">
        <f t="shared" si="116"/>
        <v>324560</v>
      </c>
      <c r="Z82" s="23">
        <f t="shared" si="116"/>
        <v>29274432.3</v>
      </c>
      <c r="AA82" s="23">
        <f t="shared" si="116"/>
        <v>21540565.009999998</v>
      </c>
      <c r="AB82" s="22">
        <f>SUM(P82:AA82)</f>
        <v>378672371.16</v>
      </c>
      <c r="AC82" s="18" t="s">
        <v>72</v>
      </c>
      <c r="AD82" s="23">
        <f aca="true" t="shared" si="117" ref="AD82:AO82">SUM(AD85:AD86)</f>
        <v>63464964</v>
      </c>
      <c r="AE82" s="23">
        <f t="shared" si="117"/>
        <v>0</v>
      </c>
      <c r="AF82" s="23">
        <f t="shared" si="117"/>
        <v>60115757.57</v>
      </c>
      <c r="AG82" s="23">
        <f t="shared" si="117"/>
        <v>13859757.23</v>
      </c>
      <c r="AH82" s="23">
        <f t="shared" si="117"/>
        <v>60115758</v>
      </c>
      <c r="AI82" s="23">
        <f t="shared" si="117"/>
        <v>0</v>
      </c>
      <c r="AJ82" s="23">
        <f t="shared" si="117"/>
        <v>51134542</v>
      </c>
      <c r="AK82" s="23">
        <f t="shared" si="117"/>
        <v>0</v>
      </c>
      <c r="AL82" s="23">
        <f t="shared" si="117"/>
        <v>51020071</v>
      </c>
      <c r="AM82" s="23">
        <f t="shared" si="117"/>
        <v>12085809</v>
      </c>
      <c r="AN82" s="23">
        <f t="shared" si="117"/>
        <v>51105924</v>
      </c>
      <c r="AO82" s="23">
        <f t="shared" si="117"/>
        <v>0</v>
      </c>
      <c r="AP82" s="24">
        <f>SUM(AD82:AO82)</f>
        <v>362902582.79999995</v>
      </c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>
        <f>SUM(AQ82:BB82)</f>
        <v>0</v>
      </c>
      <c r="BQ82" s="24">
        <f t="shared" si="98"/>
        <v>0</v>
      </c>
      <c r="CE82" s="24"/>
      <c r="CF82" s="26" t="s">
        <v>72</v>
      </c>
      <c r="CG82" s="27">
        <f t="shared" si="113"/>
        <v>27821706</v>
      </c>
      <c r="CH82" s="27">
        <f t="shared" si="113"/>
        <v>0</v>
      </c>
      <c r="CI82" s="27">
        <f t="shared" si="113"/>
        <v>29503875.6425</v>
      </c>
      <c r="CJ82" s="27">
        <f t="shared" si="113"/>
        <v>15415896.857500002</v>
      </c>
      <c r="CK82" s="27">
        <f t="shared" si="113"/>
        <v>29503875.6375</v>
      </c>
      <c r="CL82" s="27">
        <f t="shared" si="113"/>
        <v>0</v>
      </c>
      <c r="CM82" s="27">
        <f t="shared" si="113"/>
        <v>27258571.6375</v>
      </c>
      <c r="CN82" s="27">
        <f t="shared" si="113"/>
        <v>23498.75</v>
      </c>
      <c r="CO82" s="27">
        <f t="shared" si="113"/>
        <v>27283491.3875</v>
      </c>
      <c r="CP82" s="27">
        <f t="shared" si="113"/>
        <v>3102592.25</v>
      </c>
      <c r="CQ82" s="27">
        <f t="shared" si="113"/>
        <v>20095089.075</v>
      </c>
      <c r="CR82" s="27">
        <f t="shared" si="113"/>
        <v>5385141.2524999995</v>
      </c>
      <c r="CS82" s="37"/>
      <c r="CT82" s="18" t="s">
        <v>72</v>
      </c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29">
        <f t="shared" si="91"/>
        <v>0</v>
      </c>
    </row>
    <row r="83" spans="1:124" ht="13.5" customHeight="1">
      <c r="A83" s="67" t="s">
        <v>186</v>
      </c>
      <c r="B83" s="15"/>
      <c r="C83" s="16"/>
      <c r="D83" s="16"/>
      <c r="E83" s="16"/>
      <c r="F83" s="16"/>
      <c r="G83" s="16"/>
      <c r="H83" s="16"/>
      <c r="I83" s="16"/>
      <c r="J83" s="16"/>
      <c r="K83" s="15"/>
      <c r="L83" s="15"/>
      <c r="M83" s="15"/>
      <c r="N83" s="17"/>
      <c r="O83" s="18"/>
      <c r="P83" s="30"/>
      <c r="Q83" s="30"/>
      <c r="R83" s="23"/>
      <c r="S83" s="31"/>
      <c r="T83" s="31"/>
      <c r="U83" s="31"/>
      <c r="V83" s="31"/>
      <c r="W83" s="31"/>
      <c r="X83" s="31"/>
      <c r="Y83" s="23"/>
      <c r="Z83" s="31"/>
      <c r="AA83" s="23"/>
      <c r="AB83" s="22"/>
      <c r="AC83" s="18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4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E83" s="7">
        <v>0</v>
      </c>
      <c r="BF83" s="52">
        <v>0</v>
      </c>
      <c r="BG83" s="27">
        <v>0</v>
      </c>
      <c r="BH83" s="27">
        <v>0</v>
      </c>
      <c r="BI83" s="63">
        <v>0</v>
      </c>
      <c r="BJ83" s="27">
        <v>0</v>
      </c>
      <c r="BK83" s="64">
        <v>0</v>
      </c>
      <c r="BL83" s="65">
        <v>0</v>
      </c>
      <c r="BM83" s="66">
        <v>0</v>
      </c>
      <c r="BN83" s="65">
        <v>0</v>
      </c>
      <c r="BO83" s="64">
        <v>31007</v>
      </c>
      <c r="BP83" s="65">
        <v>0</v>
      </c>
      <c r="BQ83" s="24">
        <f t="shared" si="98"/>
        <v>31007</v>
      </c>
      <c r="CE83" s="24"/>
      <c r="CF83" s="26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37"/>
      <c r="CT83" s="18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29"/>
      <c r="DI83" s="7">
        <v>0</v>
      </c>
      <c r="DJ83" s="52">
        <v>0</v>
      </c>
      <c r="DK83" s="27">
        <v>0</v>
      </c>
      <c r="DL83" s="27">
        <v>0</v>
      </c>
      <c r="DM83" s="63">
        <v>0</v>
      </c>
      <c r="DN83" s="27">
        <v>0</v>
      </c>
      <c r="DO83" s="64">
        <v>0</v>
      </c>
      <c r="DP83" s="65">
        <v>0</v>
      </c>
      <c r="DQ83" s="66">
        <v>0</v>
      </c>
      <c r="DR83" s="65">
        <v>0</v>
      </c>
      <c r="DS83" s="64">
        <v>31007</v>
      </c>
      <c r="DT83" s="65">
        <v>0</v>
      </c>
    </row>
    <row r="84" spans="1:124" ht="13.5" customHeight="1">
      <c r="A84" s="14" t="s">
        <v>73</v>
      </c>
      <c r="B84" s="15"/>
      <c r="C84" s="16"/>
      <c r="D84" s="16"/>
      <c r="E84" s="16"/>
      <c r="F84" s="16"/>
      <c r="G84" s="16"/>
      <c r="H84" s="16"/>
      <c r="I84" s="16"/>
      <c r="J84" s="16"/>
      <c r="K84" s="15"/>
      <c r="L84" s="15"/>
      <c r="M84" s="15"/>
      <c r="N84" s="17">
        <f>SUM(B84:M84)</f>
        <v>0</v>
      </c>
      <c r="O84" s="18" t="s">
        <v>73</v>
      </c>
      <c r="P84" s="30"/>
      <c r="Q84" s="30"/>
      <c r="R84" s="27"/>
      <c r="S84" s="31"/>
      <c r="T84" s="31"/>
      <c r="U84" s="31"/>
      <c r="V84" s="31"/>
      <c r="W84" s="31"/>
      <c r="X84" s="31"/>
      <c r="Y84" s="27"/>
      <c r="Z84" s="31"/>
      <c r="AA84" s="27"/>
      <c r="AB84" s="22">
        <f>SUM(P84:AA84)</f>
        <v>0</v>
      </c>
      <c r="AC84" s="18" t="s">
        <v>73</v>
      </c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4">
        <f>SUM(AD84:AO84)</f>
        <v>0</v>
      </c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4">
        <f>SUM(AQ84:BB84)</f>
        <v>0</v>
      </c>
      <c r="BD84" s="37" t="s">
        <v>169</v>
      </c>
      <c r="BE84" s="7">
        <v>0</v>
      </c>
      <c r="BF84" s="52">
        <v>0</v>
      </c>
      <c r="BG84" s="27">
        <v>0</v>
      </c>
      <c r="BH84" s="27">
        <v>2192</v>
      </c>
      <c r="BI84" s="63">
        <v>8272</v>
      </c>
      <c r="BJ84" s="27">
        <v>0</v>
      </c>
      <c r="BK84" s="64">
        <v>0</v>
      </c>
      <c r="BL84" s="65">
        <v>0</v>
      </c>
      <c r="BM84" s="66">
        <v>0</v>
      </c>
      <c r="BN84" s="65">
        <v>0</v>
      </c>
      <c r="BO84" s="64">
        <v>0</v>
      </c>
      <c r="BP84" s="65">
        <v>0</v>
      </c>
      <c r="BQ84" s="24">
        <f t="shared" si="98"/>
        <v>10464</v>
      </c>
      <c r="CE84" s="24"/>
      <c r="CF84" s="26" t="s">
        <v>73</v>
      </c>
      <c r="CG84" s="27">
        <f aca="true" t="shared" si="118" ref="CG84:CR87">+SUM(+B84+P84+AD84+AQ84)/4</f>
        <v>0</v>
      </c>
      <c r="CH84" s="27">
        <f t="shared" si="118"/>
        <v>0</v>
      </c>
      <c r="CI84" s="27">
        <f t="shared" si="118"/>
        <v>0</v>
      </c>
      <c r="CJ84" s="27">
        <f t="shared" si="118"/>
        <v>0</v>
      </c>
      <c r="CK84" s="27">
        <f t="shared" si="118"/>
        <v>0</v>
      </c>
      <c r="CL84" s="27">
        <f t="shared" si="118"/>
        <v>0</v>
      </c>
      <c r="CM84" s="27">
        <f t="shared" si="118"/>
        <v>0</v>
      </c>
      <c r="CN84" s="27">
        <f t="shared" si="118"/>
        <v>0</v>
      </c>
      <c r="CO84" s="27">
        <f t="shared" si="118"/>
        <v>0</v>
      </c>
      <c r="CP84" s="27">
        <f t="shared" si="118"/>
        <v>0</v>
      </c>
      <c r="CQ84" s="27">
        <f t="shared" si="118"/>
        <v>0</v>
      </c>
      <c r="CR84" s="27">
        <f t="shared" si="118"/>
        <v>0</v>
      </c>
      <c r="CS84" s="37"/>
      <c r="CT84" s="18" t="s">
        <v>73</v>
      </c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29">
        <f t="shared" si="91"/>
        <v>0</v>
      </c>
      <c r="DH84" s="37" t="s">
        <v>169</v>
      </c>
      <c r="DI84" s="7">
        <v>0</v>
      </c>
      <c r="DJ84" s="52">
        <v>0</v>
      </c>
      <c r="DK84" s="27">
        <v>0</v>
      </c>
      <c r="DL84" s="27">
        <v>2192</v>
      </c>
      <c r="DM84" s="63">
        <v>8272</v>
      </c>
      <c r="DN84" s="27">
        <v>0</v>
      </c>
      <c r="DO84" s="64">
        <v>0</v>
      </c>
      <c r="DP84" s="65">
        <v>0</v>
      </c>
      <c r="DQ84" s="66">
        <v>0</v>
      </c>
      <c r="DR84" s="65">
        <v>0</v>
      </c>
      <c r="DS84" s="64">
        <v>0</v>
      </c>
      <c r="DT84" s="65">
        <v>0</v>
      </c>
    </row>
    <row r="85" spans="1:111" ht="13.5" customHeight="1">
      <c r="A85" s="14" t="s">
        <v>74</v>
      </c>
      <c r="B85" s="15"/>
      <c r="C85" s="16"/>
      <c r="D85" s="16"/>
      <c r="E85" s="16"/>
      <c r="F85" s="16"/>
      <c r="G85" s="16"/>
      <c r="H85" s="16"/>
      <c r="I85" s="16"/>
      <c r="J85" s="16"/>
      <c r="K85" s="15"/>
      <c r="L85" s="15"/>
      <c r="M85" s="15"/>
      <c r="N85" s="17">
        <f>SUM(B85:M85)</f>
        <v>0</v>
      </c>
      <c r="O85" s="18" t="s">
        <v>74</v>
      </c>
      <c r="P85" s="30">
        <v>19889112</v>
      </c>
      <c r="Q85" s="30">
        <v>0</v>
      </c>
      <c r="R85" s="27">
        <v>24080504</v>
      </c>
      <c r="S85" s="31">
        <v>19881612.98</v>
      </c>
      <c r="T85" s="31">
        <v>24080503.76</v>
      </c>
      <c r="U85" s="31">
        <v>0</v>
      </c>
      <c r="V85" s="31">
        <v>24080503.76</v>
      </c>
      <c r="W85" s="31">
        <v>93995</v>
      </c>
      <c r="X85" s="31">
        <v>24294653.76</v>
      </c>
      <c r="Y85" s="27">
        <v>324560</v>
      </c>
      <c r="Z85" s="31">
        <v>12364811.89</v>
      </c>
      <c r="AA85" s="27">
        <v>9077719.68</v>
      </c>
      <c r="AB85" s="22">
        <f>SUM(P85:AA85)</f>
        <v>158167976.83000004</v>
      </c>
      <c r="AC85" s="18" t="s">
        <v>74</v>
      </c>
      <c r="AD85" s="23">
        <v>26316728</v>
      </c>
      <c r="AE85" s="23"/>
      <c r="AF85" s="23">
        <v>30598920.6</v>
      </c>
      <c r="AG85" s="23">
        <v>7054616.43</v>
      </c>
      <c r="AH85" s="23">
        <v>30598921</v>
      </c>
      <c r="AI85" s="23"/>
      <c r="AJ85" s="23">
        <v>26027482</v>
      </c>
      <c r="AK85" s="23"/>
      <c r="AL85" s="23">
        <v>25969216</v>
      </c>
      <c r="AM85" s="23">
        <v>6151677</v>
      </c>
      <c r="AN85" s="23">
        <v>26012915</v>
      </c>
      <c r="AO85" s="23"/>
      <c r="AP85" s="24">
        <f>SUM(AD85:AO85)</f>
        <v>178730476.03</v>
      </c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4">
        <f>SUM(AQ85:BB85)</f>
        <v>0</v>
      </c>
      <c r="BQ85" s="24">
        <f t="shared" si="98"/>
        <v>0</v>
      </c>
      <c r="CE85" s="24"/>
      <c r="CF85" s="26" t="s">
        <v>74</v>
      </c>
      <c r="CG85" s="27">
        <f t="shared" si="118"/>
        <v>11551460</v>
      </c>
      <c r="CH85" s="27">
        <f t="shared" si="118"/>
        <v>0</v>
      </c>
      <c r="CI85" s="27">
        <f t="shared" si="118"/>
        <v>13669856.15</v>
      </c>
      <c r="CJ85" s="27">
        <f t="shared" si="118"/>
        <v>6734057.3525</v>
      </c>
      <c r="CK85" s="27">
        <f t="shared" si="118"/>
        <v>13669856.190000001</v>
      </c>
      <c r="CL85" s="27">
        <f t="shared" si="118"/>
        <v>0</v>
      </c>
      <c r="CM85" s="27">
        <f t="shared" si="118"/>
        <v>12526996.440000001</v>
      </c>
      <c r="CN85" s="27">
        <f t="shared" si="118"/>
        <v>23498.75</v>
      </c>
      <c r="CO85" s="27">
        <f t="shared" si="118"/>
        <v>12565967.440000001</v>
      </c>
      <c r="CP85" s="27">
        <f t="shared" si="118"/>
        <v>1619059.25</v>
      </c>
      <c r="CQ85" s="27">
        <f t="shared" si="118"/>
        <v>9594431.7225</v>
      </c>
      <c r="CR85" s="27">
        <f t="shared" si="118"/>
        <v>2269429.92</v>
      </c>
      <c r="CS85" s="27">
        <f>+SUM(CG85:CR85)</f>
        <v>84224613.21499999</v>
      </c>
      <c r="CT85" s="18" t="s">
        <v>74</v>
      </c>
      <c r="CU85" s="28">
        <f aca="true" t="shared" si="119" ref="CU85:DF85">+CG85/$CS$85</f>
        <v>0.13715064467571508</v>
      </c>
      <c r="CV85" s="28">
        <f t="shared" si="119"/>
        <v>0</v>
      </c>
      <c r="CW85" s="28">
        <f t="shared" si="119"/>
        <v>0.16230239152425655</v>
      </c>
      <c r="CX85" s="28">
        <f t="shared" si="119"/>
        <v>0.07995355627588323</v>
      </c>
      <c r="CY85" s="28">
        <f t="shared" si="119"/>
        <v>0.16230239199917712</v>
      </c>
      <c r="CZ85" s="28">
        <f t="shared" si="119"/>
        <v>0</v>
      </c>
      <c r="DA85" s="28">
        <f t="shared" si="119"/>
        <v>0.14873320234813503</v>
      </c>
      <c r="DB85" s="28">
        <f t="shared" si="119"/>
        <v>0.00027900098442737626</v>
      </c>
      <c r="DC85" s="28">
        <f t="shared" si="119"/>
        <v>0.14919590557124773</v>
      </c>
      <c r="DD85" s="28">
        <f t="shared" si="119"/>
        <v>0.019223112914357125</v>
      </c>
      <c r="DE85" s="28">
        <f t="shared" si="119"/>
        <v>0.11391482081381976</v>
      </c>
      <c r="DF85" s="28">
        <f t="shared" si="119"/>
        <v>0.02694497289298119</v>
      </c>
      <c r="DG85" s="29">
        <f t="shared" si="91"/>
        <v>1.0000000000000002</v>
      </c>
    </row>
    <row r="86" spans="1:111" ht="13.5" customHeight="1">
      <c r="A86" s="14" t="s">
        <v>71</v>
      </c>
      <c r="B86" s="15"/>
      <c r="C86" s="16"/>
      <c r="D86" s="16"/>
      <c r="E86" s="16"/>
      <c r="F86" s="16"/>
      <c r="G86" s="16"/>
      <c r="H86" s="16"/>
      <c r="I86" s="16"/>
      <c r="J86" s="16"/>
      <c r="K86" s="15"/>
      <c r="L86" s="15"/>
      <c r="M86" s="15"/>
      <c r="N86" s="17">
        <f>SUM(B86:M86)</f>
        <v>0</v>
      </c>
      <c r="O86" s="18" t="s">
        <v>71</v>
      </c>
      <c r="P86" s="30">
        <v>27932748</v>
      </c>
      <c r="Q86" s="30">
        <v>0</v>
      </c>
      <c r="R86" s="27">
        <v>33819241</v>
      </c>
      <c r="S86" s="31">
        <v>27922217.22</v>
      </c>
      <c r="T86" s="31">
        <v>33819240.79</v>
      </c>
      <c r="U86" s="31">
        <v>0</v>
      </c>
      <c r="V86" s="31">
        <v>33819240.79</v>
      </c>
      <c r="W86" s="31">
        <v>0</v>
      </c>
      <c r="X86" s="31">
        <v>33819240.79</v>
      </c>
      <c r="Y86" s="27">
        <v>0</v>
      </c>
      <c r="Z86" s="31">
        <v>16909620.41</v>
      </c>
      <c r="AA86" s="27">
        <v>12462845.33</v>
      </c>
      <c r="AB86" s="22">
        <f>SUM(P86:AA86)</f>
        <v>220504394.32999998</v>
      </c>
      <c r="AC86" s="18" t="s">
        <v>71</v>
      </c>
      <c r="AD86" s="23">
        <v>37148236</v>
      </c>
      <c r="AE86" s="23"/>
      <c r="AF86" s="23">
        <v>29516836.97</v>
      </c>
      <c r="AG86" s="23">
        <v>6805140.8</v>
      </c>
      <c r="AH86" s="23">
        <v>29516837</v>
      </c>
      <c r="AI86" s="23"/>
      <c r="AJ86" s="23">
        <v>25107060</v>
      </c>
      <c r="AK86" s="23"/>
      <c r="AL86" s="23">
        <v>25050855</v>
      </c>
      <c r="AM86" s="23">
        <v>5934132</v>
      </c>
      <c r="AN86" s="23">
        <v>25093009</v>
      </c>
      <c r="AO86" s="23"/>
      <c r="AP86" s="24">
        <f>SUM(AD86:AO86)</f>
        <v>184172106.76999998</v>
      </c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4">
        <f>SUM(AQ86:BB86)</f>
        <v>0</v>
      </c>
      <c r="BQ86" s="24">
        <f t="shared" si="98"/>
        <v>0</v>
      </c>
      <c r="CE86" s="24"/>
      <c r="CF86" s="26" t="s">
        <v>71</v>
      </c>
      <c r="CG86" s="27">
        <f t="shared" si="118"/>
        <v>16270246</v>
      </c>
      <c r="CH86" s="27">
        <f t="shared" si="118"/>
        <v>0</v>
      </c>
      <c r="CI86" s="27">
        <f t="shared" si="118"/>
        <v>15834019.4925</v>
      </c>
      <c r="CJ86" s="27">
        <f t="shared" si="118"/>
        <v>8681839.504999999</v>
      </c>
      <c r="CK86" s="27">
        <f t="shared" si="118"/>
        <v>15834019.4475</v>
      </c>
      <c r="CL86" s="27">
        <f t="shared" si="118"/>
        <v>0</v>
      </c>
      <c r="CM86" s="27">
        <f t="shared" si="118"/>
        <v>14731575.1975</v>
      </c>
      <c r="CN86" s="27">
        <f t="shared" si="118"/>
        <v>0</v>
      </c>
      <c r="CO86" s="27">
        <f t="shared" si="118"/>
        <v>14717523.9475</v>
      </c>
      <c r="CP86" s="27">
        <f t="shared" si="118"/>
        <v>1483533</v>
      </c>
      <c r="CQ86" s="27">
        <f t="shared" si="118"/>
        <v>10500657.3525</v>
      </c>
      <c r="CR86" s="27">
        <f t="shared" si="118"/>
        <v>3115711.3325</v>
      </c>
      <c r="CS86" s="27">
        <f>+SUM(CG86:CR86)</f>
        <v>101169125.27499999</v>
      </c>
      <c r="CT86" s="18" t="s">
        <v>71</v>
      </c>
      <c r="CU86" s="28">
        <f aca="true" t="shared" si="120" ref="CU86:DF86">+CG86/$CS$86</f>
        <v>0.16082224646871152</v>
      </c>
      <c r="CV86" s="28">
        <f t="shared" si="120"/>
        <v>0</v>
      </c>
      <c r="CW86" s="28">
        <f t="shared" si="120"/>
        <v>0.15651039236980296</v>
      </c>
      <c r="CX86" s="28">
        <f t="shared" si="120"/>
        <v>0.08581510892182614</v>
      </c>
      <c r="CY86" s="28">
        <f t="shared" si="120"/>
        <v>0.15651039192500324</v>
      </c>
      <c r="CZ86" s="28">
        <f t="shared" si="120"/>
        <v>0</v>
      </c>
      <c r="DA86" s="28">
        <f t="shared" si="120"/>
        <v>0.14561334950219576</v>
      </c>
      <c r="DB86" s="28">
        <f t="shared" si="120"/>
        <v>0</v>
      </c>
      <c r="DC86" s="28">
        <f t="shared" si="120"/>
        <v>0.14547446078528922</v>
      </c>
      <c r="DD86" s="28">
        <f t="shared" si="120"/>
        <v>0.014663890746978688</v>
      </c>
      <c r="DE86" s="28">
        <f t="shared" si="120"/>
        <v>0.10379310213424202</v>
      </c>
      <c r="DF86" s="28">
        <f t="shared" si="120"/>
        <v>0.0307970571459505</v>
      </c>
      <c r="DG86" s="29">
        <f t="shared" si="91"/>
        <v>1</v>
      </c>
    </row>
    <row r="87" spans="1:124" ht="13.5" customHeight="1">
      <c r="A87" s="14" t="s">
        <v>75</v>
      </c>
      <c r="B87" s="15"/>
      <c r="C87" s="16"/>
      <c r="D87" s="16"/>
      <c r="E87" s="16"/>
      <c r="F87" s="16"/>
      <c r="G87" s="16"/>
      <c r="H87" s="16"/>
      <c r="I87" s="16"/>
      <c r="J87" s="16"/>
      <c r="K87" s="15"/>
      <c r="L87" s="15"/>
      <c r="M87" s="15"/>
      <c r="N87" s="17">
        <f>SUM(B87:M87)</f>
        <v>0</v>
      </c>
      <c r="O87" s="18" t="s">
        <v>75</v>
      </c>
      <c r="P87" s="30">
        <v>0</v>
      </c>
      <c r="Q87" s="30">
        <v>0</v>
      </c>
      <c r="R87" s="27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434762000</v>
      </c>
      <c r="Y87" s="27">
        <v>0</v>
      </c>
      <c r="Z87" s="31">
        <v>189811659</v>
      </c>
      <c r="AA87" s="27">
        <v>0</v>
      </c>
      <c r="AB87" s="22">
        <f>SUM(P87:AA87)</f>
        <v>624573659</v>
      </c>
      <c r="AC87" s="18" t="s">
        <v>75</v>
      </c>
      <c r="AD87" s="23">
        <f aca="true" t="shared" si="121" ref="AD87:AO87">SUM(AD89:AD97)</f>
        <v>303998160</v>
      </c>
      <c r="AE87" s="23">
        <f t="shared" si="121"/>
        <v>35762880</v>
      </c>
      <c r="AF87" s="23">
        <f t="shared" si="121"/>
        <v>0</v>
      </c>
      <c r="AG87" s="23">
        <f t="shared" si="121"/>
        <v>81456000</v>
      </c>
      <c r="AH87" s="23">
        <f t="shared" si="121"/>
        <v>27152000</v>
      </c>
      <c r="AI87" s="23">
        <f t="shared" si="121"/>
        <v>285677000</v>
      </c>
      <c r="AJ87" s="23">
        <f t="shared" si="121"/>
        <v>78857000</v>
      </c>
      <c r="AK87" s="23">
        <f t="shared" si="121"/>
        <v>78857000</v>
      </c>
      <c r="AL87" s="23">
        <f t="shared" si="121"/>
        <v>78857000</v>
      </c>
      <c r="AM87" s="23">
        <f t="shared" si="121"/>
        <v>78857000</v>
      </c>
      <c r="AN87" s="23">
        <f t="shared" si="121"/>
        <v>78857000</v>
      </c>
      <c r="AO87" s="23">
        <f t="shared" si="121"/>
        <v>0</v>
      </c>
      <c r="AP87" s="24">
        <f>SUM(AD87:AO87)</f>
        <v>1128331040</v>
      </c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4">
        <f>SUM(AQ87:BB87)</f>
        <v>0</v>
      </c>
      <c r="BD87" s="37" t="s">
        <v>166</v>
      </c>
      <c r="BE87" s="7">
        <v>85640</v>
      </c>
      <c r="BF87" s="52">
        <v>0</v>
      </c>
      <c r="BG87" s="27">
        <v>0</v>
      </c>
      <c r="BH87" s="27">
        <v>2192</v>
      </c>
      <c r="BI87" s="63">
        <v>33276</v>
      </c>
      <c r="BJ87" s="27">
        <v>0</v>
      </c>
      <c r="BK87" s="64">
        <v>0</v>
      </c>
      <c r="BL87" s="65">
        <v>0</v>
      </c>
      <c r="BM87" s="66">
        <v>0</v>
      </c>
      <c r="BN87" s="65">
        <v>0</v>
      </c>
      <c r="BO87" s="64">
        <v>0</v>
      </c>
      <c r="BP87" s="65">
        <v>0</v>
      </c>
      <c r="BQ87" s="24">
        <f t="shared" si="98"/>
        <v>121108</v>
      </c>
      <c r="CE87" s="24"/>
      <c r="CF87" s="26" t="s">
        <v>75</v>
      </c>
      <c r="CG87" s="27">
        <f t="shared" si="118"/>
        <v>75999540</v>
      </c>
      <c r="CH87" s="27">
        <f t="shared" si="118"/>
        <v>8940720</v>
      </c>
      <c r="CI87" s="27">
        <f t="shared" si="118"/>
        <v>0</v>
      </c>
      <c r="CJ87" s="27">
        <f t="shared" si="118"/>
        <v>20364000</v>
      </c>
      <c r="CK87" s="27">
        <f t="shared" si="118"/>
        <v>6788000</v>
      </c>
      <c r="CL87" s="27">
        <f t="shared" si="118"/>
        <v>71419250</v>
      </c>
      <c r="CM87" s="27">
        <f t="shared" si="118"/>
        <v>19714250</v>
      </c>
      <c r="CN87" s="27">
        <f t="shared" si="118"/>
        <v>19714250</v>
      </c>
      <c r="CO87" s="27">
        <f t="shared" si="118"/>
        <v>128404750</v>
      </c>
      <c r="CP87" s="27">
        <f t="shared" si="118"/>
        <v>19714250</v>
      </c>
      <c r="CQ87" s="27">
        <f t="shared" si="118"/>
        <v>67167164.75</v>
      </c>
      <c r="CR87" s="27">
        <f t="shared" si="118"/>
        <v>0</v>
      </c>
      <c r="CS87" s="37"/>
      <c r="CT87" s="18" t="s">
        <v>75</v>
      </c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29">
        <f t="shared" si="91"/>
        <v>0</v>
      </c>
      <c r="DH87" s="37" t="s">
        <v>166</v>
      </c>
      <c r="DI87" s="7">
        <v>85640</v>
      </c>
      <c r="DJ87" s="52">
        <v>0</v>
      </c>
      <c r="DK87" s="27">
        <v>0</v>
      </c>
      <c r="DL87" s="27">
        <v>2192</v>
      </c>
      <c r="DM87" s="63">
        <v>33276</v>
      </c>
      <c r="DN87" s="27">
        <v>0</v>
      </c>
      <c r="DO87" s="64">
        <v>0</v>
      </c>
      <c r="DP87" s="65">
        <v>0</v>
      </c>
      <c r="DQ87" s="66">
        <v>0</v>
      </c>
      <c r="DR87" s="65">
        <v>0</v>
      </c>
      <c r="DS87" s="64">
        <v>0</v>
      </c>
      <c r="DT87" s="65">
        <v>0</v>
      </c>
    </row>
    <row r="88" spans="1:124" ht="13.5" customHeight="1">
      <c r="A88" s="14" t="s">
        <v>198</v>
      </c>
      <c r="B88" s="15"/>
      <c r="C88" s="16"/>
      <c r="D88" s="16"/>
      <c r="E88" s="16"/>
      <c r="F88" s="16"/>
      <c r="G88" s="16"/>
      <c r="H88" s="16"/>
      <c r="I88" s="16"/>
      <c r="J88" s="16"/>
      <c r="K88" s="15"/>
      <c r="L88" s="15"/>
      <c r="M88" s="15"/>
      <c r="N88" s="17"/>
      <c r="O88" s="18"/>
      <c r="P88" s="30"/>
      <c r="Q88" s="30"/>
      <c r="R88" s="27"/>
      <c r="S88" s="31"/>
      <c r="T88" s="31"/>
      <c r="U88" s="31"/>
      <c r="V88" s="31"/>
      <c r="W88" s="31"/>
      <c r="X88" s="31"/>
      <c r="Y88" s="27"/>
      <c r="Z88" s="31"/>
      <c r="AA88" s="27"/>
      <c r="AB88" s="22"/>
      <c r="AC88" s="18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4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4"/>
      <c r="BD88" s="67"/>
      <c r="BE88" s="7">
        <v>0</v>
      </c>
      <c r="BF88" s="52">
        <v>0</v>
      </c>
      <c r="BG88" s="27">
        <v>0</v>
      </c>
      <c r="BH88" s="27">
        <v>0</v>
      </c>
      <c r="BI88" s="63">
        <v>0</v>
      </c>
      <c r="BJ88" s="27">
        <v>0</v>
      </c>
      <c r="BK88" s="64">
        <v>0</v>
      </c>
      <c r="BL88" s="65">
        <v>0</v>
      </c>
      <c r="BM88" s="66">
        <v>0</v>
      </c>
      <c r="BN88" s="65">
        <v>0</v>
      </c>
      <c r="BO88" s="64">
        <v>16421</v>
      </c>
      <c r="BP88" s="65">
        <v>0</v>
      </c>
      <c r="BQ88" s="24">
        <f t="shared" si="98"/>
        <v>16421</v>
      </c>
      <c r="CE88" s="24"/>
      <c r="CF88" s="26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37"/>
      <c r="CT88" s="18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29"/>
      <c r="DH88" s="67"/>
      <c r="DI88" s="7">
        <v>0</v>
      </c>
      <c r="DJ88" s="52">
        <v>0</v>
      </c>
      <c r="DK88" s="27">
        <v>0</v>
      </c>
      <c r="DL88" s="27">
        <v>0</v>
      </c>
      <c r="DM88" s="63">
        <v>0</v>
      </c>
      <c r="DN88" s="27">
        <v>0</v>
      </c>
      <c r="DO88" s="64">
        <v>0</v>
      </c>
      <c r="DP88" s="65">
        <v>0</v>
      </c>
      <c r="DQ88" s="66">
        <v>0</v>
      </c>
      <c r="DR88" s="65">
        <v>0</v>
      </c>
      <c r="DS88" s="64">
        <v>16421</v>
      </c>
      <c r="DT88" s="65">
        <v>0</v>
      </c>
    </row>
    <row r="89" spans="1:111" ht="15" customHeight="1">
      <c r="A89" s="14" t="s">
        <v>76</v>
      </c>
      <c r="B89" s="15"/>
      <c r="C89" s="16"/>
      <c r="D89" s="16"/>
      <c r="E89" s="16"/>
      <c r="F89" s="16"/>
      <c r="G89" s="16"/>
      <c r="H89" s="16"/>
      <c r="I89" s="16"/>
      <c r="J89" s="16"/>
      <c r="K89" s="15"/>
      <c r="L89" s="15"/>
      <c r="M89" s="15"/>
      <c r="N89" s="17">
        <f aca="true" t="shared" si="122" ref="N89:N102">SUM(B89:M89)</f>
        <v>0</v>
      </c>
      <c r="O89" s="18" t="s">
        <v>76</v>
      </c>
      <c r="P89" s="30">
        <v>0</v>
      </c>
      <c r="Q89" s="30">
        <v>0</v>
      </c>
      <c r="R89" s="27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434762000</v>
      </c>
      <c r="Y89" s="27">
        <v>0</v>
      </c>
      <c r="Z89" s="31">
        <v>189811659</v>
      </c>
      <c r="AA89" s="27">
        <v>0</v>
      </c>
      <c r="AB89" s="22">
        <f aca="true" t="shared" si="123" ref="AB89:AB102">SUM(P89:AA89)</f>
        <v>624573659</v>
      </c>
      <c r="AC89" s="18" t="s">
        <v>76</v>
      </c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4">
        <f aca="true" t="shared" si="124" ref="AP89:AP102">SUM(AD89:AO89)</f>
        <v>0</v>
      </c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4">
        <f aca="true" t="shared" si="125" ref="BC89:BC102">SUM(AQ89:BB89)</f>
        <v>0</v>
      </c>
      <c r="BQ89" s="24">
        <f t="shared" si="98"/>
        <v>0</v>
      </c>
      <c r="CE89" s="24"/>
      <c r="CF89" s="26" t="s">
        <v>76</v>
      </c>
      <c r="CG89" s="27">
        <f aca="true" t="shared" si="126" ref="CG89:CG102">+SUM(+B89+P89+AD89+AQ89)/4</f>
        <v>0</v>
      </c>
      <c r="CH89" s="27">
        <f aca="true" t="shared" si="127" ref="CH89:CH102">+SUM(+C89+Q89+AE89+AR89)/4</f>
        <v>0</v>
      </c>
      <c r="CI89" s="27">
        <f aca="true" t="shared" si="128" ref="CI89:CI102">+SUM(+D89+R89+AF89+AS89)/4</f>
        <v>0</v>
      </c>
      <c r="CJ89" s="27">
        <f aca="true" t="shared" si="129" ref="CJ89:CJ102">+SUM(+E89+S89+AG89+AT89)/4</f>
        <v>0</v>
      </c>
      <c r="CK89" s="27">
        <f aca="true" t="shared" si="130" ref="CK89:CK102">+SUM(+F89+T89+AH89+AU89)/4</f>
        <v>0</v>
      </c>
      <c r="CL89" s="27">
        <f aca="true" t="shared" si="131" ref="CL89:CL102">+SUM(+G89+U89+AI89+AV89)/4</f>
        <v>0</v>
      </c>
      <c r="CM89" s="27">
        <f aca="true" t="shared" si="132" ref="CM89:CM102">+SUM(+H89+V89+AJ89+AW89)/4</f>
        <v>0</v>
      </c>
      <c r="CN89" s="27">
        <f aca="true" t="shared" si="133" ref="CN89:CN102">+SUM(+I89+W89+AK89+AX89)/4</f>
        <v>0</v>
      </c>
      <c r="CO89" s="27">
        <f aca="true" t="shared" si="134" ref="CO89:CO102">+SUM(+J89+X89+AL89+AY89)/4</f>
        <v>108690500</v>
      </c>
      <c r="CP89" s="27">
        <f aca="true" t="shared" si="135" ref="CP89:CP102">+SUM(+K89+Y89+AM89+AZ89)/4</f>
        <v>0</v>
      </c>
      <c r="CQ89" s="27">
        <f aca="true" t="shared" si="136" ref="CQ89:CQ102">+SUM(+L89+Z89+AN89+BA89)/4</f>
        <v>47452914.75</v>
      </c>
      <c r="CR89" s="27">
        <f aca="true" t="shared" si="137" ref="CR89:CR102">+SUM(+M89+AA89+AO89+BB89)/4</f>
        <v>0</v>
      </c>
      <c r="CS89" s="27">
        <f aca="true" t="shared" si="138" ref="CS89:CS97">+SUM(CG89:CR89)</f>
        <v>156143414.75</v>
      </c>
      <c r="CT89" s="18" t="s">
        <v>76</v>
      </c>
      <c r="CU89" s="28">
        <f aca="true" t="shared" si="139" ref="CU89:DF89">+CG89/$CS$89</f>
        <v>0</v>
      </c>
      <c r="CV89" s="28">
        <f t="shared" si="139"/>
        <v>0</v>
      </c>
      <c r="CW89" s="28">
        <f t="shared" si="139"/>
        <v>0</v>
      </c>
      <c r="CX89" s="28">
        <f t="shared" si="139"/>
        <v>0</v>
      </c>
      <c r="CY89" s="28">
        <f t="shared" si="139"/>
        <v>0</v>
      </c>
      <c r="CZ89" s="28">
        <f t="shared" si="139"/>
        <v>0</v>
      </c>
      <c r="DA89" s="28">
        <f t="shared" si="139"/>
        <v>0</v>
      </c>
      <c r="DB89" s="28">
        <f t="shared" si="139"/>
        <v>0</v>
      </c>
      <c r="DC89" s="28">
        <f t="shared" si="139"/>
        <v>0.6960940374848565</v>
      </c>
      <c r="DD89" s="28">
        <f t="shared" si="139"/>
        <v>0</v>
      </c>
      <c r="DE89" s="28">
        <f t="shared" si="139"/>
        <v>0.30390596251514346</v>
      </c>
      <c r="DF89" s="28">
        <f t="shared" si="139"/>
        <v>0</v>
      </c>
      <c r="DG89" s="29">
        <f t="shared" si="91"/>
        <v>1</v>
      </c>
    </row>
    <row r="90" spans="1:111" ht="15" customHeight="1">
      <c r="A90" s="14" t="s">
        <v>77</v>
      </c>
      <c r="B90" s="15"/>
      <c r="C90" s="16"/>
      <c r="D90" s="16"/>
      <c r="E90" s="16"/>
      <c r="F90" s="16"/>
      <c r="G90" s="16"/>
      <c r="H90" s="16"/>
      <c r="I90" s="16"/>
      <c r="J90" s="16"/>
      <c r="K90" s="15"/>
      <c r="L90" s="15"/>
      <c r="M90" s="15"/>
      <c r="N90" s="17">
        <f t="shared" si="122"/>
        <v>0</v>
      </c>
      <c r="O90" s="18" t="s">
        <v>77</v>
      </c>
      <c r="P90" s="30">
        <v>0</v>
      </c>
      <c r="Q90" s="30">
        <v>0</v>
      </c>
      <c r="R90" s="27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27">
        <v>0</v>
      </c>
      <c r="Z90" s="31">
        <v>0</v>
      </c>
      <c r="AA90" s="27">
        <v>0</v>
      </c>
      <c r="AB90" s="22">
        <f t="shared" si="123"/>
        <v>0</v>
      </c>
      <c r="AC90" s="18" t="s">
        <v>77</v>
      </c>
      <c r="AD90" s="23">
        <v>303998160</v>
      </c>
      <c r="AE90" s="23">
        <v>35762880</v>
      </c>
      <c r="AF90" s="23"/>
      <c r="AG90" s="23">
        <v>23656000</v>
      </c>
      <c r="AH90" s="23"/>
      <c r="AI90" s="23"/>
      <c r="AJ90" s="23">
        <v>7885666</v>
      </c>
      <c r="AK90" s="23">
        <v>27152000</v>
      </c>
      <c r="AL90" s="23">
        <v>27152000</v>
      </c>
      <c r="AM90" s="23">
        <v>27152000</v>
      </c>
      <c r="AN90" s="23">
        <v>7886000</v>
      </c>
      <c r="AO90" s="23"/>
      <c r="AP90" s="24">
        <f t="shared" si="124"/>
        <v>460644706</v>
      </c>
      <c r="AQ90" s="23">
        <v>0</v>
      </c>
      <c r="AR90" s="23">
        <v>0</v>
      </c>
      <c r="AS90" s="23"/>
      <c r="AT90" s="23"/>
      <c r="AU90" s="23">
        <v>58252000</v>
      </c>
      <c r="AV90" s="23">
        <v>14563000</v>
      </c>
      <c r="AW90" s="23">
        <v>14563000</v>
      </c>
      <c r="AX90" s="23">
        <v>14563000</v>
      </c>
      <c r="AY90" s="23">
        <v>18035000</v>
      </c>
      <c r="AZ90" s="23">
        <v>14997000</v>
      </c>
      <c r="BA90" s="23">
        <v>14997000</v>
      </c>
      <c r="BB90" s="23">
        <v>29994000</v>
      </c>
      <c r="BC90" s="24">
        <f t="shared" si="125"/>
        <v>179964000</v>
      </c>
      <c r="BQ90" s="24">
        <f t="shared" si="98"/>
        <v>0</v>
      </c>
      <c r="CE90" s="24"/>
      <c r="CF90" s="26" t="s">
        <v>77</v>
      </c>
      <c r="CG90" s="27">
        <f t="shared" si="126"/>
        <v>75999540</v>
      </c>
      <c r="CH90" s="27">
        <f t="shared" si="127"/>
        <v>8940720</v>
      </c>
      <c r="CI90" s="27">
        <f t="shared" si="128"/>
        <v>0</v>
      </c>
      <c r="CJ90" s="27">
        <f t="shared" si="129"/>
        <v>5914000</v>
      </c>
      <c r="CK90" s="27">
        <f t="shared" si="130"/>
        <v>14563000</v>
      </c>
      <c r="CL90" s="27">
        <f t="shared" si="131"/>
        <v>3640750</v>
      </c>
      <c r="CM90" s="27">
        <f t="shared" si="132"/>
        <v>5612166.5</v>
      </c>
      <c r="CN90" s="27">
        <f t="shared" si="133"/>
        <v>10428750</v>
      </c>
      <c r="CO90" s="27">
        <f t="shared" si="134"/>
        <v>11296750</v>
      </c>
      <c r="CP90" s="27">
        <f t="shared" si="135"/>
        <v>10537250</v>
      </c>
      <c r="CQ90" s="27">
        <f t="shared" si="136"/>
        <v>5720750</v>
      </c>
      <c r="CR90" s="27">
        <f t="shared" si="137"/>
        <v>7498500</v>
      </c>
      <c r="CS90" s="27">
        <f t="shared" si="138"/>
        <v>160152176.5</v>
      </c>
      <c r="CT90" s="18" t="s">
        <v>77</v>
      </c>
      <c r="CU90" s="28">
        <f aca="true" t="shared" si="140" ref="CU90:DF90">+CG90/$CS$90</f>
        <v>0.4745457830228114</v>
      </c>
      <c r="CV90" s="28">
        <f t="shared" si="140"/>
        <v>0.05582640333333216</v>
      </c>
      <c r="CW90" s="28">
        <f t="shared" si="140"/>
        <v>0</v>
      </c>
      <c r="CX90" s="28">
        <f t="shared" si="140"/>
        <v>0.03692737825514347</v>
      </c>
      <c r="CY90" s="28">
        <f t="shared" si="140"/>
        <v>0.0909322640395087</v>
      </c>
      <c r="CZ90" s="28">
        <f t="shared" si="140"/>
        <v>0.022733066009877175</v>
      </c>
      <c r="DA90" s="28">
        <f t="shared" si="140"/>
        <v>0.035042711392685943</v>
      </c>
      <c r="DB90" s="28">
        <f t="shared" si="140"/>
        <v>0.06511775380086701</v>
      </c>
      <c r="DC90" s="28">
        <f t="shared" si="140"/>
        <v>0.0705375989691904</v>
      </c>
      <c r="DD90" s="28">
        <f t="shared" si="140"/>
        <v>0.06579523444690744</v>
      </c>
      <c r="DE90" s="28">
        <f t="shared" si="140"/>
        <v>0.03572071341784106</v>
      </c>
      <c r="DF90" s="28">
        <f t="shared" si="140"/>
        <v>0.0468210933118352</v>
      </c>
      <c r="DG90" s="29">
        <f t="shared" si="91"/>
        <v>1.0000000000000002</v>
      </c>
    </row>
    <row r="91" spans="1:111" ht="13.5" customHeight="1">
      <c r="A91" s="14" t="s">
        <v>78</v>
      </c>
      <c r="B91" s="15"/>
      <c r="C91" s="16"/>
      <c r="D91" s="16"/>
      <c r="E91" s="16"/>
      <c r="F91" s="16"/>
      <c r="G91" s="16"/>
      <c r="H91" s="16"/>
      <c r="I91" s="16"/>
      <c r="J91" s="16"/>
      <c r="K91" s="15"/>
      <c r="L91" s="15"/>
      <c r="M91" s="15"/>
      <c r="N91" s="17">
        <f t="shared" si="122"/>
        <v>0</v>
      </c>
      <c r="O91" s="18" t="s">
        <v>78</v>
      </c>
      <c r="P91" s="30">
        <v>0</v>
      </c>
      <c r="Q91" s="30">
        <v>0</v>
      </c>
      <c r="R91" s="27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434762000</v>
      </c>
      <c r="Y91" s="27">
        <v>0</v>
      </c>
      <c r="Z91" s="31">
        <v>58172732</v>
      </c>
      <c r="AA91" s="27">
        <v>0</v>
      </c>
      <c r="AB91" s="22">
        <f t="shared" si="123"/>
        <v>492934732</v>
      </c>
      <c r="AC91" s="18" t="s">
        <v>78</v>
      </c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4">
        <f t="shared" si="124"/>
        <v>0</v>
      </c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4">
        <f t="shared" si="125"/>
        <v>0</v>
      </c>
      <c r="BQ91" s="24">
        <f t="shared" si="98"/>
        <v>0</v>
      </c>
      <c r="CE91" s="24"/>
      <c r="CF91" s="26" t="s">
        <v>78</v>
      </c>
      <c r="CG91" s="27">
        <f t="shared" si="126"/>
        <v>0</v>
      </c>
      <c r="CH91" s="27">
        <f t="shared" si="127"/>
        <v>0</v>
      </c>
      <c r="CI91" s="27">
        <f t="shared" si="128"/>
        <v>0</v>
      </c>
      <c r="CJ91" s="27">
        <f t="shared" si="129"/>
        <v>0</v>
      </c>
      <c r="CK91" s="27">
        <f t="shared" si="130"/>
        <v>0</v>
      </c>
      <c r="CL91" s="27">
        <f t="shared" si="131"/>
        <v>0</v>
      </c>
      <c r="CM91" s="27">
        <f t="shared" si="132"/>
        <v>0</v>
      </c>
      <c r="CN91" s="27">
        <f t="shared" si="133"/>
        <v>0</v>
      </c>
      <c r="CO91" s="27">
        <f t="shared" si="134"/>
        <v>108690500</v>
      </c>
      <c r="CP91" s="27">
        <f t="shared" si="135"/>
        <v>0</v>
      </c>
      <c r="CQ91" s="27">
        <f t="shared" si="136"/>
        <v>14543183</v>
      </c>
      <c r="CR91" s="27">
        <f t="shared" si="137"/>
        <v>0</v>
      </c>
      <c r="CS91" s="27">
        <f t="shared" si="138"/>
        <v>123233683</v>
      </c>
      <c r="CT91" s="18" t="s">
        <v>78</v>
      </c>
      <c r="CU91" s="28">
        <f aca="true" t="shared" si="141" ref="CU91:DF91">+CG91/$CS$91</f>
        <v>0</v>
      </c>
      <c r="CV91" s="28">
        <f t="shared" si="141"/>
        <v>0</v>
      </c>
      <c r="CW91" s="28">
        <f t="shared" si="141"/>
        <v>0</v>
      </c>
      <c r="CX91" s="28">
        <f t="shared" si="141"/>
        <v>0</v>
      </c>
      <c r="CY91" s="28">
        <f t="shared" si="141"/>
        <v>0</v>
      </c>
      <c r="CZ91" s="28">
        <f t="shared" si="141"/>
        <v>0</v>
      </c>
      <c r="DA91" s="28">
        <f t="shared" si="141"/>
        <v>0</v>
      </c>
      <c r="DB91" s="28">
        <f t="shared" si="141"/>
        <v>0</v>
      </c>
      <c r="DC91" s="28">
        <f t="shared" si="141"/>
        <v>0.8819869483248343</v>
      </c>
      <c r="DD91" s="28">
        <f t="shared" si="141"/>
        <v>0</v>
      </c>
      <c r="DE91" s="28">
        <f t="shared" si="141"/>
        <v>0.11801305167516579</v>
      </c>
      <c r="DF91" s="28">
        <f t="shared" si="141"/>
        <v>0</v>
      </c>
      <c r="DG91" s="29">
        <f t="shared" si="91"/>
        <v>1</v>
      </c>
    </row>
    <row r="92" spans="1:124" ht="13.5" customHeight="1">
      <c r="A92" s="14" t="s">
        <v>79</v>
      </c>
      <c r="B92" s="15"/>
      <c r="C92" s="16"/>
      <c r="D92" s="16"/>
      <c r="E92" s="16"/>
      <c r="F92" s="16"/>
      <c r="G92" s="16"/>
      <c r="H92" s="16"/>
      <c r="I92" s="16"/>
      <c r="J92" s="16"/>
      <c r="K92" s="15"/>
      <c r="L92" s="15"/>
      <c r="M92" s="15"/>
      <c r="N92" s="17">
        <f t="shared" si="122"/>
        <v>0</v>
      </c>
      <c r="O92" s="18" t="s">
        <v>79</v>
      </c>
      <c r="P92" s="30">
        <v>0</v>
      </c>
      <c r="Q92" s="30">
        <v>0</v>
      </c>
      <c r="R92" s="27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27">
        <v>0</v>
      </c>
      <c r="Z92" s="31">
        <v>121122927</v>
      </c>
      <c r="AA92" s="27">
        <v>0</v>
      </c>
      <c r="AB92" s="22">
        <f t="shared" si="123"/>
        <v>121122927</v>
      </c>
      <c r="AC92" s="18" t="s">
        <v>79</v>
      </c>
      <c r="AD92" s="23"/>
      <c r="AE92" s="23"/>
      <c r="AF92" s="23"/>
      <c r="AG92" s="23"/>
      <c r="AH92" s="23">
        <v>27152000</v>
      </c>
      <c r="AI92" s="23">
        <v>27152000</v>
      </c>
      <c r="AJ92" s="23">
        <v>19266334</v>
      </c>
      <c r="AK92" s="23">
        <v>51705000</v>
      </c>
      <c r="AL92" s="23">
        <v>51705000</v>
      </c>
      <c r="AM92" s="23">
        <v>51705000</v>
      </c>
      <c r="AN92" s="23">
        <v>19266000</v>
      </c>
      <c r="AO92" s="23"/>
      <c r="AP92" s="24">
        <f t="shared" si="124"/>
        <v>247951334</v>
      </c>
      <c r="AQ92" s="23">
        <v>0</v>
      </c>
      <c r="AR92" s="23">
        <v>0</v>
      </c>
      <c r="AS92" s="23"/>
      <c r="AT92" s="23"/>
      <c r="AU92" s="23">
        <v>106223000</v>
      </c>
      <c r="AV92" s="23">
        <v>26555750</v>
      </c>
      <c r="AW92" s="23">
        <v>26555750</v>
      </c>
      <c r="AX92" s="23">
        <v>26555750</v>
      </c>
      <c r="AY92" s="23">
        <v>46555750</v>
      </c>
      <c r="AZ92" s="23">
        <v>29055750</v>
      </c>
      <c r="BA92" s="23">
        <v>29055750</v>
      </c>
      <c r="BB92" s="23">
        <v>58112000</v>
      </c>
      <c r="BC92" s="24">
        <f t="shared" si="125"/>
        <v>348669500</v>
      </c>
      <c r="BD92" s="37" t="s">
        <v>167</v>
      </c>
      <c r="BE92" s="7">
        <v>0</v>
      </c>
      <c r="BF92" s="52">
        <v>0</v>
      </c>
      <c r="BG92" s="27">
        <v>0</v>
      </c>
      <c r="BH92" s="27">
        <v>0</v>
      </c>
      <c r="BI92" s="63">
        <v>25004</v>
      </c>
      <c r="BJ92" s="27">
        <v>0</v>
      </c>
      <c r="BK92" s="64">
        <v>0</v>
      </c>
      <c r="BL92" s="65">
        <v>0</v>
      </c>
      <c r="BM92" s="66">
        <v>0</v>
      </c>
      <c r="BN92" s="65">
        <v>0</v>
      </c>
      <c r="BO92" s="64">
        <v>0</v>
      </c>
      <c r="BP92" s="65">
        <v>0</v>
      </c>
      <c r="BQ92" s="24">
        <f t="shared" si="98"/>
        <v>25004</v>
      </c>
      <c r="CE92" s="24"/>
      <c r="CF92" s="26" t="s">
        <v>79</v>
      </c>
      <c r="CG92" s="27">
        <f t="shared" si="126"/>
        <v>0</v>
      </c>
      <c r="CH92" s="27">
        <f t="shared" si="127"/>
        <v>0</v>
      </c>
      <c r="CI92" s="27">
        <f t="shared" si="128"/>
        <v>0</v>
      </c>
      <c r="CJ92" s="27">
        <f t="shared" si="129"/>
        <v>0</v>
      </c>
      <c r="CK92" s="27">
        <f t="shared" si="130"/>
        <v>33343750</v>
      </c>
      <c r="CL92" s="27">
        <f t="shared" si="131"/>
        <v>13426937.5</v>
      </c>
      <c r="CM92" s="27">
        <f t="shared" si="132"/>
        <v>11455521</v>
      </c>
      <c r="CN92" s="27">
        <f t="shared" si="133"/>
        <v>19565187.5</v>
      </c>
      <c r="CO92" s="27">
        <f t="shared" si="134"/>
        <v>24565187.5</v>
      </c>
      <c r="CP92" s="27">
        <f t="shared" si="135"/>
        <v>20190187.5</v>
      </c>
      <c r="CQ92" s="27">
        <f t="shared" si="136"/>
        <v>42361169.25</v>
      </c>
      <c r="CR92" s="27">
        <f t="shared" si="137"/>
        <v>14528000</v>
      </c>
      <c r="CS92" s="27">
        <f t="shared" si="138"/>
        <v>179435940.25</v>
      </c>
      <c r="CT92" s="18" t="s">
        <v>79</v>
      </c>
      <c r="CU92" s="28">
        <f aca="true" t="shared" si="142" ref="CU92:DF92">+CG92/$CS$92</f>
        <v>0</v>
      </c>
      <c r="CV92" s="28">
        <f t="shared" si="142"/>
        <v>0</v>
      </c>
      <c r="CW92" s="28">
        <f t="shared" si="142"/>
        <v>0</v>
      </c>
      <c r="CX92" s="28">
        <f t="shared" si="142"/>
        <v>0</v>
      </c>
      <c r="CY92" s="28">
        <f t="shared" si="142"/>
        <v>0.1858253700654599</v>
      </c>
      <c r="CZ92" s="28">
        <f t="shared" si="142"/>
        <v>0.0748285849606988</v>
      </c>
      <c r="DA92" s="28">
        <f t="shared" si="142"/>
        <v>0.06384184229781135</v>
      </c>
      <c r="DB92" s="28">
        <f t="shared" si="142"/>
        <v>0.1090371721113435</v>
      </c>
      <c r="DC92" s="28">
        <f t="shared" si="142"/>
        <v>0.13690226977814163</v>
      </c>
      <c r="DD92" s="28">
        <f t="shared" si="142"/>
        <v>0.11252030931969327</v>
      </c>
      <c r="DE92" s="28">
        <f t="shared" si="142"/>
        <v>0.23607962368620297</v>
      </c>
      <c r="DF92" s="28">
        <f t="shared" si="142"/>
        <v>0.08096482778064859</v>
      </c>
      <c r="DG92" s="29">
        <f t="shared" si="91"/>
        <v>1</v>
      </c>
      <c r="DH92" s="37" t="s">
        <v>167</v>
      </c>
      <c r="DI92" s="7">
        <v>0</v>
      </c>
      <c r="DJ92" s="52">
        <v>0</v>
      </c>
      <c r="DK92" s="27">
        <v>0</v>
      </c>
      <c r="DL92" s="27">
        <v>0</v>
      </c>
      <c r="DM92" s="63">
        <v>25004</v>
      </c>
      <c r="DN92" s="27">
        <v>0</v>
      </c>
      <c r="DO92" s="64">
        <v>0</v>
      </c>
      <c r="DP92" s="65">
        <v>0</v>
      </c>
      <c r="DQ92" s="66">
        <v>0</v>
      </c>
      <c r="DR92" s="65">
        <v>0</v>
      </c>
      <c r="DS92" s="64">
        <v>0</v>
      </c>
      <c r="DT92" s="65">
        <v>0</v>
      </c>
    </row>
    <row r="93" spans="1:124" ht="13.5" customHeight="1">
      <c r="A93" s="14" t="s">
        <v>80</v>
      </c>
      <c r="B93" s="15"/>
      <c r="C93" s="16"/>
      <c r="D93" s="16"/>
      <c r="E93" s="16"/>
      <c r="F93" s="16"/>
      <c r="G93" s="16"/>
      <c r="H93" s="16"/>
      <c r="I93" s="16"/>
      <c r="J93" s="16"/>
      <c r="K93" s="15"/>
      <c r="L93" s="15"/>
      <c r="M93" s="15"/>
      <c r="N93" s="17">
        <f t="shared" si="122"/>
        <v>0</v>
      </c>
      <c r="O93" s="18" t="s">
        <v>80</v>
      </c>
      <c r="P93" s="30">
        <v>0</v>
      </c>
      <c r="Q93" s="30">
        <v>0</v>
      </c>
      <c r="R93" s="27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27">
        <v>0</v>
      </c>
      <c r="Z93" s="31">
        <v>10516000</v>
      </c>
      <c r="AA93" s="27">
        <v>0</v>
      </c>
      <c r="AB93" s="22">
        <f t="shared" si="123"/>
        <v>10516000</v>
      </c>
      <c r="AC93" s="18" t="s">
        <v>80</v>
      </c>
      <c r="AD93" s="23"/>
      <c r="AE93" s="23"/>
      <c r="AF93" s="23"/>
      <c r="AG93" s="23">
        <v>57800000</v>
      </c>
      <c r="AH93" s="23"/>
      <c r="AI93" s="23">
        <v>258525000</v>
      </c>
      <c r="AJ93" s="23">
        <v>51705000</v>
      </c>
      <c r="AK93" s="23"/>
      <c r="AL93" s="23"/>
      <c r="AM93" s="23"/>
      <c r="AN93" s="23">
        <v>51705000</v>
      </c>
      <c r="AO93" s="23"/>
      <c r="AP93" s="24">
        <f t="shared" si="124"/>
        <v>419735000</v>
      </c>
      <c r="AQ93" s="23">
        <v>0</v>
      </c>
      <c r="AR93" s="23">
        <v>0</v>
      </c>
      <c r="AS93" s="23"/>
      <c r="AT93" s="23"/>
      <c r="AU93" s="23">
        <v>325405000</v>
      </c>
      <c r="AV93" s="23">
        <v>81351250</v>
      </c>
      <c r="AW93" s="23">
        <v>81351250</v>
      </c>
      <c r="AX93" s="23">
        <v>81351250</v>
      </c>
      <c r="AY93" s="23">
        <v>81351250</v>
      </c>
      <c r="AZ93" s="23">
        <v>81351250</v>
      </c>
      <c r="BA93" s="23">
        <v>81351250</v>
      </c>
      <c r="BB93" s="23">
        <v>162701000</v>
      </c>
      <c r="BC93" s="24">
        <f t="shared" si="125"/>
        <v>976213500</v>
      </c>
      <c r="BD93" s="37" t="s">
        <v>168</v>
      </c>
      <c r="BE93" s="7">
        <v>54044</v>
      </c>
      <c r="BF93" s="52">
        <v>0</v>
      </c>
      <c r="BG93" s="27">
        <v>0</v>
      </c>
      <c r="BH93" s="27">
        <v>0</v>
      </c>
      <c r="BI93" s="63">
        <v>0</v>
      </c>
      <c r="BJ93" s="27">
        <v>0</v>
      </c>
      <c r="BK93" s="64">
        <v>0</v>
      </c>
      <c r="BL93" s="65">
        <v>0</v>
      </c>
      <c r="BM93" s="66">
        <v>0</v>
      </c>
      <c r="BN93" s="65">
        <v>0</v>
      </c>
      <c r="BO93" s="64">
        <v>0</v>
      </c>
      <c r="BP93" s="65">
        <v>0</v>
      </c>
      <c r="BQ93" s="24">
        <f t="shared" si="98"/>
        <v>54044</v>
      </c>
      <c r="CE93" s="24"/>
      <c r="CF93" s="26" t="s">
        <v>80</v>
      </c>
      <c r="CG93" s="27">
        <f t="shared" si="126"/>
        <v>0</v>
      </c>
      <c r="CH93" s="27">
        <f t="shared" si="127"/>
        <v>0</v>
      </c>
      <c r="CI93" s="27">
        <f t="shared" si="128"/>
        <v>0</v>
      </c>
      <c r="CJ93" s="27">
        <f t="shared" si="129"/>
        <v>14450000</v>
      </c>
      <c r="CK93" s="27">
        <f t="shared" si="130"/>
        <v>81351250</v>
      </c>
      <c r="CL93" s="27">
        <f t="shared" si="131"/>
        <v>84969062.5</v>
      </c>
      <c r="CM93" s="27">
        <f t="shared" si="132"/>
        <v>33264062.5</v>
      </c>
      <c r="CN93" s="27">
        <f t="shared" si="133"/>
        <v>20337812.5</v>
      </c>
      <c r="CO93" s="27">
        <f t="shared" si="134"/>
        <v>20337812.5</v>
      </c>
      <c r="CP93" s="27">
        <f t="shared" si="135"/>
        <v>20337812.5</v>
      </c>
      <c r="CQ93" s="27">
        <f t="shared" si="136"/>
        <v>35893062.5</v>
      </c>
      <c r="CR93" s="27">
        <f t="shared" si="137"/>
        <v>40675250</v>
      </c>
      <c r="CS93" s="27">
        <f t="shared" si="138"/>
        <v>351616125</v>
      </c>
      <c r="CT93" s="18" t="s">
        <v>80</v>
      </c>
      <c r="CU93" s="28">
        <f aca="true" t="shared" si="143" ref="CU93:DF93">+CG93/$CS$93</f>
        <v>0</v>
      </c>
      <c r="CV93" s="28">
        <f t="shared" si="143"/>
        <v>0</v>
      </c>
      <c r="CW93" s="28">
        <f t="shared" si="143"/>
        <v>0</v>
      </c>
      <c r="CX93" s="28">
        <f t="shared" si="143"/>
        <v>0.041095953719414886</v>
      </c>
      <c r="CY93" s="28">
        <f t="shared" si="143"/>
        <v>0.23136382041637027</v>
      </c>
      <c r="CZ93" s="28">
        <f t="shared" si="143"/>
        <v>0.24165291765273847</v>
      </c>
      <c r="DA93" s="28">
        <f t="shared" si="143"/>
        <v>0.09460334761382175</v>
      </c>
      <c r="DB93" s="28">
        <f t="shared" si="143"/>
        <v>0.05784095510409257</v>
      </c>
      <c r="DC93" s="28">
        <f t="shared" si="143"/>
        <v>0.05784095510409257</v>
      </c>
      <c r="DD93" s="28">
        <f t="shared" si="143"/>
        <v>0.05784095510409257</v>
      </c>
      <c r="DE93" s="28">
        <f t="shared" si="143"/>
        <v>0.10208025158118104</v>
      </c>
      <c r="DF93" s="28">
        <f t="shared" si="143"/>
        <v>0.11568084370419587</v>
      </c>
      <c r="DG93" s="29">
        <f t="shared" si="91"/>
        <v>1</v>
      </c>
      <c r="DH93" s="37" t="s">
        <v>168</v>
      </c>
      <c r="DI93" s="7">
        <v>54044</v>
      </c>
      <c r="DJ93" s="52">
        <v>0</v>
      </c>
      <c r="DK93" s="27">
        <v>0</v>
      </c>
      <c r="DL93" s="27">
        <v>0</v>
      </c>
      <c r="DM93" s="63">
        <v>0</v>
      </c>
      <c r="DN93" s="27">
        <v>0</v>
      </c>
      <c r="DO93" s="64">
        <v>0</v>
      </c>
      <c r="DP93" s="65">
        <v>0</v>
      </c>
      <c r="DQ93" s="66">
        <v>0</v>
      </c>
      <c r="DR93" s="65">
        <v>0</v>
      </c>
      <c r="DS93" s="64">
        <v>0</v>
      </c>
      <c r="DT93" s="65">
        <v>0</v>
      </c>
    </row>
    <row r="94" spans="1:111" ht="13.5" customHeight="1">
      <c r="A94" s="14" t="s">
        <v>81</v>
      </c>
      <c r="B94" s="15"/>
      <c r="C94" s="16"/>
      <c r="D94" s="16"/>
      <c r="E94" s="16"/>
      <c r="F94" s="16"/>
      <c r="G94" s="16"/>
      <c r="H94" s="16"/>
      <c r="I94" s="16"/>
      <c r="J94" s="16"/>
      <c r="K94" s="15"/>
      <c r="L94" s="15"/>
      <c r="M94" s="15"/>
      <c r="N94" s="17">
        <f t="shared" si="122"/>
        <v>0</v>
      </c>
      <c r="O94" s="18" t="s">
        <v>81</v>
      </c>
      <c r="P94" s="30">
        <v>0</v>
      </c>
      <c r="Q94" s="30">
        <v>0</v>
      </c>
      <c r="R94" s="27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27">
        <v>0</v>
      </c>
      <c r="Z94" s="31">
        <v>0</v>
      </c>
      <c r="AA94" s="27">
        <v>0</v>
      </c>
      <c r="AB94" s="22">
        <f t="shared" si="123"/>
        <v>0</v>
      </c>
      <c r="AC94" s="18" t="s">
        <v>81</v>
      </c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4">
        <f t="shared" si="124"/>
        <v>0</v>
      </c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4">
        <f t="shared" si="125"/>
        <v>0</v>
      </c>
      <c r="BQ94" s="24">
        <f t="shared" si="98"/>
        <v>0</v>
      </c>
      <c r="CE94" s="24"/>
      <c r="CF94" s="26" t="s">
        <v>81</v>
      </c>
      <c r="CG94" s="27">
        <f t="shared" si="126"/>
        <v>0</v>
      </c>
      <c r="CH94" s="27">
        <f t="shared" si="127"/>
        <v>0</v>
      </c>
      <c r="CI94" s="27">
        <f t="shared" si="128"/>
        <v>0</v>
      </c>
      <c r="CJ94" s="27">
        <f t="shared" si="129"/>
        <v>0</v>
      </c>
      <c r="CK94" s="27">
        <f t="shared" si="130"/>
        <v>0</v>
      </c>
      <c r="CL94" s="27">
        <f t="shared" si="131"/>
        <v>0</v>
      </c>
      <c r="CM94" s="27">
        <f t="shared" si="132"/>
        <v>0</v>
      </c>
      <c r="CN94" s="27">
        <f t="shared" si="133"/>
        <v>0</v>
      </c>
      <c r="CO94" s="27">
        <f t="shared" si="134"/>
        <v>0</v>
      </c>
      <c r="CP94" s="27">
        <f t="shared" si="135"/>
        <v>0</v>
      </c>
      <c r="CQ94" s="27">
        <f t="shared" si="136"/>
        <v>0</v>
      </c>
      <c r="CR94" s="27">
        <f t="shared" si="137"/>
        <v>0</v>
      </c>
      <c r="CS94" s="27">
        <f t="shared" si="138"/>
        <v>0</v>
      </c>
      <c r="CT94" s="18" t="s">
        <v>81</v>
      </c>
      <c r="CU94" s="38" t="e">
        <f aca="true" t="shared" si="144" ref="CU94:DF94">+CG94/$CS$94</f>
        <v>#DIV/0!</v>
      </c>
      <c r="CV94" s="38" t="e">
        <f t="shared" si="144"/>
        <v>#DIV/0!</v>
      </c>
      <c r="CW94" s="38" t="e">
        <f t="shared" si="144"/>
        <v>#DIV/0!</v>
      </c>
      <c r="CX94" s="38" t="e">
        <f t="shared" si="144"/>
        <v>#DIV/0!</v>
      </c>
      <c r="CY94" s="38" t="e">
        <f t="shared" si="144"/>
        <v>#DIV/0!</v>
      </c>
      <c r="CZ94" s="38" t="e">
        <f t="shared" si="144"/>
        <v>#DIV/0!</v>
      </c>
      <c r="DA94" s="38" t="e">
        <f t="shared" si="144"/>
        <v>#DIV/0!</v>
      </c>
      <c r="DB94" s="38" t="e">
        <f t="shared" si="144"/>
        <v>#DIV/0!</v>
      </c>
      <c r="DC94" s="38" t="e">
        <f t="shared" si="144"/>
        <v>#DIV/0!</v>
      </c>
      <c r="DD94" s="38" t="e">
        <f t="shared" si="144"/>
        <v>#DIV/0!</v>
      </c>
      <c r="DE94" s="38" t="e">
        <f t="shared" si="144"/>
        <v>#DIV/0!</v>
      </c>
      <c r="DF94" s="38" t="e">
        <f t="shared" si="144"/>
        <v>#DIV/0!</v>
      </c>
      <c r="DG94" s="29" t="e">
        <f t="shared" si="91"/>
        <v>#DIV/0!</v>
      </c>
    </row>
    <row r="95" spans="1:111" ht="13.5" customHeight="1">
      <c r="A95" s="14" t="s">
        <v>82</v>
      </c>
      <c r="B95" s="15"/>
      <c r="C95" s="16"/>
      <c r="D95" s="16"/>
      <c r="E95" s="16"/>
      <c r="F95" s="16"/>
      <c r="G95" s="16"/>
      <c r="H95" s="16"/>
      <c r="I95" s="16"/>
      <c r="J95" s="16"/>
      <c r="K95" s="15"/>
      <c r="L95" s="15"/>
      <c r="M95" s="15"/>
      <c r="N95" s="17">
        <f t="shared" si="122"/>
        <v>0</v>
      </c>
      <c r="O95" s="18" t="s">
        <v>82</v>
      </c>
      <c r="P95" s="30">
        <v>0</v>
      </c>
      <c r="Q95" s="30">
        <v>0</v>
      </c>
      <c r="R95" s="27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27">
        <v>0</v>
      </c>
      <c r="Z95" s="31">
        <v>0</v>
      </c>
      <c r="AA95" s="27">
        <v>0</v>
      </c>
      <c r="AB95" s="22">
        <f t="shared" si="123"/>
        <v>0</v>
      </c>
      <c r="AC95" s="18" t="s">
        <v>82</v>
      </c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4">
        <f t="shared" si="124"/>
        <v>0</v>
      </c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4">
        <f t="shared" si="125"/>
        <v>0</v>
      </c>
      <c r="BQ95" s="24">
        <f t="shared" si="98"/>
        <v>0</v>
      </c>
      <c r="CE95" s="24"/>
      <c r="CF95" s="26" t="s">
        <v>82</v>
      </c>
      <c r="CG95" s="27">
        <f t="shared" si="126"/>
        <v>0</v>
      </c>
      <c r="CH95" s="27">
        <f t="shared" si="127"/>
        <v>0</v>
      </c>
      <c r="CI95" s="27">
        <f t="shared" si="128"/>
        <v>0</v>
      </c>
      <c r="CJ95" s="27">
        <f t="shared" si="129"/>
        <v>0</v>
      </c>
      <c r="CK95" s="27">
        <f t="shared" si="130"/>
        <v>0</v>
      </c>
      <c r="CL95" s="27">
        <f t="shared" si="131"/>
        <v>0</v>
      </c>
      <c r="CM95" s="27">
        <f t="shared" si="132"/>
        <v>0</v>
      </c>
      <c r="CN95" s="27">
        <f t="shared" si="133"/>
        <v>0</v>
      </c>
      <c r="CO95" s="27">
        <f t="shared" si="134"/>
        <v>0</v>
      </c>
      <c r="CP95" s="27">
        <f t="shared" si="135"/>
        <v>0</v>
      </c>
      <c r="CQ95" s="27">
        <f t="shared" si="136"/>
        <v>0</v>
      </c>
      <c r="CR95" s="27">
        <f t="shared" si="137"/>
        <v>0</v>
      </c>
      <c r="CS95" s="27">
        <f t="shared" si="138"/>
        <v>0</v>
      </c>
      <c r="CT95" s="18" t="s">
        <v>82</v>
      </c>
      <c r="CU95" s="38" t="e">
        <f aca="true" t="shared" si="145" ref="CU95:DF95">+CG95/$CS$95</f>
        <v>#DIV/0!</v>
      </c>
      <c r="CV95" s="38" t="e">
        <f t="shared" si="145"/>
        <v>#DIV/0!</v>
      </c>
      <c r="CW95" s="38" t="e">
        <f t="shared" si="145"/>
        <v>#DIV/0!</v>
      </c>
      <c r="CX95" s="38" t="e">
        <f t="shared" si="145"/>
        <v>#DIV/0!</v>
      </c>
      <c r="CY95" s="38" t="e">
        <f t="shared" si="145"/>
        <v>#DIV/0!</v>
      </c>
      <c r="CZ95" s="38" t="e">
        <f t="shared" si="145"/>
        <v>#DIV/0!</v>
      </c>
      <c r="DA95" s="38" t="e">
        <f t="shared" si="145"/>
        <v>#DIV/0!</v>
      </c>
      <c r="DB95" s="38" t="e">
        <f t="shared" si="145"/>
        <v>#DIV/0!</v>
      </c>
      <c r="DC95" s="38" t="e">
        <f t="shared" si="145"/>
        <v>#DIV/0!</v>
      </c>
      <c r="DD95" s="38" t="e">
        <f t="shared" si="145"/>
        <v>#DIV/0!</v>
      </c>
      <c r="DE95" s="38" t="e">
        <f t="shared" si="145"/>
        <v>#DIV/0!</v>
      </c>
      <c r="DF95" s="38" t="e">
        <f t="shared" si="145"/>
        <v>#DIV/0!</v>
      </c>
      <c r="DG95" s="29" t="e">
        <f t="shared" si="91"/>
        <v>#DIV/0!</v>
      </c>
    </row>
    <row r="96" spans="1:111" ht="15" customHeight="1">
      <c r="A96" s="14" t="s">
        <v>83</v>
      </c>
      <c r="B96" s="15"/>
      <c r="C96" s="16"/>
      <c r="D96" s="16"/>
      <c r="E96" s="16"/>
      <c r="F96" s="16"/>
      <c r="G96" s="16"/>
      <c r="H96" s="16"/>
      <c r="I96" s="16"/>
      <c r="J96" s="16"/>
      <c r="K96" s="15"/>
      <c r="L96" s="15"/>
      <c r="M96" s="15"/>
      <c r="N96" s="17">
        <f t="shared" si="122"/>
        <v>0</v>
      </c>
      <c r="O96" s="18" t="s">
        <v>83</v>
      </c>
      <c r="P96" s="30">
        <v>0</v>
      </c>
      <c r="Q96" s="30">
        <v>0</v>
      </c>
      <c r="R96" s="27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27">
        <v>0</v>
      </c>
      <c r="Z96" s="31">
        <v>0</v>
      </c>
      <c r="AA96" s="27">
        <v>0</v>
      </c>
      <c r="AB96" s="22">
        <f t="shared" si="123"/>
        <v>0</v>
      </c>
      <c r="AC96" s="18" t="s">
        <v>83</v>
      </c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4">
        <f t="shared" si="124"/>
        <v>0</v>
      </c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4">
        <f t="shared" si="125"/>
        <v>0</v>
      </c>
      <c r="BQ96" s="24">
        <f t="shared" si="98"/>
        <v>0</v>
      </c>
      <c r="CE96" s="24"/>
      <c r="CF96" s="26" t="s">
        <v>83</v>
      </c>
      <c r="CG96" s="27">
        <f t="shared" si="126"/>
        <v>0</v>
      </c>
      <c r="CH96" s="27">
        <f t="shared" si="127"/>
        <v>0</v>
      </c>
      <c r="CI96" s="27">
        <f t="shared" si="128"/>
        <v>0</v>
      </c>
      <c r="CJ96" s="27">
        <f t="shared" si="129"/>
        <v>0</v>
      </c>
      <c r="CK96" s="27">
        <f t="shared" si="130"/>
        <v>0</v>
      </c>
      <c r="CL96" s="27">
        <f t="shared" si="131"/>
        <v>0</v>
      </c>
      <c r="CM96" s="27">
        <f t="shared" si="132"/>
        <v>0</v>
      </c>
      <c r="CN96" s="27">
        <f t="shared" si="133"/>
        <v>0</v>
      </c>
      <c r="CO96" s="27">
        <f t="shared" si="134"/>
        <v>0</v>
      </c>
      <c r="CP96" s="27">
        <f t="shared" si="135"/>
        <v>0</v>
      </c>
      <c r="CQ96" s="27">
        <f t="shared" si="136"/>
        <v>0</v>
      </c>
      <c r="CR96" s="27">
        <f t="shared" si="137"/>
        <v>0</v>
      </c>
      <c r="CS96" s="27">
        <f t="shared" si="138"/>
        <v>0</v>
      </c>
      <c r="CT96" s="18" t="s">
        <v>83</v>
      </c>
      <c r="CU96" s="38" t="e">
        <f aca="true" t="shared" si="146" ref="CU96:DF96">+CG96/$CS$96</f>
        <v>#DIV/0!</v>
      </c>
      <c r="CV96" s="38" t="e">
        <f t="shared" si="146"/>
        <v>#DIV/0!</v>
      </c>
      <c r="CW96" s="38" t="e">
        <f t="shared" si="146"/>
        <v>#DIV/0!</v>
      </c>
      <c r="CX96" s="38" t="e">
        <f t="shared" si="146"/>
        <v>#DIV/0!</v>
      </c>
      <c r="CY96" s="38" t="e">
        <f t="shared" si="146"/>
        <v>#DIV/0!</v>
      </c>
      <c r="CZ96" s="38" t="e">
        <f t="shared" si="146"/>
        <v>#DIV/0!</v>
      </c>
      <c r="DA96" s="38" t="e">
        <f t="shared" si="146"/>
        <v>#DIV/0!</v>
      </c>
      <c r="DB96" s="38" t="e">
        <f t="shared" si="146"/>
        <v>#DIV/0!</v>
      </c>
      <c r="DC96" s="38" t="e">
        <f t="shared" si="146"/>
        <v>#DIV/0!</v>
      </c>
      <c r="DD96" s="38" t="e">
        <f t="shared" si="146"/>
        <v>#DIV/0!</v>
      </c>
      <c r="DE96" s="38" t="e">
        <f t="shared" si="146"/>
        <v>#DIV/0!</v>
      </c>
      <c r="DF96" s="38" t="e">
        <f t="shared" si="146"/>
        <v>#DIV/0!</v>
      </c>
      <c r="DG96" s="29" t="e">
        <f t="shared" si="91"/>
        <v>#DIV/0!</v>
      </c>
    </row>
    <row r="97" spans="1:111" ht="13.5" customHeight="1">
      <c r="A97" s="14" t="s">
        <v>84</v>
      </c>
      <c r="B97" s="15"/>
      <c r="C97" s="16"/>
      <c r="D97" s="16"/>
      <c r="E97" s="16"/>
      <c r="F97" s="16"/>
      <c r="G97" s="16"/>
      <c r="H97" s="16"/>
      <c r="I97" s="16"/>
      <c r="J97" s="16"/>
      <c r="K97" s="15"/>
      <c r="L97" s="15"/>
      <c r="M97" s="15"/>
      <c r="N97" s="17">
        <f t="shared" si="122"/>
        <v>0</v>
      </c>
      <c r="O97" s="18" t="s">
        <v>84</v>
      </c>
      <c r="P97" s="30">
        <v>0</v>
      </c>
      <c r="Q97" s="30">
        <v>0</v>
      </c>
      <c r="R97" s="27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27">
        <v>0</v>
      </c>
      <c r="Z97" s="31">
        <v>0</v>
      </c>
      <c r="AA97" s="27">
        <v>0</v>
      </c>
      <c r="AB97" s="22">
        <f t="shared" si="123"/>
        <v>0</v>
      </c>
      <c r="AC97" s="18" t="s">
        <v>84</v>
      </c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4">
        <f t="shared" si="124"/>
        <v>0</v>
      </c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4">
        <f t="shared" si="125"/>
        <v>0</v>
      </c>
      <c r="BQ97" s="24">
        <f t="shared" si="98"/>
        <v>0</v>
      </c>
      <c r="CE97" s="24"/>
      <c r="CF97" s="26" t="s">
        <v>84</v>
      </c>
      <c r="CG97" s="27">
        <f t="shared" si="126"/>
        <v>0</v>
      </c>
      <c r="CH97" s="27">
        <f t="shared" si="127"/>
        <v>0</v>
      </c>
      <c r="CI97" s="27">
        <f t="shared" si="128"/>
        <v>0</v>
      </c>
      <c r="CJ97" s="27">
        <f t="shared" si="129"/>
        <v>0</v>
      </c>
      <c r="CK97" s="27">
        <f t="shared" si="130"/>
        <v>0</v>
      </c>
      <c r="CL97" s="27">
        <f t="shared" si="131"/>
        <v>0</v>
      </c>
      <c r="CM97" s="27">
        <f t="shared" si="132"/>
        <v>0</v>
      </c>
      <c r="CN97" s="27">
        <f t="shared" si="133"/>
        <v>0</v>
      </c>
      <c r="CO97" s="27">
        <f t="shared" si="134"/>
        <v>0</v>
      </c>
      <c r="CP97" s="27">
        <f t="shared" si="135"/>
        <v>0</v>
      </c>
      <c r="CQ97" s="27">
        <f t="shared" si="136"/>
        <v>0</v>
      </c>
      <c r="CR97" s="27">
        <f t="shared" si="137"/>
        <v>0</v>
      </c>
      <c r="CS97" s="27">
        <f t="shared" si="138"/>
        <v>0</v>
      </c>
      <c r="CT97" s="18" t="s">
        <v>84</v>
      </c>
      <c r="CU97" s="38" t="e">
        <f aca="true" t="shared" si="147" ref="CU97:DF97">+CG97/$CS$97</f>
        <v>#DIV/0!</v>
      </c>
      <c r="CV97" s="38" t="e">
        <f t="shared" si="147"/>
        <v>#DIV/0!</v>
      </c>
      <c r="CW97" s="38" t="e">
        <f t="shared" si="147"/>
        <v>#DIV/0!</v>
      </c>
      <c r="CX97" s="38" t="e">
        <f t="shared" si="147"/>
        <v>#DIV/0!</v>
      </c>
      <c r="CY97" s="38" t="e">
        <f t="shared" si="147"/>
        <v>#DIV/0!</v>
      </c>
      <c r="CZ97" s="38" t="e">
        <f t="shared" si="147"/>
        <v>#DIV/0!</v>
      </c>
      <c r="DA97" s="38" t="e">
        <f t="shared" si="147"/>
        <v>#DIV/0!</v>
      </c>
      <c r="DB97" s="38" t="e">
        <f t="shared" si="147"/>
        <v>#DIV/0!</v>
      </c>
      <c r="DC97" s="38" t="e">
        <f t="shared" si="147"/>
        <v>#DIV/0!</v>
      </c>
      <c r="DD97" s="38" t="e">
        <f t="shared" si="147"/>
        <v>#DIV/0!</v>
      </c>
      <c r="DE97" s="38" t="e">
        <f t="shared" si="147"/>
        <v>#DIV/0!</v>
      </c>
      <c r="DF97" s="38" t="e">
        <f t="shared" si="147"/>
        <v>#DIV/0!</v>
      </c>
      <c r="DG97" s="29" t="e">
        <f t="shared" si="91"/>
        <v>#DIV/0!</v>
      </c>
    </row>
    <row r="98" spans="1:124" ht="13.5" customHeight="1">
      <c r="A98" s="14" t="s">
        <v>85</v>
      </c>
      <c r="B98" s="15"/>
      <c r="C98" s="16"/>
      <c r="D98" s="16"/>
      <c r="E98" s="16"/>
      <c r="F98" s="16"/>
      <c r="G98" s="16"/>
      <c r="H98" s="16"/>
      <c r="I98" s="16"/>
      <c r="J98" s="16"/>
      <c r="K98" s="15"/>
      <c r="L98" s="15"/>
      <c r="M98" s="15"/>
      <c r="N98" s="17">
        <f t="shared" si="122"/>
        <v>0</v>
      </c>
      <c r="O98" s="18" t="s">
        <v>85</v>
      </c>
      <c r="P98" s="30">
        <v>0</v>
      </c>
      <c r="Q98" s="30">
        <v>0</v>
      </c>
      <c r="R98" s="27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27">
        <v>2415730</v>
      </c>
      <c r="Z98" s="31">
        <v>2415730</v>
      </c>
      <c r="AA98" s="27">
        <v>0</v>
      </c>
      <c r="AB98" s="22">
        <f t="shared" si="123"/>
        <v>4831460</v>
      </c>
      <c r="AC98" s="18" t="s">
        <v>85</v>
      </c>
      <c r="AD98" s="23">
        <f aca="true" t="shared" si="148" ref="AD98:AO98">SUM(AD99:AD100)</f>
        <v>24343197</v>
      </c>
      <c r="AE98" s="23">
        <f t="shared" si="148"/>
        <v>0</v>
      </c>
      <c r="AF98" s="23">
        <f t="shared" si="148"/>
        <v>0</v>
      </c>
      <c r="AG98" s="23">
        <f t="shared" si="148"/>
        <v>0</v>
      </c>
      <c r="AH98" s="23">
        <f t="shared" si="148"/>
        <v>28189842</v>
      </c>
      <c r="AI98" s="23">
        <f t="shared" si="148"/>
        <v>0</v>
      </c>
      <c r="AJ98" s="23">
        <f t="shared" si="148"/>
        <v>93731113</v>
      </c>
      <c r="AK98" s="23">
        <f t="shared" si="148"/>
        <v>24051176</v>
      </c>
      <c r="AL98" s="23">
        <f t="shared" si="148"/>
        <v>0</v>
      </c>
      <c r="AM98" s="23">
        <f t="shared" si="148"/>
        <v>0</v>
      </c>
      <c r="AN98" s="23">
        <f t="shared" si="148"/>
        <v>0</v>
      </c>
      <c r="AO98" s="23">
        <f t="shared" si="148"/>
        <v>0</v>
      </c>
      <c r="AP98" s="24">
        <f t="shared" si="124"/>
        <v>170315328</v>
      </c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4">
        <f t="shared" si="125"/>
        <v>0</v>
      </c>
      <c r="BD98" s="37" t="s">
        <v>171</v>
      </c>
      <c r="BE98" s="7">
        <v>0</v>
      </c>
      <c r="BF98" s="52">
        <v>0</v>
      </c>
      <c r="BG98" s="27">
        <v>0</v>
      </c>
      <c r="BH98" s="27">
        <v>37340</v>
      </c>
      <c r="BI98" s="63">
        <v>0</v>
      </c>
      <c r="BJ98" s="27">
        <v>37340</v>
      </c>
      <c r="BK98" s="64">
        <v>37881</v>
      </c>
      <c r="BL98" s="65">
        <v>0</v>
      </c>
      <c r="BM98" s="66">
        <v>0</v>
      </c>
      <c r="BN98" s="65">
        <v>0</v>
      </c>
      <c r="BO98" s="64">
        <v>93921</v>
      </c>
      <c r="BP98" s="65">
        <v>0</v>
      </c>
      <c r="BQ98" s="24">
        <f t="shared" si="98"/>
        <v>206482</v>
      </c>
      <c r="CE98" s="24"/>
      <c r="CF98" s="26" t="s">
        <v>85</v>
      </c>
      <c r="CG98" s="27">
        <f t="shared" si="126"/>
        <v>6085799.25</v>
      </c>
      <c r="CH98" s="27">
        <f t="shared" si="127"/>
        <v>0</v>
      </c>
      <c r="CI98" s="27">
        <f t="shared" si="128"/>
        <v>0</v>
      </c>
      <c r="CJ98" s="27">
        <f t="shared" si="129"/>
        <v>0</v>
      </c>
      <c r="CK98" s="27">
        <f t="shared" si="130"/>
        <v>7047460.5</v>
      </c>
      <c r="CL98" s="27">
        <f t="shared" si="131"/>
        <v>0</v>
      </c>
      <c r="CM98" s="27">
        <f t="shared" si="132"/>
        <v>23432778.25</v>
      </c>
      <c r="CN98" s="27">
        <f t="shared" si="133"/>
        <v>6012794</v>
      </c>
      <c r="CO98" s="27">
        <f t="shared" si="134"/>
        <v>0</v>
      </c>
      <c r="CP98" s="27">
        <f t="shared" si="135"/>
        <v>603932.5</v>
      </c>
      <c r="CQ98" s="27">
        <f t="shared" si="136"/>
        <v>603932.5</v>
      </c>
      <c r="CR98" s="27">
        <f t="shared" si="137"/>
        <v>0</v>
      </c>
      <c r="CS98" s="37"/>
      <c r="CT98" s="18" t="s">
        <v>85</v>
      </c>
      <c r="DG98" s="29"/>
      <c r="DH98" s="37" t="s">
        <v>171</v>
      </c>
      <c r="DI98" s="7">
        <v>0</v>
      </c>
      <c r="DJ98" s="52">
        <v>0</v>
      </c>
      <c r="DK98" s="27">
        <v>0</v>
      </c>
      <c r="DL98" s="27">
        <v>37340</v>
      </c>
      <c r="DM98" s="63">
        <v>0</v>
      </c>
      <c r="DN98" s="27">
        <v>37340</v>
      </c>
      <c r="DO98" s="64">
        <v>37881</v>
      </c>
      <c r="DP98" s="65">
        <v>0</v>
      </c>
      <c r="DQ98" s="66">
        <v>0</v>
      </c>
      <c r="DR98" s="65">
        <v>0</v>
      </c>
      <c r="DS98" s="64">
        <v>93921</v>
      </c>
      <c r="DT98" s="65">
        <v>0</v>
      </c>
    </row>
    <row r="99" spans="1:111" ht="13.5" customHeight="1">
      <c r="A99" s="14" t="s">
        <v>86</v>
      </c>
      <c r="B99" s="15"/>
      <c r="C99" s="36"/>
      <c r="D99" s="36"/>
      <c r="E99" s="36"/>
      <c r="F99" s="36"/>
      <c r="G99" s="36"/>
      <c r="H99" s="36"/>
      <c r="I99" s="36"/>
      <c r="J99" s="36"/>
      <c r="K99" s="15"/>
      <c r="L99" s="15"/>
      <c r="M99" s="15"/>
      <c r="N99" s="17">
        <f t="shared" si="122"/>
        <v>0</v>
      </c>
      <c r="O99" s="18" t="s">
        <v>86</v>
      </c>
      <c r="P99" s="30">
        <v>0</v>
      </c>
      <c r="Q99" s="30">
        <v>0</v>
      </c>
      <c r="R99" s="27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27">
        <v>0</v>
      </c>
      <c r="Z99" s="31">
        <v>0</v>
      </c>
      <c r="AA99" s="27">
        <v>0</v>
      </c>
      <c r="AB99" s="22">
        <f t="shared" si="123"/>
        <v>0</v>
      </c>
      <c r="AC99" s="18" t="s">
        <v>86</v>
      </c>
      <c r="AD99" s="23"/>
      <c r="AE99" s="23"/>
      <c r="AF99" s="23"/>
      <c r="AG99" s="23"/>
      <c r="AH99" s="23"/>
      <c r="AI99" s="23"/>
      <c r="AJ99" s="23">
        <v>93731113</v>
      </c>
      <c r="AK99" s="23"/>
      <c r="AL99" s="23"/>
      <c r="AM99" s="23"/>
      <c r="AN99" s="23"/>
      <c r="AO99" s="23"/>
      <c r="AP99" s="24">
        <f t="shared" si="124"/>
        <v>93731113</v>
      </c>
      <c r="AQ99" s="23">
        <v>0</v>
      </c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4">
        <f t="shared" si="125"/>
        <v>0</v>
      </c>
      <c r="BQ99" s="24">
        <f t="shared" si="98"/>
        <v>0</v>
      </c>
      <c r="CE99" s="24"/>
      <c r="CF99" s="26" t="s">
        <v>86</v>
      </c>
      <c r="CG99" s="27">
        <f t="shared" si="126"/>
        <v>0</v>
      </c>
      <c r="CH99" s="27">
        <f t="shared" si="127"/>
        <v>0</v>
      </c>
      <c r="CI99" s="27">
        <f t="shared" si="128"/>
        <v>0</v>
      </c>
      <c r="CJ99" s="27">
        <f t="shared" si="129"/>
        <v>0</v>
      </c>
      <c r="CK99" s="27">
        <f t="shared" si="130"/>
        <v>0</v>
      </c>
      <c r="CL99" s="27">
        <f t="shared" si="131"/>
        <v>0</v>
      </c>
      <c r="CM99" s="27">
        <f t="shared" si="132"/>
        <v>23432778.25</v>
      </c>
      <c r="CN99" s="27">
        <f t="shared" si="133"/>
        <v>0</v>
      </c>
      <c r="CO99" s="27">
        <f t="shared" si="134"/>
        <v>0</v>
      </c>
      <c r="CP99" s="27">
        <f t="shared" si="135"/>
        <v>0</v>
      </c>
      <c r="CQ99" s="27">
        <f t="shared" si="136"/>
        <v>0</v>
      </c>
      <c r="CR99" s="27">
        <f t="shared" si="137"/>
        <v>0</v>
      </c>
      <c r="CS99" s="27">
        <f>+SUM(CG99:CR99)</f>
        <v>23432778.25</v>
      </c>
      <c r="CT99" s="18" t="s">
        <v>86</v>
      </c>
      <c r="CU99" s="28">
        <f aca="true" t="shared" si="149" ref="CU99:DF99">+CG99/$CS$99</f>
        <v>0</v>
      </c>
      <c r="CV99" s="28">
        <f t="shared" si="149"/>
        <v>0</v>
      </c>
      <c r="CW99" s="28">
        <f t="shared" si="149"/>
        <v>0</v>
      </c>
      <c r="CX99" s="28">
        <f t="shared" si="149"/>
        <v>0</v>
      </c>
      <c r="CY99" s="28">
        <f t="shared" si="149"/>
        <v>0</v>
      </c>
      <c r="CZ99" s="28">
        <f t="shared" si="149"/>
        <v>0</v>
      </c>
      <c r="DA99" s="28">
        <f t="shared" si="149"/>
        <v>1</v>
      </c>
      <c r="DB99" s="28">
        <f t="shared" si="149"/>
        <v>0</v>
      </c>
      <c r="DC99" s="28">
        <f t="shared" si="149"/>
        <v>0</v>
      </c>
      <c r="DD99" s="28">
        <f t="shared" si="149"/>
        <v>0</v>
      </c>
      <c r="DE99" s="28">
        <f t="shared" si="149"/>
        <v>0</v>
      </c>
      <c r="DF99" s="28">
        <f t="shared" si="149"/>
        <v>0</v>
      </c>
      <c r="DG99" s="29">
        <f>+SUM(CU99:DF99)</f>
        <v>1</v>
      </c>
    </row>
    <row r="100" spans="1:138" ht="13.5" customHeight="1">
      <c r="A100" s="14" t="s">
        <v>87</v>
      </c>
      <c r="B100" s="15"/>
      <c r="C100" s="42"/>
      <c r="D100" s="42"/>
      <c r="E100" s="42"/>
      <c r="F100" s="42"/>
      <c r="G100" s="42"/>
      <c r="H100" s="42"/>
      <c r="I100" s="42"/>
      <c r="J100" s="42"/>
      <c r="K100" s="15"/>
      <c r="L100" s="15"/>
      <c r="M100" s="15"/>
      <c r="N100" s="17">
        <f t="shared" si="122"/>
        <v>0</v>
      </c>
      <c r="O100" s="18" t="s">
        <v>87</v>
      </c>
      <c r="P100" s="30">
        <v>0</v>
      </c>
      <c r="Q100" s="30">
        <v>0</v>
      </c>
      <c r="R100" s="27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27">
        <v>2415730</v>
      </c>
      <c r="Z100" s="31">
        <v>2415730</v>
      </c>
      <c r="AA100" s="27">
        <v>0</v>
      </c>
      <c r="AB100" s="22">
        <f t="shared" si="123"/>
        <v>4831460</v>
      </c>
      <c r="AC100" s="18" t="s">
        <v>87</v>
      </c>
      <c r="AD100" s="23">
        <v>24343197</v>
      </c>
      <c r="AE100" s="23"/>
      <c r="AF100" s="23"/>
      <c r="AG100" s="23"/>
      <c r="AH100" s="23">
        <v>28189842</v>
      </c>
      <c r="AI100" s="23"/>
      <c r="AJ100" s="23"/>
      <c r="AK100" s="23">
        <v>24051176</v>
      </c>
      <c r="AL100" s="23"/>
      <c r="AM100" s="23"/>
      <c r="AN100" s="23"/>
      <c r="AO100" s="23"/>
      <c r="AP100" s="24">
        <f t="shared" si="124"/>
        <v>76584215</v>
      </c>
      <c r="AQ100" s="23">
        <v>45253532</v>
      </c>
      <c r="AR100" s="23">
        <v>5245020</v>
      </c>
      <c r="AS100" s="23"/>
      <c r="AT100" s="23"/>
      <c r="AU100" s="23">
        <v>181518829</v>
      </c>
      <c r="AV100" s="23"/>
      <c r="AW100" s="23"/>
      <c r="AX100" s="23"/>
      <c r="AY100" s="23"/>
      <c r="AZ100" s="23"/>
      <c r="BA100" s="23"/>
      <c r="BB100" s="23"/>
      <c r="BC100" s="24">
        <f t="shared" si="125"/>
        <v>232017381</v>
      </c>
      <c r="BD100" s="37" t="s">
        <v>172</v>
      </c>
      <c r="BE100" s="7">
        <v>0</v>
      </c>
      <c r="BF100" s="52">
        <v>0</v>
      </c>
      <c r="BG100" s="27">
        <v>0</v>
      </c>
      <c r="BH100" s="27">
        <v>37340</v>
      </c>
      <c r="BI100" s="63">
        <v>0</v>
      </c>
      <c r="BJ100" s="27">
        <v>37340</v>
      </c>
      <c r="BK100" s="64">
        <v>37881</v>
      </c>
      <c r="BL100" s="65">
        <v>0</v>
      </c>
      <c r="BM100" s="66">
        <v>0</v>
      </c>
      <c r="BN100" s="65">
        <v>0</v>
      </c>
      <c r="BO100" s="64">
        <v>93921</v>
      </c>
      <c r="BP100" s="65">
        <v>0</v>
      </c>
      <c r="BQ100" s="24">
        <f t="shared" si="98"/>
        <v>206482</v>
      </c>
      <c r="BR100" s="7" t="s">
        <v>85</v>
      </c>
      <c r="BS100" s="52">
        <v>29035</v>
      </c>
      <c r="BT100" s="52">
        <v>282998</v>
      </c>
      <c r="BU100" s="52">
        <v>14003</v>
      </c>
      <c r="BV100" s="52">
        <v>196198</v>
      </c>
      <c r="BW100" s="52">
        <v>65025</v>
      </c>
      <c r="BX100" s="52">
        <v>21776</v>
      </c>
      <c r="BY100" s="7">
        <v>0</v>
      </c>
      <c r="BZ100" s="52">
        <v>234182</v>
      </c>
      <c r="CA100" s="52">
        <v>249256</v>
      </c>
      <c r="CB100" s="7">
        <v>0</v>
      </c>
      <c r="CC100" s="7">
        <v>112165</v>
      </c>
      <c r="CD100" s="60">
        <v>12463</v>
      </c>
      <c r="CE100" s="24"/>
      <c r="CF100" s="26" t="s">
        <v>87</v>
      </c>
      <c r="CG100" s="27">
        <f t="shared" si="126"/>
        <v>17399182.25</v>
      </c>
      <c r="CH100" s="27">
        <f t="shared" si="127"/>
        <v>1311255</v>
      </c>
      <c r="CI100" s="27">
        <f t="shared" si="128"/>
        <v>0</v>
      </c>
      <c r="CJ100" s="27">
        <f t="shared" si="129"/>
        <v>0</v>
      </c>
      <c r="CK100" s="27">
        <f t="shared" si="130"/>
        <v>52427167.75</v>
      </c>
      <c r="CL100" s="27">
        <f t="shared" si="131"/>
        <v>0</v>
      </c>
      <c r="CM100" s="27">
        <f t="shared" si="132"/>
        <v>0</v>
      </c>
      <c r="CN100" s="27">
        <f t="shared" si="133"/>
        <v>6012794</v>
      </c>
      <c r="CO100" s="27">
        <f t="shared" si="134"/>
        <v>0</v>
      </c>
      <c r="CP100" s="27">
        <f t="shared" si="135"/>
        <v>603932.5</v>
      </c>
      <c r="CQ100" s="27">
        <f t="shared" si="136"/>
        <v>603932.5</v>
      </c>
      <c r="CR100" s="27">
        <f t="shared" si="137"/>
        <v>0</v>
      </c>
      <c r="CS100" s="27">
        <f>+SUM(CG100:CR100)</f>
        <v>78358264</v>
      </c>
      <c r="CT100" s="18" t="s">
        <v>87</v>
      </c>
      <c r="CU100" s="28">
        <f aca="true" t="shared" si="150" ref="CU100:DF100">+CG100/$CS$100</f>
        <v>0.22204655082710867</v>
      </c>
      <c r="CV100" s="28">
        <f t="shared" si="150"/>
        <v>0.01673409967326484</v>
      </c>
      <c r="CW100" s="28">
        <f t="shared" si="150"/>
        <v>0</v>
      </c>
      <c r="CX100" s="28">
        <f t="shared" si="150"/>
        <v>0</v>
      </c>
      <c r="CY100" s="28">
        <f t="shared" si="150"/>
        <v>0.6690700517561237</v>
      </c>
      <c r="CZ100" s="28">
        <f t="shared" si="150"/>
        <v>0</v>
      </c>
      <c r="DA100" s="28">
        <f t="shared" si="150"/>
        <v>0</v>
      </c>
      <c r="DB100" s="28">
        <f t="shared" si="150"/>
        <v>0.07673465047668744</v>
      </c>
      <c r="DC100" s="28">
        <f t="shared" si="150"/>
        <v>0</v>
      </c>
      <c r="DD100" s="28">
        <f t="shared" si="150"/>
        <v>0.0077073236334077025</v>
      </c>
      <c r="DE100" s="28">
        <f t="shared" si="150"/>
        <v>0.0077073236334077025</v>
      </c>
      <c r="DF100" s="28">
        <f t="shared" si="150"/>
        <v>0</v>
      </c>
      <c r="DG100" s="29">
        <f>+SUM(CU100:DF100)</f>
        <v>1</v>
      </c>
      <c r="DH100" s="37" t="s">
        <v>172</v>
      </c>
      <c r="DI100" s="7">
        <v>0</v>
      </c>
      <c r="DJ100" s="52">
        <v>0</v>
      </c>
      <c r="DK100" s="27">
        <v>0</v>
      </c>
      <c r="DL100" s="27">
        <v>37340</v>
      </c>
      <c r="DM100" s="63">
        <v>0</v>
      </c>
      <c r="DN100" s="27">
        <v>37340</v>
      </c>
      <c r="DO100" s="64">
        <v>37881</v>
      </c>
      <c r="DP100" s="65">
        <v>0</v>
      </c>
      <c r="DQ100" s="66">
        <v>0</v>
      </c>
      <c r="DR100" s="65">
        <v>0</v>
      </c>
      <c r="DS100" s="64">
        <v>93921</v>
      </c>
      <c r="DT100" s="65">
        <v>0</v>
      </c>
      <c r="DV100" s="7" t="s">
        <v>85</v>
      </c>
      <c r="DW100" s="52">
        <v>29035</v>
      </c>
      <c r="DX100" s="52">
        <v>282998</v>
      </c>
      <c r="DY100" s="52">
        <v>14003</v>
      </c>
      <c r="DZ100" s="52">
        <v>196198</v>
      </c>
      <c r="EA100" s="52">
        <v>65025</v>
      </c>
      <c r="EB100" s="52">
        <v>21776</v>
      </c>
      <c r="EC100" s="7">
        <v>0</v>
      </c>
      <c r="ED100" s="52">
        <v>234182</v>
      </c>
      <c r="EE100" s="52">
        <v>249256</v>
      </c>
      <c r="EF100" s="7">
        <v>0</v>
      </c>
      <c r="EG100" s="7">
        <v>112165</v>
      </c>
      <c r="EH100" s="60">
        <v>12463</v>
      </c>
    </row>
    <row r="101" spans="1:124" ht="13.5" customHeight="1">
      <c r="A101" s="14" t="s">
        <v>88</v>
      </c>
      <c r="B101" s="15"/>
      <c r="C101" s="16"/>
      <c r="D101" s="16"/>
      <c r="E101" s="16"/>
      <c r="F101" s="16"/>
      <c r="G101" s="16"/>
      <c r="H101" s="16"/>
      <c r="I101" s="16"/>
      <c r="J101" s="16"/>
      <c r="K101" s="15"/>
      <c r="L101" s="15"/>
      <c r="M101" s="15"/>
      <c r="N101" s="17">
        <f t="shared" si="122"/>
        <v>0</v>
      </c>
      <c r="O101" s="43" t="s">
        <v>88</v>
      </c>
      <c r="P101" s="44">
        <f aca="true" t="shared" si="151" ref="P101:AA101">+P102</f>
        <v>19892779</v>
      </c>
      <c r="Q101" s="44">
        <f t="shared" si="151"/>
        <v>0</v>
      </c>
      <c r="R101" s="44">
        <f t="shared" si="151"/>
        <v>0</v>
      </c>
      <c r="S101" s="44">
        <f t="shared" si="151"/>
        <v>0</v>
      </c>
      <c r="T101" s="44">
        <f t="shared" si="151"/>
        <v>0</v>
      </c>
      <c r="U101" s="44">
        <f t="shared" si="151"/>
        <v>0</v>
      </c>
      <c r="V101" s="44">
        <f t="shared" si="151"/>
        <v>16236540.5</v>
      </c>
      <c r="W101" s="44">
        <f t="shared" si="151"/>
        <v>0</v>
      </c>
      <c r="X101" s="44">
        <f t="shared" si="151"/>
        <v>0</v>
      </c>
      <c r="Y101" s="44">
        <f t="shared" si="151"/>
        <v>0</v>
      </c>
      <c r="Z101" s="44">
        <f t="shared" si="151"/>
        <v>0</v>
      </c>
      <c r="AA101" s="44">
        <f t="shared" si="151"/>
        <v>0</v>
      </c>
      <c r="AB101" s="22">
        <f t="shared" si="123"/>
        <v>36129319.5</v>
      </c>
      <c r="AC101" s="43" t="s">
        <v>88</v>
      </c>
      <c r="AD101" s="23">
        <f aca="true" t="shared" si="152" ref="AD101:AO101">SUM(AD102)</f>
        <v>0</v>
      </c>
      <c r="AE101" s="23">
        <f t="shared" si="152"/>
        <v>12812908</v>
      </c>
      <c r="AF101" s="23">
        <f t="shared" si="152"/>
        <v>0</v>
      </c>
      <c r="AG101" s="23">
        <f t="shared" si="152"/>
        <v>0</v>
      </c>
      <c r="AH101" s="23">
        <f t="shared" si="152"/>
        <v>0</v>
      </c>
      <c r="AI101" s="23">
        <f t="shared" si="152"/>
        <v>0</v>
      </c>
      <c r="AJ101" s="23">
        <f t="shared" si="152"/>
        <v>0</v>
      </c>
      <c r="AK101" s="23">
        <f t="shared" si="152"/>
        <v>15324156</v>
      </c>
      <c r="AL101" s="23">
        <f t="shared" si="152"/>
        <v>0</v>
      </c>
      <c r="AM101" s="23">
        <f t="shared" si="152"/>
        <v>0</v>
      </c>
      <c r="AN101" s="23">
        <f t="shared" si="152"/>
        <v>7030038</v>
      </c>
      <c r="AO101" s="23">
        <f t="shared" si="152"/>
        <v>0</v>
      </c>
      <c r="AP101" s="24">
        <f t="shared" si="124"/>
        <v>35167102</v>
      </c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4">
        <f t="shared" si="125"/>
        <v>0</v>
      </c>
      <c r="BD101" s="37" t="s">
        <v>173</v>
      </c>
      <c r="BE101" s="7">
        <v>0</v>
      </c>
      <c r="BF101" s="52">
        <v>0</v>
      </c>
      <c r="BG101" s="27">
        <v>0</v>
      </c>
      <c r="BH101" s="27">
        <v>0</v>
      </c>
      <c r="BI101" s="63">
        <v>0</v>
      </c>
      <c r="BJ101" s="27">
        <v>0</v>
      </c>
      <c r="BK101" s="64">
        <v>0</v>
      </c>
      <c r="BL101" s="65">
        <v>0</v>
      </c>
      <c r="BM101" s="66">
        <v>0</v>
      </c>
      <c r="BN101" s="65">
        <v>0</v>
      </c>
      <c r="BO101" s="64">
        <v>0</v>
      </c>
      <c r="BP101" s="65">
        <v>18362</v>
      </c>
      <c r="BQ101" s="24">
        <f t="shared" si="98"/>
        <v>18362</v>
      </c>
      <c r="CE101" s="24"/>
      <c r="CF101" s="45" t="s">
        <v>88</v>
      </c>
      <c r="CG101" s="27">
        <f t="shared" si="126"/>
        <v>4973194.75</v>
      </c>
      <c r="CH101" s="27">
        <f t="shared" si="127"/>
        <v>3203227</v>
      </c>
      <c r="CI101" s="27">
        <f t="shared" si="128"/>
        <v>0</v>
      </c>
      <c r="CJ101" s="27">
        <f t="shared" si="129"/>
        <v>0</v>
      </c>
      <c r="CK101" s="27">
        <f t="shared" si="130"/>
        <v>0</v>
      </c>
      <c r="CL101" s="27">
        <f t="shared" si="131"/>
        <v>0</v>
      </c>
      <c r="CM101" s="27">
        <f t="shared" si="132"/>
        <v>4059135.125</v>
      </c>
      <c r="CN101" s="27">
        <f t="shared" si="133"/>
        <v>3831039</v>
      </c>
      <c r="CO101" s="27">
        <f t="shared" si="134"/>
        <v>0</v>
      </c>
      <c r="CP101" s="27">
        <f t="shared" si="135"/>
        <v>0</v>
      </c>
      <c r="CQ101" s="27">
        <f t="shared" si="136"/>
        <v>1757509.5</v>
      </c>
      <c r="CR101" s="27">
        <f t="shared" si="137"/>
        <v>0</v>
      </c>
      <c r="CS101" s="37"/>
      <c r="CT101" s="43" t="s">
        <v>88</v>
      </c>
      <c r="DG101" s="29"/>
      <c r="DH101" s="37" t="s">
        <v>173</v>
      </c>
      <c r="DI101" s="7">
        <v>0</v>
      </c>
      <c r="DJ101" s="52">
        <v>0</v>
      </c>
      <c r="DK101" s="27">
        <v>0</v>
      </c>
      <c r="DL101" s="27">
        <v>0</v>
      </c>
      <c r="DM101" s="63">
        <v>0</v>
      </c>
      <c r="DN101" s="27">
        <v>0</v>
      </c>
      <c r="DO101" s="64">
        <v>0</v>
      </c>
      <c r="DP101" s="65">
        <v>0</v>
      </c>
      <c r="DQ101" s="66">
        <v>0</v>
      </c>
      <c r="DR101" s="65">
        <v>0</v>
      </c>
      <c r="DS101" s="64">
        <v>0</v>
      </c>
      <c r="DT101" s="65">
        <v>18362</v>
      </c>
    </row>
    <row r="102" spans="1:124" ht="13.5" customHeight="1">
      <c r="A102" s="14" t="s">
        <v>89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5"/>
      <c r="L102" s="15"/>
      <c r="M102" s="15"/>
      <c r="N102" s="17">
        <f t="shared" si="122"/>
        <v>0</v>
      </c>
      <c r="O102" s="18" t="s">
        <v>89</v>
      </c>
      <c r="P102" s="30">
        <v>19892779</v>
      </c>
      <c r="Q102" s="30">
        <v>0</v>
      </c>
      <c r="R102" s="27">
        <v>0</v>
      </c>
      <c r="S102" s="31">
        <v>0</v>
      </c>
      <c r="T102" s="31">
        <v>0</v>
      </c>
      <c r="U102" s="31">
        <v>0</v>
      </c>
      <c r="V102" s="31">
        <v>16236540.5</v>
      </c>
      <c r="W102" s="31">
        <v>0</v>
      </c>
      <c r="X102" s="31">
        <v>0</v>
      </c>
      <c r="Y102" s="27">
        <v>0</v>
      </c>
      <c r="Z102" s="31">
        <v>0</v>
      </c>
      <c r="AA102" s="27">
        <v>0</v>
      </c>
      <c r="AB102" s="22">
        <f t="shared" si="123"/>
        <v>36129319.5</v>
      </c>
      <c r="AC102" s="18" t="s">
        <v>89</v>
      </c>
      <c r="AD102" s="23"/>
      <c r="AE102" s="23">
        <v>12812908</v>
      </c>
      <c r="AF102" s="23"/>
      <c r="AG102" s="23"/>
      <c r="AH102" s="23"/>
      <c r="AI102" s="23"/>
      <c r="AJ102" s="23"/>
      <c r="AK102" s="23">
        <v>15324156</v>
      </c>
      <c r="AL102" s="23"/>
      <c r="AM102" s="23"/>
      <c r="AN102" s="23">
        <v>7030038</v>
      </c>
      <c r="AO102" s="23"/>
      <c r="AP102" s="24">
        <f t="shared" si="124"/>
        <v>35167102</v>
      </c>
      <c r="AQ102" s="23">
        <v>0</v>
      </c>
      <c r="AR102" s="23">
        <v>3107591</v>
      </c>
      <c r="AS102" s="23"/>
      <c r="AT102" s="23"/>
      <c r="AU102" s="23">
        <v>0</v>
      </c>
      <c r="AV102" s="23"/>
      <c r="AW102" s="23"/>
      <c r="AX102" s="23"/>
      <c r="AY102" s="23"/>
      <c r="AZ102" s="23"/>
      <c r="BA102" s="23"/>
      <c r="BB102" s="23"/>
      <c r="BC102" s="24">
        <f t="shared" si="125"/>
        <v>3107591</v>
      </c>
      <c r="BD102" s="37" t="s">
        <v>174</v>
      </c>
      <c r="BE102" s="7">
        <v>0</v>
      </c>
      <c r="BF102" s="52">
        <v>0</v>
      </c>
      <c r="BG102" s="27">
        <v>0</v>
      </c>
      <c r="BH102" s="27">
        <v>254346</v>
      </c>
      <c r="BI102" s="63">
        <v>0</v>
      </c>
      <c r="BJ102" s="27">
        <v>0</v>
      </c>
      <c r="BK102" s="64">
        <v>0</v>
      </c>
      <c r="BL102" s="65">
        <v>0</v>
      </c>
      <c r="BM102" s="66">
        <v>0</v>
      </c>
      <c r="BN102" s="65">
        <v>0</v>
      </c>
      <c r="BO102" s="64">
        <v>0</v>
      </c>
      <c r="BP102" s="65">
        <v>0</v>
      </c>
      <c r="BQ102" s="24">
        <f t="shared" si="98"/>
        <v>254346</v>
      </c>
      <c r="CE102" s="24"/>
      <c r="CF102" s="26" t="s">
        <v>89</v>
      </c>
      <c r="CG102" s="27">
        <f t="shared" si="126"/>
        <v>4973194.75</v>
      </c>
      <c r="CH102" s="27">
        <f t="shared" si="127"/>
        <v>3980124.75</v>
      </c>
      <c r="CI102" s="27">
        <f t="shared" si="128"/>
        <v>0</v>
      </c>
      <c r="CJ102" s="27">
        <f t="shared" si="129"/>
        <v>0</v>
      </c>
      <c r="CK102" s="27">
        <f t="shared" si="130"/>
        <v>0</v>
      </c>
      <c r="CL102" s="27">
        <f t="shared" si="131"/>
        <v>0</v>
      </c>
      <c r="CM102" s="27">
        <f t="shared" si="132"/>
        <v>4059135.125</v>
      </c>
      <c r="CN102" s="27">
        <f t="shared" si="133"/>
        <v>3831039</v>
      </c>
      <c r="CO102" s="27">
        <f t="shared" si="134"/>
        <v>0</v>
      </c>
      <c r="CP102" s="27">
        <f t="shared" si="135"/>
        <v>0</v>
      </c>
      <c r="CQ102" s="27">
        <f t="shared" si="136"/>
        <v>1757509.5</v>
      </c>
      <c r="CR102" s="27">
        <f t="shared" si="137"/>
        <v>0</v>
      </c>
      <c r="CS102" s="27">
        <f>+SUM(CG102:CR102)</f>
        <v>18601003.125</v>
      </c>
      <c r="CT102" s="18" t="s">
        <v>89</v>
      </c>
      <c r="CU102" s="28">
        <f aca="true" t="shared" si="153" ref="CU102:DF102">+CG102/$CS$102</f>
        <v>0.26736164262646456</v>
      </c>
      <c r="CV102" s="28">
        <f t="shared" si="153"/>
        <v>0.21397366170272067</v>
      </c>
      <c r="CW102" s="28">
        <f t="shared" si="153"/>
        <v>0</v>
      </c>
      <c r="CX102" s="28">
        <f t="shared" si="153"/>
        <v>0</v>
      </c>
      <c r="CY102" s="28">
        <f t="shared" si="153"/>
        <v>0</v>
      </c>
      <c r="CZ102" s="28">
        <f t="shared" si="153"/>
        <v>0</v>
      </c>
      <c r="DA102" s="28">
        <f t="shared" si="153"/>
        <v>0.2182213022449562</v>
      </c>
      <c r="DB102" s="28">
        <f t="shared" si="153"/>
        <v>0.2059587310563392</v>
      </c>
      <c r="DC102" s="28">
        <f t="shared" si="153"/>
        <v>0</v>
      </c>
      <c r="DD102" s="28">
        <f t="shared" si="153"/>
        <v>0</v>
      </c>
      <c r="DE102" s="28">
        <f t="shared" si="153"/>
        <v>0.09448466236951938</v>
      </c>
      <c r="DF102" s="28">
        <f t="shared" si="153"/>
        <v>0</v>
      </c>
      <c r="DG102" s="29">
        <f>+SUM(CU102:DF102)</f>
        <v>1</v>
      </c>
      <c r="DH102" s="37" t="s">
        <v>174</v>
      </c>
      <c r="DI102" s="7">
        <v>0</v>
      </c>
      <c r="DJ102" s="52">
        <v>0</v>
      </c>
      <c r="DK102" s="27">
        <v>0</v>
      </c>
      <c r="DL102" s="27">
        <v>254346</v>
      </c>
      <c r="DM102" s="63">
        <v>0</v>
      </c>
      <c r="DN102" s="27">
        <v>0</v>
      </c>
      <c r="DO102" s="64">
        <v>0</v>
      </c>
      <c r="DP102" s="65">
        <v>0</v>
      </c>
      <c r="DQ102" s="66">
        <v>0</v>
      </c>
      <c r="DR102" s="65">
        <v>0</v>
      </c>
      <c r="DS102" s="64">
        <v>0</v>
      </c>
      <c r="DT102" s="65">
        <v>0</v>
      </c>
    </row>
    <row r="103" spans="1:138" ht="13.5" customHeight="1">
      <c r="A103" s="14" t="s">
        <v>264</v>
      </c>
      <c r="B103" s="15"/>
      <c r="C103" s="16"/>
      <c r="D103" s="16"/>
      <c r="E103" s="16"/>
      <c r="F103" s="16"/>
      <c r="G103" s="16"/>
      <c r="H103" s="16"/>
      <c r="I103" s="16"/>
      <c r="J103" s="16"/>
      <c r="K103" s="15"/>
      <c r="L103" s="15"/>
      <c r="M103" s="15"/>
      <c r="N103" s="17"/>
      <c r="O103" s="18"/>
      <c r="P103" s="30"/>
      <c r="Q103" s="30"/>
      <c r="R103" s="27"/>
      <c r="S103" s="31"/>
      <c r="T103" s="31"/>
      <c r="U103" s="31"/>
      <c r="V103" s="31"/>
      <c r="W103" s="31"/>
      <c r="X103" s="31"/>
      <c r="Y103" s="27"/>
      <c r="Z103" s="31"/>
      <c r="AA103" s="27"/>
      <c r="AB103" s="22"/>
      <c r="AC103" s="18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4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6"/>
      <c r="BF103" s="52"/>
      <c r="BG103" s="27"/>
      <c r="BH103" s="27"/>
      <c r="BI103" s="63"/>
      <c r="BJ103" s="27"/>
      <c r="BK103" s="64"/>
      <c r="BL103" s="65"/>
      <c r="BM103" s="66"/>
      <c r="BN103" s="65"/>
      <c r="BO103" s="64"/>
      <c r="BP103" s="65"/>
      <c r="BQ103" s="24">
        <f t="shared" si="98"/>
        <v>0</v>
      </c>
      <c r="BR103" s="7" t="s">
        <v>248</v>
      </c>
      <c r="BS103" s="7">
        <v>0</v>
      </c>
      <c r="BT103" s="7">
        <v>0</v>
      </c>
      <c r="BU103" s="52">
        <v>6877</v>
      </c>
      <c r="BV103" s="52">
        <v>5199</v>
      </c>
      <c r="BW103" s="52">
        <v>2713</v>
      </c>
      <c r="BX103" s="52">
        <v>1608</v>
      </c>
      <c r="BY103" s="7">
        <v>0</v>
      </c>
      <c r="BZ103" s="7">
        <v>0</v>
      </c>
      <c r="CA103" s="52">
        <v>2267</v>
      </c>
      <c r="CB103" s="52">
        <v>2077</v>
      </c>
      <c r="CC103" s="7">
        <v>2842</v>
      </c>
      <c r="CD103" s="60">
        <v>5633</v>
      </c>
      <c r="CE103" s="24"/>
      <c r="CF103" s="26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1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29"/>
      <c r="DH103" s="6"/>
      <c r="DJ103" s="52"/>
      <c r="DK103" s="27"/>
      <c r="DL103" s="27"/>
      <c r="DM103" s="63"/>
      <c r="DN103" s="27"/>
      <c r="DO103" s="64"/>
      <c r="DP103" s="65"/>
      <c r="DQ103" s="66"/>
      <c r="DR103" s="65"/>
      <c r="DS103" s="64"/>
      <c r="DT103" s="65"/>
      <c r="DV103" s="7" t="s">
        <v>248</v>
      </c>
      <c r="DW103" s="7">
        <v>0</v>
      </c>
      <c r="DX103" s="7">
        <v>0</v>
      </c>
      <c r="DY103" s="52">
        <v>6877</v>
      </c>
      <c r="DZ103" s="52">
        <v>5199</v>
      </c>
      <c r="EA103" s="52">
        <v>2713</v>
      </c>
      <c r="EB103" s="52">
        <v>1608</v>
      </c>
      <c r="EC103" s="7">
        <v>0</v>
      </c>
      <c r="ED103" s="7">
        <v>0</v>
      </c>
      <c r="EE103" s="52">
        <v>2267</v>
      </c>
      <c r="EF103" s="52">
        <v>2077</v>
      </c>
      <c r="EG103" s="7">
        <v>2842</v>
      </c>
      <c r="EH103" s="60">
        <v>5633</v>
      </c>
    </row>
    <row r="104" spans="1:124" ht="13.5" customHeight="1">
      <c r="A104" s="37" t="s">
        <v>140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5"/>
      <c r="L104" s="15"/>
      <c r="M104" s="15"/>
      <c r="N104" s="17"/>
      <c r="O104" s="18"/>
      <c r="P104" s="30"/>
      <c r="Q104" s="30"/>
      <c r="R104" s="27"/>
      <c r="S104" s="31"/>
      <c r="T104" s="31"/>
      <c r="U104" s="31"/>
      <c r="V104" s="31"/>
      <c r="W104" s="31"/>
      <c r="X104" s="31"/>
      <c r="Y104" s="27"/>
      <c r="Z104" s="31"/>
      <c r="AA104" s="27"/>
      <c r="AB104" s="22"/>
      <c r="AC104" s="18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4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4"/>
      <c r="BE104" s="7">
        <v>16565</v>
      </c>
      <c r="BF104" s="52">
        <v>305359</v>
      </c>
      <c r="BG104" s="27">
        <v>284055</v>
      </c>
      <c r="BH104" s="27">
        <v>1570944</v>
      </c>
      <c r="BI104" s="63">
        <v>280167</v>
      </c>
      <c r="BJ104" s="27">
        <v>302099</v>
      </c>
      <c r="BK104" s="64">
        <v>172858</v>
      </c>
      <c r="BL104" s="65">
        <v>401005</v>
      </c>
      <c r="BM104" s="66">
        <v>197983</v>
      </c>
      <c r="BN104" s="65">
        <v>173345</v>
      </c>
      <c r="BO104" s="64">
        <v>217071</v>
      </c>
      <c r="BP104" s="65">
        <v>569561</v>
      </c>
      <c r="BQ104" s="24">
        <f t="shared" si="98"/>
        <v>4491012</v>
      </c>
      <c r="CE104" s="24"/>
      <c r="CF104" s="26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1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29"/>
      <c r="DI104" s="7">
        <v>16565</v>
      </c>
      <c r="DJ104" s="52">
        <v>305359</v>
      </c>
      <c r="DK104" s="27">
        <v>284055</v>
      </c>
      <c r="DL104" s="27">
        <v>1570944</v>
      </c>
      <c r="DM104" s="63">
        <v>280167</v>
      </c>
      <c r="DN104" s="27">
        <v>302099</v>
      </c>
      <c r="DO104" s="64">
        <v>172858</v>
      </c>
      <c r="DP104" s="65">
        <v>401005</v>
      </c>
      <c r="DQ104" s="66">
        <v>197983</v>
      </c>
      <c r="DR104" s="65">
        <v>173345</v>
      </c>
      <c r="DS104" s="64">
        <v>217071</v>
      </c>
      <c r="DT104" s="65">
        <v>569561</v>
      </c>
    </row>
    <row r="105" spans="1:124" ht="13.5" customHeight="1">
      <c r="A105" s="37" t="s">
        <v>141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5"/>
      <c r="L105" s="15"/>
      <c r="M105" s="15"/>
      <c r="N105" s="17"/>
      <c r="O105" s="18"/>
      <c r="P105" s="30"/>
      <c r="Q105" s="30"/>
      <c r="R105" s="27"/>
      <c r="S105" s="31"/>
      <c r="T105" s="31"/>
      <c r="U105" s="31"/>
      <c r="V105" s="31"/>
      <c r="W105" s="31"/>
      <c r="X105" s="31"/>
      <c r="Y105" s="27"/>
      <c r="Z105" s="31"/>
      <c r="AA105" s="27"/>
      <c r="AB105" s="22"/>
      <c r="AC105" s="18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4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4"/>
      <c r="BE105" s="7">
        <v>0</v>
      </c>
      <c r="BF105" s="52">
        <v>0</v>
      </c>
      <c r="BG105" s="27">
        <v>0</v>
      </c>
      <c r="BH105" s="27">
        <v>776448</v>
      </c>
      <c r="BI105" s="63">
        <v>0</v>
      </c>
      <c r="BJ105" s="27">
        <v>0</v>
      </c>
      <c r="BK105" s="64">
        <v>0</v>
      </c>
      <c r="BL105" s="65">
        <v>0</v>
      </c>
      <c r="BM105" s="66">
        <v>0</v>
      </c>
      <c r="BN105" s="65">
        <v>0</v>
      </c>
      <c r="BO105" s="64">
        <v>0</v>
      </c>
      <c r="BP105" s="65">
        <v>0</v>
      </c>
      <c r="BQ105" s="24">
        <f t="shared" si="98"/>
        <v>776448</v>
      </c>
      <c r="CE105" s="24"/>
      <c r="CF105" s="26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1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29"/>
      <c r="DI105" s="7">
        <v>0</v>
      </c>
      <c r="DJ105" s="52">
        <v>0</v>
      </c>
      <c r="DK105" s="27">
        <v>0</v>
      </c>
      <c r="DL105" s="27">
        <v>776448</v>
      </c>
      <c r="DM105" s="63">
        <v>0</v>
      </c>
      <c r="DN105" s="27">
        <v>0</v>
      </c>
      <c r="DO105" s="64">
        <v>0</v>
      </c>
      <c r="DP105" s="65">
        <v>0</v>
      </c>
      <c r="DQ105" s="66">
        <v>0</v>
      </c>
      <c r="DR105" s="65">
        <v>0</v>
      </c>
      <c r="DS105" s="64">
        <v>0</v>
      </c>
      <c r="DT105" s="65">
        <v>0</v>
      </c>
    </row>
    <row r="106" spans="1:124" ht="15" customHeight="1">
      <c r="A106" s="37" t="s">
        <v>142</v>
      </c>
      <c r="B106" s="15"/>
      <c r="C106" s="16"/>
      <c r="D106" s="16"/>
      <c r="E106" s="16"/>
      <c r="F106" s="16"/>
      <c r="G106" s="16"/>
      <c r="H106" s="16"/>
      <c r="I106" s="16"/>
      <c r="J106" s="16"/>
      <c r="K106" s="15"/>
      <c r="L106" s="15"/>
      <c r="M106" s="15"/>
      <c r="N106" s="17"/>
      <c r="O106" s="18"/>
      <c r="P106" s="30"/>
      <c r="Q106" s="30"/>
      <c r="R106" s="27"/>
      <c r="S106" s="31"/>
      <c r="T106" s="31"/>
      <c r="U106" s="31"/>
      <c r="V106" s="31"/>
      <c r="W106" s="31"/>
      <c r="X106" s="31"/>
      <c r="Y106" s="27"/>
      <c r="Z106" s="31"/>
      <c r="AA106" s="27"/>
      <c r="AB106" s="22"/>
      <c r="AC106" s="18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4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E106" s="7">
        <v>0</v>
      </c>
      <c r="BF106" s="52">
        <v>0</v>
      </c>
      <c r="BG106" s="27">
        <v>0</v>
      </c>
      <c r="BH106" s="27">
        <v>0</v>
      </c>
      <c r="BI106" s="63">
        <v>48091</v>
      </c>
      <c r="BJ106" s="27">
        <v>0</v>
      </c>
      <c r="BK106" s="64">
        <v>48091</v>
      </c>
      <c r="BL106" s="65">
        <v>0</v>
      </c>
      <c r="BM106" s="66">
        <v>0</v>
      </c>
      <c r="BN106" s="65">
        <v>0</v>
      </c>
      <c r="BO106" s="64">
        <v>0</v>
      </c>
      <c r="BP106" s="65">
        <v>0</v>
      </c>
      <c r="BQ106" s="24">
        <f t="shared" si="98"/>
        <v>96182</v>
      </c>
      <c r="CE106" s="24"/>
      <c r="CF106" s="26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1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29"/>
      <c r="DI106" s="7">
        <v>0</v>
      </c>
      <c r="DJ106" s="52">
        <v>0</v>
      </c>
      <c r="DK106" s="27">
        <v>0</v>
      </c>
      <c r="DL106" s="27">
        <v>0</v>
      </c>
      <c r="DM106" s="63">
        <v>48091</v>
      </c>
      <c r="DN106" s="27">
        <v>0</v>
      </c>
      <c r="DO106" s="64">
        <v>48091</v>
      </c>
      <c r="DP106" s="65">
        <v>0</v>
      </c>
      <c r="DQ106" s="66">
        <v>0</v>
      </c>
      <c r="DR106" s="65">
        <v>0</v>
      </c>
      <c r="DS106" s="64">
        <v>0</v>
      </c>
      <c r="DT106" s="65">
        <v>0</v>
      </c>
    </row>
    <row r="107" spans="1:124" ht="15" customHeight="1">
      <c r="A107" s="37" t="s">
        <v>143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5"/>
      <c r="L107" s="15"/>
      <c r="M107" s="15"/>
      <c r="N107" s="17"/>
      <c r="O107" s="18"/>
      <c r="P107" s="30"/>
      <c r="Q107" s="30"/>
      <c r="R107" s="27"/>
      <c r="S107" s="31"/>
      <c r="T107" s="31"/>
      <c r="U107" s="31"/>
      <c r="V107" s="31"/>
      <c r="W107" s="31"/>
      <c r="X107" s="31"/>
      <c r="Y107" s="27"/>
      <c r="Z107" s="31"/>
      <c r="AA107" s="27"/>
      <c r="AB107" s="22"/>
      <c r="AC107" s="18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4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E107" s="7">
        <v>0</v>
      </c>
      <c r="BF107" s="52">
        <v>0</v>
      </c>
      <c r="BG107" s="27">
        <v>0</v>
      </c>
      <c r="BH107" s="27">
        <v>0</v>
      </c>
      <c r="BI107" s="63">
        <v>123663</v>
      </c>
      <c r="BJ107" s="27">
        <v>0</v>
      </c>
      <c r="BK107" s="64">
        <v>123663</v>
      </c>
      <c r="BL107" s="65">
        <v>0</v>
      </c>
      <c r="BM107" s="66">
        <v>0</v>
      </c>
      <c r="BN107" s="65">
        <v>0</v>
      </c>
      <c r="BO107" s="64">
        <v>0</v>
      </c>
      <c r="BP107" s="65">
        <v>0</v>
      </c>
      <c r="BQ107" s="24">
        <f t="shared" si="98"/>
        <v>247326</v>
      </c>
      <c r="CE107" s="24"/>
      <c r="CF107" s="26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1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29"/>
      <c r="DI107" s="7">
        <v>0</v>
      </c>
      <c r="DJ107" s="52">
        <v>0</v>
      </c>
      <c r="DK107" s="27">
        <v>0</v>
      </c>
      <c r="DL107" s="27">
        <v>0</v>
      </c>
      <c r="DM107" s="63">
        <v>123663</v>
      </c>
      <c r="DN107" s="27">
        <v>0</v>
      </c>
      <c r="DO107" s="64">
        <v>123663</v>
      </c>
      <c r="DP107" s="65">
        <v>0</v>
      </c>
      <c r="DQ107" s="66">
        <v>0</v>
      </c>
      <c r="DR107" s="65">
        <v>0</v>
      </c>
      <c r="DS107" s="64">
        <v>0</v>
      </c>
      <c r="DT107" s="65">
        <v>0</v>
      </c>
    </row>
    <row r="108" spans="1:124" ht="15" customHeight="1">
      <c r="A108" s="37" t="s">
        <v>144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5"/>
      <c r="L108" s="15"/>
      <c r="M108" s="15"/>
      <c r="N108" s="17"/>
      <c r="O108" s="18"/>
      <c r="P108" s="30"/>
      <c r="Q108" s="30"/>
      <c r="R108" s="27"/>
      <c r="S108" s="31"/>
      <c r="T108" s="31"/>
      <c r="U108" s="31"/>
      <c r="V108" s="31"/>
      <c r="W108" s="31"/>
      <c r="X108" s="31"/>
      <c r="Y108" s="27"/>
      <c r="Z108" s="31"/>
      <c r="AA108" s="27"/>
      <c r="AB108" s="22"/>
      <c r="AC108" s="18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4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4"/>
      <c r="BE108" s="7">
        <v>0</v>
      </c>
      <c r="BF108" s="52">
        <v>282427</v>
      </c>
      <c r="BG108" s="27">
        <v>282428</v>
      </c>
      <c r="BH108" s="27">
        <v>791510</v>
      </c>
      <c r="BI108" s="63">
        <v>105411</v>
      </c>
      <c r="BJ108" s="27">
        <v>282428</v>
      </c>
      <c r="BK108" s="64">
        <v>0</v>
      </c>
      <c r="BL108" s="65">
        <v>398363</v>
      </c>
      <c r="BM108" s="66">
        <v>177016</v>
      </c>
      <c r="BN108" s="65">
        <v>171754</v>
      </c>
      <c r="BO108" s="64">
        <v>177016</v>
      </c>
      <c r="BP108" s="65">
        <v>567969</v>
      </c>
      <c r="BQ108" s="24">
        <f t="shared" si="98"/>
        <v>3236322</v>
      </c>
      <c r="CE108" s="24"/>
      <c r="CF108" s="26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1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29"/>
      <c r="DI108" s="7">
        <v>0</v>
      </c>
      <c r="DJ108" s="52">
        <v>282427</v>
      </c>
      <c r="DK108" s="27">
        <v>282428</v>
      </c>
      <c r="DL108" s="27">
        <v>791510</v>
      </c>
      <c r="DM108" s="63">
        <v>105411</v>
      </c>
      <c r="DN108" s="27">
        <v>282428</v>
      </c>
      <c r="DO108" s="64">
        <v>0</v>
      </c>
      <c r="DP108" s="65">
        <v>398363</v>
      </c>
      <c r="DQ108" s="66">
        <v>177016</v>
      </c>
      <c r="DR108" s="65">
        <v>171754</v>
      </c>
      <c r="DS108" s="64">
        <v>177016</v>
      </c>
      <c r="DT108" s="65">
        <v>567969</v>
      </c>
    </row>
    <row r="109" spans="1:124" ht="15" customHeight="1">
      <c r="A109" s="37" t="s">
        <v>145</v>
      </c>
      <c r="B109" s="15"/>
      <c r="C109" s="16"/>
      <c r="D109" s="16"/>
      <c r="E109" s="16"/>
      <c r="F109" s="16"/>
      <c r="G109" s="16"/>
      <c r="H109" s="16"/>
      <c r="I109" s="16"/>
      <c r="J109" s="16"/>
      <c r="K109" s="15"/>
      <c r="L109" s="15"/>
      <c r="M109" s="15"/>
      <c r="N109" s="17"/>
      <c r="O109" s="18"/>
      <c r="P109" s="30"/>
      <c r="Q109" s="30"/>
      <c r="R109" s="27"/>
      <c r="S109" s="31"/>
      <c r="T109" s="31"/>
      <c r="U109" s="31"/>
      <c r="V109" s="31"/>
      <c r="W109" s="31"/>
      <c r="X109" s="31"/>
      <c r="Y109" s="27"/>
      <c r="Z109" s="31"/>
      <c r="AA109" s="27"/>
      <c r="AB109" s="22"/>
      <c r="AC109" s="18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4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4"/>
      <c r="BE109" s="7">
        <v>0</v>
      </c>
      <c r="BF109" s="52">
        <v>282427</v>
      </c>
      <c r="BG109" s="27">
        <v>282428</v>
      </c>
      <c r="BH109" s="27">
        <v>791510</v>
      </c>
      <c r="BI109" s="63">
        <v>105411</v>
      </c>
      <c r="BJ109" s="27">
        <v>282428</v>
      </c>
      <c r="BK109" s="64">
        <v>0</v>
      </c>
      <c r="BL109" s="65">
        <v>398363</v>
      </c>
      <c r="BM109" s="66">
        <v>177016</v>
      </c>
      <c r="BN109" s="65">
        <v>171754</v>
      </c>
      <c r="BO109" s="64">
        <v>177016</v>
      </c>
      <c r="BP109" s="65">
        <v>567969</v>
      </c>
      <c r="BQ109" s="24">
        <f t="shared" si="98"/>
        <v>3236322</v>
      </c>
      <c r="CE109" s="24"/>
      <c r="CF109" s="26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1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29"/>
      <c r="DI109" s="7">
        <v>0</v>
      </c>
      <c r="DJ109" s="52">
        <v>282427</v>
      </c>
      <c r="DK109" s="27">
        <v>282428</v>
      </c>
      <c r="DL109" s="27">
        <v>791510</v>
      </c>
      <c r="DM109" s="63">
        <v>105411</v>
      </c>
      <c r="DN109" s="27">
        <v>282428</v>
      </c>
      <c r="DO109" s="64">
        <v>0</v>
      </c>
      <c r="DP109" s="65">
        <v>398363</v>
      </c>
      <c r="DQ109" s="66">
        <v>177016</v>
      </c>
      <c r="DR109" s="65">
        <v>171754</v>
      </c>
      <c r="DS109" s="64">
        <v>177016</v>
      </c>
      <c r="DT109" s="65">
        <v>567969</v>
      </c>
    </row>
    <row r="110" spans="1:138" ht="15" customHeight="1">
      <c r="A110" s="37" t="s">
        <v>146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5"/>
      <c r="L110" s="15"/>
      <c r="M110" s="15"/>
      <c r="N110" s="17"/>
      <c r="O110" s="18"/>
      <c r="P110" s="30"/>
      <c r="Q110" s="30"/>
      <c r="R110" s="27"/>
      <c r="S110" s="31"/>
      <c r="T110" s="31"/>
      <c r="U110" s="31"/>
      <c r="V110" s="31"/>
      <c r="W110" s="31"/>
      <c r="X110" s="31"/>
      <c r="Y110" s="27"/>
      <c r="Z110" s="31"/>
      <c r="AA110" s="27"/>
      <c r="AB110" s="22"/>
      <c r="AC110" s="18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4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E110" s="7">
        <v>0</v>
      </c>
      <c r="BF110" s="52">
        <v>5262</v>
      </c>
      <c r="BG110" s="27">
        <v>5262</v>
      </c>
      <c r="BH110" s="27">
        <v>5262</v>
      </c>
      <c r="BI110" s="63">
        <v>0</v>
      </c>
      <c r="BJ110" s="27">
        <v>5262</v>
      </c>
      <c r="BK110" s="64">
        <v>0</v>
      </c>
      <c r="BL110" s="65">
        <v>15786</v>
      </c>
      <c r="BM110" s="66">
        <v>5262</v>
      </c>
      <c r="BN110" s="65">
        <v>0</v>
      </c>
      <c r="BO110" s="64">
        <v>5262</v>
      </c>
      <c r="BP110" s="65">
        <v>0</v>
      </c>
      <c r="BQ110" s="24">
        <f t="shared" si="98"/>
        <v>47358</v>
      </c>
      <c r="BS110" s="52" t="s">
        <v>46</v>
      </c>
      <c r="BT110" s="7" t="s">
        <v>46</v>
      </c>
      <c r="BU110" s="7" t="s">
        <v>46</v>
      </c>
      <c r="BV110" s="7" t="s">
        <v>46</v>
      </c>
      <c r="BW110" s="52" t="s">
        <v>46</v>
      </c>
      <c r="BX110" s="7" t="s">
        <v>46</v>
      </c>
      <c r="BY110" s="7" t="s">
        <v>46</v>
      </c>
      <c r="BZ110" s="7" t="s">
        <v>46</v>
      </c>
      <c r="CA110" s="52" t="s">
        <v>46</v>
      </c>
      <c r="CB110" s="7" t="s">
        <v>46</v>
      </c>
      <c r="CC110" s="7" t="s">
        <v>46</v>
      </c>
      <c r="CD110" s="7" t="s">
        <v>46</v>
      </c>
      <c r="CE110" s="24"/>
      <c r="CF110" s="26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1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29"/>
      <c r="DI110" s="7">
        <v>0</v>
      </c>
      <c r="DJ110" s="52">
        <v>5262</v>
      </c>
      <c r="DK110" s="27">
        <v>5262</v>
      </c>
      <c r="DL110" s="27">
        <v>5262</v>
      </c>
      <c r="DM110" s="63">
        <v>0</v>
      </c>
      <c r="DN110" s="27">
        <v>5262</v>
      </c>
      <c r="DO110" s="64">
        <v>0</v>
      </c>
      <c r="DP110" s="65">
        <v>15786</v>
      </c>
      <c r="DQ110" s="66">
        <v>5262</v>
      </c>
      <c r="DR110" s="65">
        <v>0</v>
      </c>
      <c r="DS110" s="64">
        <v>5262</v>
      </c>
      <c r="DT110" s="65">
        <v>0</v>
      </c>
      <c r="DW110" s="52" t="s">
        <v>46</v>
      </c>
      <c r="DX110" s="7" t="s">
        <v>46</v>
      </c>
      <c r="DY110" s="7" t="s">
        <v>46</v>
      </c>
      <c r="DZ110" s="7" t="s">
        <v>46</v>
      </c>
      <c r="EA110" s="52" t="s">
        <v>46</v>
      </c>
      <c r="EB110" s="7" t="s">
        <v>46</v>
      </c>
      <c r="EC110" s="7" t="s">
        <v>46</v>
      </c>
      <c r="ED110" s="7" t="s">
        <v>46</v>
      </c>
      <c r="EE110" s="52" t="s">
        <v>46</v>
      </c>
      <c r="EF110" s="7" t="s">
        <v>46</v>
      </c>
      <c r="EG110" s="7" t="s">
        <v>46</v>
      </c>
      <c r="EH110" s="7" t="s">
        <v>46</v>
      </c>
    </row>
    <row r="111" spans="1:138" ht="15" customHeight="1">
      <c r="A111" s="37" t="s">
        <v>147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5"/>
      <c r="L111" s="15"/>
      <c r="M111" s="15"/>
      <c r="N111" s="17"/>
      <c r="O111" s="18"/>
      <c r="P111" s="30"/>
      <c r="Q111" s="30"/>
      <c r="R111" s="27"/>
      <c r="S111" s="31"/>
      <c r="T111" s="31"/>
      <c r="U111" s="31"/>
      <c r="V111" s="31"/>
      <c r="W111" s="31"/>
      <c r="X111" s="31"/>
      <c r="Y111" s="27"/>
      <c r="Z111" s="31"/>
      <c r="AA111" s="27"/>
      <c r="AB111" s="22"/>
      <c r="AC111" s="18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4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E111" s="7">
        <v>0</v>
      </c>
      <c r="BF111" s="52">
        <v>5262</v>
      </c>
      <c r="BG111" s="27">
        <v>5262</v>
      </c>
      <c r="BH111" s="27">
        <v>5262</v>
      </c>
      <c r="BI111" s="63">
        <v>0</v>
      </c>
      <c r="BJ111" s="27">
        <v>5262</v>
      </c>
      <c r="BK111" s="64">
        <v>0</v>
      </c>
      <c r="BL111" s="65">
        <v>15786</v>
      </c>
      <c r="BM111" s="66">
        <v>5262</v>
      </c>
      <c r="BN111" s="65">
        <v>0</v>
      </c>
      <c r="BO111" s="64">
        <v>5262</v>
      </c>
      <c r="BP111" s="65">
        <v>0</v>
      </c>
      <c r="BQ111" s="24">
        <f t="shared" si="98"/>
        <v>47358</v>
      </c>
      <c r="BR111" s="7" t="s">
        <v>236</v>
      </c>
      <c r="BS111" s="7">
        <v>15786</v>
      </c>
      <c r="BT111" s="7">
        <v>0</v>
      </c>
      <c r="BU111" s="52">
        <v>11008</v>
      </c>
      <c r="BV111" s="52">
        <v>5504</v>
      </c>
      <c r="BW111" s="7">
        <v>5504</v>
      </c>
      <c r="BX111" s="7">
        <v>0</v>
      </c>
      <c r="BY111" s="7">
        <v>0</v>
      </c>
      <c r="BZ111" s="52">
        <v>5262</v>
      </c>
      <c r="CA111" s="7">
        <v>11008</v>
      </c>
      <c r="CB111" s="52">
        <v>33025</v>
      </c>
      <c r="CC111" s="7">
        <v>5504</v>
      </c>
      <c r="CD111" s="60">
        <v>5504</v>
      </c>
      <c r="CE111" s="24"/>
      <c r="CF111" s="26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1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29"/>
      <c r="DI111" s="7">
        <v>0</v>
      </c>
      <c r="DJ111" s="52">
        <v>5262</v>
      </c>
      <c r="DK111" s="27">
        <v>5262</v>
      </c>
      <c r="DL111" s="27">
        <v>5262</v>
      </c>
      <c r="DM111" s="63">
        <v>0</v>
      </c>
      <c r="DN111" s="27">
        <v>5262</v>
      </c>
      <c r="DO111" s="64">
        <v>0</v>
      </c>
      <c r="DP111" s="65">
        <v>15786</v>
      </c>
      <c r="DQ111" s="66">
        <v>5262</v>
      </c>
      <c r="DR111" s="65">
        <v>0</v>
      </c>
      <c r="DS111" s="64">
        <v>5262</v>
      </c>
      <c r="DT111" s="65">
        <v>0</v>
      </c>
      <c r="DV111" s="7" t="s">
        <v>236</v>
      </c>
      <c r="DW111" s="7">
        <v>15786</v>
      </c>
      <c r="DX111" s="7">
        <v>0</v>
      </c>
      <c r="DY111" s="52">
        <v>11008</v>
      </c>
      <c r="DZ111" s="52">
        <v>5504</v>
      </c>
      <c r="EA111" s="7">
        <v>5504</v>
      </c>
      <c r="EB111" s="7">
        <v>0</v>
      </c>
      <c r="EC111" s="7">
        <v>0</v>
      </c>
      <c r="ED111" s="52">
        <v>5262</v>
      </c>
      <c r="EE111" s="7">
        <v>11008</v>
      </c>
      <c r="EF111" s="52">
        <v>33025</v>
      </c>
      <c r="EG111" s="7">
        <v>5504</v>
      </c>
      <c r="EH111" s="60">
        <v>5504</v>
      </c>
    </row>
    <row r="112" spans="1:124" ht="15" customHeight="1">
      <c r="A112" s="37" t="s">
        <v>148</v>
      </c>
      <c r="B112" s="15"/>
      <c r="C112" s="16"/>
      <c r="D112" s="16"/>
      <c r="E112" s="16"/>
      <c r="F112" s="16"/>
      <c r="G112" s="16"/>
      <c r="H112" s="16"/>
      <c r="I112" s="16"/>
      <c r="J112" s="16"/>
      <c r="K112" s="15"/>
      <c r="L112" s="15"/>
      <c r="M112" s="15"/>
      <c r="N112" s="17"/>
      <c r="O112" s="18"/>
      <c r="P112" s="30"/>
      <c r="Q112" s="30"/>
      <c r="R112" s="27"/>
      <c r="S112" s="31"/>
      <c r="T112" s="31"/>
      <c r="U112" s="31"/>
      <c r="V112" s="31"/>
      <c r="W112" s="31"/>
      <c r="X112" s="31"/>
      <c r="Y112" s="27"/>
      <c r="Z112" s="31"/>
      <c r="AA112" s="27"/>
      <c r="AB112" s="22"/>
      <c r="AC112" s="18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4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4"/>
      <c r="BE112" s="7">
        <v>0</v>
      </c>
      <c r="BF112" s="52">
        <v>105411</v>
      </c>
      <c r="BG112" s="27">
        <v>105411</v>
      </c>
      <c r="BH112" s="27">
        <v>105411</v>
      </c>
      <c r="BI112" s="63">
        <v>105411</v>
      </c>
      <c r="BJ112" s="27">
        <v>105411</v>
      </c>
      <c r="BK112" s="64">
        <v>0</v>
      </c>
      <c r="BL112" s="65">
        <v>210822</v>
      </c>
      <c r="BM112" s="66">
        <v>0</v>
      </c>
      <c r="BN112" s="65">
        <v>0</v>
      </c>
      <c r="BO112" s="64">
        <v>0</v>
      </c>
      <c r="BP112" s="65">
        <v>52706</v>
      </c>
      <c r="BQ112" s="24">
        <f t="shared" si="98"/>
        <v>790583</v>
      </c>
      <c r="CE112" s="24"/>
      <c r="CF112" s="26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1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29"/>
      <c r="DI112" s="7">
        <v>0</v>
      </c>
      <c r="DJ112" s="52">
        <v>105411</v>
      </c>
      <c r="DK112" s="27">
        <v>105411</v>
      </c>
      <c r="DL112" s="27">
        <v>105411</v>
      </c>
      <c r="DM112" s="63">
        <v>105411</v>
      </c>
      <c r="DN112" s="27">
        <v>105411</v>
      </c>
      <c r="DO112" s="64">
        <v>0</v>
      </c>
      <c r="DP112" s="65">
        <v>210822</v>
      </c>
      <c r="DQ112" s="66">
        <v>0</v>
      </c>
      <c r="DR112" s="65">
        <v>0</v>
      </c>
      <c r="DS112" s="64">
        <v>0</v>
      </c>
      <c r="DT112" s="65">
        <v>52706</v>
      </c>
    </row>
    <row r="113" spans="1:138" ht="15" customHeight="1">
      <c r="A113" s="37" t="s">
        <v>260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5"/>
      <c r="L113" s="15"/>
      <c r="M113" s="15"/>
      <c r="N113" s="17"/>
      <c r="O113" s="18"/>
      <c r="P113" s="30"/>
      <c r="Q113" s="30"/>
      <c r="R113" s="27"/>
      <c r="S113" s="31"/>
      <c r="T113" s="31"/>
      <c r="U113" s="31"/>
      <c r="V113" s="31"/>
      <c r="W113" s="31"/>
      <c r="X113" s="31"/>
      <c r="Y113" s="27"/>
      <c r="Z113" s="31"/>
      <c r="AA113" s="27"/>
      <c r="AB113" s="22"/>
      <c r="AC113" s="18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4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4"/>
      <c r="BF113" s="52"/>
      <c r="BG113" s="27"/>
      <c r="BH113" s="27"/>
      <c r="BI113" s="63"/>
      <c r="BJ113" s="27"/>
      <c r="BK113" s="64"/>
      <c r="BL113" s="65"/>
      <c r="BM113" s="66"/>
      <c r="BN113" s="65"/>
      <c r="BO113" s="64"/>
      <c r="BP113" s="65"/>
      <c r="BQ113" s="24">
        <f t="shared" si="98"/>
        <v>0</v>
      </c>
      <c r="BR113" s="7" t="s">
        <v>234</v>
      </c>
      <c r="BS113" s="52">
        <v>510595</v>
      </c>
      <c r="BT113" s="52">
        <v>106037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 t="s">
        <v>201</v>
      </c>
      <c r="CE113" s="24"/>
      <c r="CF113" s="26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1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29"/>
      <c r="DJ113" s="52"/>
      <c r="DK113" s="27"/>
      <c r="DL113" s="27"/>
      <c r="DM113" s="63"/>
      <c r="DN113" s="27"/>
      <c r="DO113" s="64"/>
      <c r="DP113" s="65"/>
      <c r="DQ113" s="66"/>
      <c r="DR113" s="65"/>
      <c r="DS113" s="64"/>
      <c r="DT113" s="65"/>
      <c r="DV113" s="7" t="s">
        <v>234</v>
      </c>
      <c r="DW113" s="52">
        <v>510595</v>
      </c>
      <c r="DX113" s="52">
        <v>106037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 t="s">
        <v>201</v>
      </c>
    </row>
    <row r="114" spans="1:138" ht="15" customHeight="1">
      <c r="A114" s="37" t="s">
        <v>149</v>
      </c>
      <c r="B114" s="15"/>
      <c r="C114" s="16"/>
      <c r="D114" s="16"/>
      <c r="E114" s="16"/>
      <c r="F114" s="16"/>
      <c r="G114" s="16"/>
      <c r="H114" s="16"/>
      <c r="I114" s="16"/>
      <c r="J114" s="16"/>
      <c r="K114" s="15"/>
      <c r="L114" s="15"/>
      <c r="M114" s="15"/>
      <c r="N114" s="17"/>
      <c r="O114" s="18"/>
      <c r="P114" s="30"/>
      <c r="Q114" s="30"/>
      <c r="R114" s="27"/>
      <c r="S114" s="31"/>
      <c r="T114" s="31"/>
      <c r="U114" s="31"/>
      <c r="V114" s="31"/>
      <c r="W114" s="31"/>
      <c r="X114" s="31"/>
      <c r="Y114" s="27"/>
      <c r="Z114" s="31"/>
      <c r="AA114" s="27"/>
      <c r="AB114" s="22"/>
      <c r="AC114" s="18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4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E114" s="7">
        <v>0</v>
      </c>
      <c r="BF114" s="52">
        <v>105411</v>
      </c>
      <c r="BG114" s="27">
        <v>105411</v>
      </c>
      <c r="BH114" s="27">
        <v>105411</v>
      </c>
      <c r="BI114" s="63">
        <v>105411</v>
      </c>
      <c r="BJ114" s="27">
        <v>105411</v>
      </c>
      <c r="BK114" s="64">
        <v>0</v>
      </c>
      <c r="BL114" s="65">
        <v>210822</v>
      </c>
      <c r="BM114" s="66">
        <v>0</v>
      </c>
      <c r="BN114" s="65">
        <v>0</v>
      </c>
      <c r="BO114" s="64">
        <v>0</v>
      </c>
      <c r="BP114" s="65">
        <v>52706</v>
      </c>
      <c r="BQ114" s="24">
        <f t="shared" si="98"/>
        <v>790583</v>
      </c>
      <c r="BR114" s="7" t="s">
        <v>230</v>
      </c>
      <c r="BS114" s="7">
        <v>0</v>
      </c>
      <c r="BT114" s="7">
        <v>0</v>
      </c>
      <c r="BU114" s="52">
        <v>42586</v>
      </c>
      <c r="BV114" s="7">
        <v>0</v>
      </c>
      <c r="BW114" s="7">
        <v>0</v>
      </c>
      <c r="BX114" s="7">
        <v>0</v>
      </c>
      <c r="BY114" s="7">
        <v>0</v>
      </c>
      <c r="BZ114" s="52">
        <v>105385</v>
      </c>
      <c r="CA114" s="7">
        <v>0</v>
      </c>
      <c r="CB114" s="7">
        <v>0</v>
      </c>
      <c r="CC114" s="7">
        <v>0</v>
      </c>
      <c r="CD114" s="7" t="s">
        <v>201</v>
      </c>
      <c r="CE114" s="24"/>
      <c r="CF114" s="26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1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29"/>
      <c r="DI114" s="7">
        <v>0</v>
      </c>
      <c r="DJ114" s="52">
        <v>105411</v>
      </c>
      <c r="DK114" s="27">
        <v>105411</v>
      </c>
      <c r="DL114" s="27">
        <v>105411</v>
      </c>
      <c r="DM114" s="63">
        <v>105411</v>
      </c>
      <c r="DN114" s="27">
        <v>105411</v>
      </c>
      <c r="DO114" s="64">
        <v>0</v>
      </c>
      <c r="DP114" s="65">
        <v>210822</v>
      </c>
      <c r="DQ114" s="66">
        <v>0</v>
      </c>
      <c r="DR114" s="65">
        <v>0</v>
      </c>
      <c r="DS114" s="64">
        <v>0</v>
      </c>
      <c r="DT114" s="65">
        <v>52706</v>
      </c>
      <c r="DV114" s="7" t="s">
        <v>230</v>
      </c>
      <c r="DW114" s="7">
        <v>0</v>
      </c>
      <c r="DX114" s="7">
        <v>0</v>
      </c>
      <c r="DY114" s="52">
        <v>42586</v>
      </c>
      <c r="DZ114" s="7">
        <v>0</v>
      </c>
      <c r="EA114" s="7">
        <v>0</v>
      </c>
      <c r="EB114" s="7">
        <v>0</v>
      </c>
      <c r="EC114" s="7">
        <v>0</v>
      </c>
      <c r="ED114" s="52">
        <v>105385</v>
      </c>
      <c r="EE114" s="7">
        <v>0</v>
      </c>
      <c r="EF114" s="7">
        <v>0</v>
      </c>
      <c r="EG114" s="7">
        <v>0</v>
      </c>
      <c r="EH114" s="7" t="s">
        <v>201</v>
      </c>
    </row>
    <row r="115" spans="1:138" ht="15" customHeight="1">
      <c r="A115" s="37" t="s">
        <v>150</v>
      </c>
      <c r="B115" s="15"/>
      <c r="C115" s="16"/>
      <c r="D115" s="16"/>
      <c r="E115" s="16"/>
      <c r="F115" s="16"/>
      <c r="G115" s="16"/>
      <c r="H115" s="16"/>
      <c r="I115" s="16"/>
      <c r="J115" s="16"/>
      <c r="K115" s="15"/>
      <c r="L115" s="15"/>
      <c r="M115" s="15"/>
      <c r="N115" s="17"/>
      <c r="O115" s="18"/>
      <c r="P115" s="30"/>
      <c r="Q115" s="30"/>
      <c r="R115" s="27"/>
      <c r="S115" s="31"/>
      <c r="T115" s="31"/>
      <c r="U115" s="31"/>
      <c r="V115" s="31"/>
      <c r="W115" s="31"/>
      <c r="X115" s="31"/>
      <c r="Y115" s="27"/>
      <c r="Z115" s="31"/>
      <c r="AA115" s="27"/>
      <c r="AB115" s="22"/>
      <c r="AC115" s="18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4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E115" s="7">
        <v>0</v>
      </c>
      <c r="BF115" s="52">
        <v>0</v>
      </c>
      <c r="BG115" s="27">
        <v>0</v>
      </c>
      <c r="BH115" s="27">
        <v>0</v>
      </c>
      <c r="BI115" s="63">
        <v>0</v>
      </c>
      <c r="BJ115" s="27">
        <v>0</v>
      </c>
      <c r="BK115" s="64">
        <v>0</v>
      </c>
      <c r="BL115" s="65">
        <v>0</v>
      </c>
      <c r="BM115" s="66">
        <v>0</v>
      </c>
      <c r="BN115" s="65">
        <v>0</v>
      </c>
      <c r="BO115" s="64">
        <v>0</v>
      </c>
      <c r="BP115" s="65">
        <v>0</v>
      </c>
      <c r="BQ115" s="24">
        <f t="shared" si="98"/>
        <v>0</v>
      </c>
      <c r="BR115" s="7" t="s">
        <v>82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52">
        <v>8070</v>
      </c>
      <c r="CA115" s="7">
        <v>0</v>
      </c>
      <c r="CB115" s="7">
        <v>0</v>
      </c>
      <c r="CC115" s="7">
        <v>0</v>
      </c>
      <c r="CD115" s="7" t="s">
        <v>201</v>
      </c>
      <c r="CE115" s="24"/>
      <c r="CF115" s="26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1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29"/>
      <c r="DI115" s="7">
        <v>0</v>
      </c>
      <c r="DJ115" s="52">
        <v>0</v>
      </c>
      <c r="DK115" s="27">
        <v>0</v>
      </c>
      <c r="DL115" s="27">
        <v>0</v>
      </c>
      <c r="DM115" s="63">
        <v>0</v>
      </c>
      <c r="DN115" s="27">
        <v>0</v>
      </c>
      <c r="DO115" s="64">
        <v>0</v>
      </c>
      <c r="DP115" s="65">
        <v>0</v>
      </c>
      <c r="DQ115" s="66">
        <v>0</v>
      </c>
      <c r="DR115" s="65">
        <v>0</v>
      </c>
      <c r="DS115" s="64">
        <v>0</v>
      </c>
      <c r="DT115" s="65">
        <v>0</v>
      </c>
      <c r="DV115" s="7" t="s">
        <v>82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52">
        <v>8070</v>
      </c>
      <c r="EE115" s="7">
        <v>0</v>
      </c>
      <c r="EF115" s="7">
        <v>0</v>
      </c>
      <c r="EG115" s="7">
        <v>0</v>
      </c>
      <c r="EH115" s="7" t="s">
        <v>201</v>
      </c>
    </row>
    <row r="116" spans="1:138" ht="15" customHeight="1">
      <c r="A116" s="37" t="s">
        <v>261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5"/>
      <c r="L116" s="15"/>
      <c r="M116" s="15"/>
      <c r="N116" s="17"/>
      <c r="O116" s="18"/>
      <c r="P116" s="30"/>
      <c r="Q116" s="30"/>
      <c r="R116" s="27"/>
      <c r="S116" s="31"/>
      <c r="T116" s="31"/>
      <c r="U116" s="31"/>
      <c r="V116" s="31"/>
      <c r="W116" s="31"/>
      <c r="X116" s="31"/>
      <c r="Y116" s="27"/>
      <c r="Z116" s="31"/>
      <c r="AA116" s="27"/>
      <c r="AB116" s="22"/>
      <c r="AC116" s="18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4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4"/>
      <c r="BF116" s="52"/>
      <c r="BG116" s="27"/>
      <c r="BH116" s="27"/>
      <c r="BI116" s="63"/>
      <c r="BJ116" s="27"/>
      <c r="BK116" s="64"/>
      <c r="BL116" s="65"/>
      <c r="BM116" s="66"/>
      <c r="BN116" s="65"/>
      <c r="BO116" s="64"/>
      <c r="BP116" s="65"/>
      <c r="BQ116" s="24">
        <f t="shared" si="98"/>
        <v>0</v>
      </c>
      <c r="BR116" s="7" t="s">
        <v>235</v>
      </c>
      <c r="BS116" s="7">
        <v>0</v>
      </c>
      <c r="BT116" s="52">
        <v>29141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 t="s">
        <v>201</v>
      </c>
      <c r="CE116" s="24"/>
      <c r="CF116" s="26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1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29"/>
      <c r="DJ116" s="52"/>
      <c r="DK116" s="27"/>
      <c r="DL116" s="27"/>
      <c r="DM116" s="63"/>
      <c r="DN116" s="27"/>
      <c r="DO116" s="64"/>
      <c r="DP116" s="65"/>
      <c r="DQ116" s="66"/>
      <c r="DR116" s="65"/>
      <c r="DS116" s="64"/>
      <c r="DT116" s="65"/>
      <c r="DV116" s="7" t="s">
        <v>235</v>
      </c>
      <c r="DW116" s="7">
        <v>0</v>
      </c>
      <c r="DX116" s="52">
        <v>29141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 t="s">
        <v>201</v>
      </c>
    </row>
    <row r="117" spans="1:138" ht="15" customHeight="1">
      <c r="A117" s="37" t="s">
        <v>231</v>
      </c>
      <c r="B117" s="15"/>
      <c r="C117" s="16"/>
      <c r="D117" s="16"/>
      <c r="E117" s="16"/>
      <c r="F117" s="16"/>
      <c r="G117" s="16"/>
      <c r="H117" s="16"/>
      <c r="I117" s="16"/>
      <c r="J117" s="16"/>
      <c r="K117" s="15"/>
      <c r="L117" s="15"/>
      <c r="M117" s="15"/>
      <c r="N117" s="17"/>
      <c r="O117" s="18"/>
      <c r="P117" s="30"/>
      <c r="Q117" s="30"/>
      <c r="R117" s="27"/>
      <c r="S117" s="31"/>
      <c r="T117" s="31"/>
      <c r="U117" s="31"/>
      <c r="V117" s="31"/>
      <c r="W117" s="31"/>
      <c r="X117" s="31"/>
      <c r="Y117" s="27"/>
      <c r="Z117" s="31"/>
      <c r="AA117" s="27"/>
      <c r="AB117" s="22"/>
      <c r="AC117" s="18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4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4"/>
      <c r="BF117" s="52"/>
      <c r="BG117" s="27"/>
      <c r="BH117" s="27"/>
      <c r="BI117" s="63"/>
      <c r="BJ117" s="27"/>
      <c r="BK117" s="64"/>
      <c r="BL117" s="65"/>
      <c r="BM117" s="66"/>
      <c r="BN117" s="65"/>
      <c r="BO117" s="64"/>
      <c r="BP117" s="65"/>
      <c r="BQ117" s="24">
        <f t="shared" si="98"/>
        <v>0</v>
      </c>
      <c r="BR117" s="7" t="s">
        <v>231</v>
      </c>
      <c r="BS117" s="7">
        <v>0</v>
      </c>
      <c r="BT117" s="7">
        <v>0</v>
      </c>
      <c r="BU117" s="7">
        <v>0</v>
      </c>
      <c r="BV117" s="7">
        <v>0</v>
      </c>
      <c r="BW117" s="52">
        <v>42586</v>
      </c>
      <c r="BX117" s="52">
        <v>127757</v>
      </c>
      <c r="BY117" s="7">
        <v>0</v>
      </c>
      <c r="BZ117" s="7">
        <v>0</v>
      </c>
      <c r="CA117" s="52">
        <v>127757</v>
      </c>
      <c r="CB117" s="52">
        <v>89869</v>
      </c>
      <c r="CC117" s="7">
        <v>43108</v>
      </c>
      <c r="CD117" s="60">
        <v>43108</v>
      </c>
      <c r="CE117" s="24"/>
      <c r="CF117" s="26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1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29"/>
      <c r="DJ117" s="52"/>
      <c r="DK117" s="27"/>
      <c r="DL117" s="27"/>
      <c r="DM117" s="63"/>
      <c r="DN117" s="27"/>
      <c r="DO117" s="64"/>
      <c r="DP117" s="65"/>
      <c r="DQ117" s="66"/>
      <c r="DR117" s="65"/>
      <c r="DS117" s="64"/>
      <c r="DT117" s="65"/>
      <c r="DV117" s="7" t="s">
        <v>231</v>
      </c>
      <c r="DW117" s="7">
        <v>0</v>
      </c>
      <c r="DX117" s="7">
        <v>0</v>
      </c>
      <c r="DY117" s="7">
        <v>0</v>
      </c>
      <c r="DZ117" s="7">
        <v>0</v>
      </c>
      <c r="EA117" s="52">
        <v>42586</v>
      </c>
      <c r="EB117" s="52">
        <v>127757</v>
      </c>
      <c r="EC117" s="7">
        <v>0</v>
      </c>
      <c r="ED117" s="7">
        <v>0</v>
      </c>
      <c r="EE117" s="52">
        <v>127757</v>
      </c>
      <c r="EF117" s="52">
        <v>89869</v>
      </c>
      <c r="EG117" s="7">
        <v>43108</v>
      </c>
      <c r="EH117" s="60">
        <v>43108</v>
      </c>
    </row>
    <row r="118" spans="1:124" ht="15" customHeight="1">
      <c r="A118" s="37" t="s">
        <v>151</v>
      </c>
      <c r="B118" s="15"/>
      <c r="C118" s="16"/>
      <c r="D118" s="16"/>
      <c r="E118" s="16"/>
      <c r="F118" s="16"/>
      <c r="G118" s="16"/>
      <c r="H118" s="16"/>
      <c r="I118" s="16"/>
      <c r="J118" s="16"/>
      <c r="K118" s="15"/>
      <c r="L118" s="15"/>
      <c r="M118" s="15"/>
      <c r="N118" s="17"/>
      <c r="O118" s="18"/>
      <c r="P118" s="30"/>
      <c r="Q118" s="30"/>
      <c r="R118" s="27"/>
      <c r="S118" s="31"/>
      <c r="T118" s="31"/>
      <c r="U118" s="31"/>
      <c r="V118" s="31"/>
      <c r="W118" s="31"/>
      <c r="X118" s="31"/>
      <c r="Y118" s="27"/>
      <c r="Z118" s="31"/>
      <c r="AA118" s="27"/>
      <c r="AB118" s="22"/>
      <c r="AC118" s="18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4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E118" s="7">
        <v>0</v>
      </c>
      <c r="BF118" s="52">
        <v>171755</v>
      </c>
      <c r="BG118" s="27">
        <v>171754</v>
      </c>
      <c r="BH118" s="27">
        <v>680837</v>
      </c>
      <c r="BI118" s="63">
        <v>0</v>
      </c>
      <c r="BJ118" s="27">
        <v>171754</v>
      </c>
      <c r="BK118" s="64">
        <v>0</v>
      </c>
      <c r="BL118" s="65">
        <v>171754</v>
      </c>
      <c r="BM118" s="66">
        <v>171754</v>
      </c>
      <c r="BN118" s="65">
        <v>171754</v>
      </c>
      <c r="BO118" s="64">
        <v>171754</v>
      </c>
      <c r="BP118" s="65">
        <v>515263</v>
      </c>
      <c r="BQ118" s="24">
        <f t="shared" si="98"/>
        <v>2398379</v>
      </c>
      <c r="CE118" s="24"/>
      <c r="CF118" s="26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1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29"/>
      <c r="DI118" s="7">
        <v>0</v>
      </c>
      <c r="DJ118" s="52">
        <v>171755</v>
      </c>
      <c r="DK118" s="27">
        <v>171754</v>
      </c>
      <c r="DL118" s="27">
        <v>680837</v>
      </c>
      <c r="DM118" s="63">
        <v>0</v>
      </c>
      <c r="DN118" s="27">
        <v>171754</v>
      </c>
      <c r="DO118" s="64">
        <v>0</v>
      </c>
      <c r="DP118" s="65">
        <v>171754</v>
      </c>
      <c r="DQ118" s="66">
        <v>171754</v>
      </c>
      <c r="DR118" s="65">
        <v>171754</v>
      </c>
      <c r="DS118" s="64">
        <v>171754</v>
      </c>
      <c r="DT118" s="65">
        <v>515263</v>
      </c>
    </row>
    <row r="119" spans="1:124" ht="15" customHeight="1">
      <c r="A119" s="37" t="s">
        <v>262</v>
      </c>
      <c r="B119" s="15"/>
      <c r="C119" s="16"/>
      <c r="D119" s="16"/>
      <c r="E119" s="16"/>
      <c r="F119" s="16"/>
      <c r="G119" s="16"/>
      <c r="H119" s="16"/>
      <c r="I119" s="16"/>
      <c r="J119" s="16"/>
      <c r="K119" s="15"/>
      <c r="L119" s="15"/>
      <c r="M119" s="15"/>
      <c r="N119" s="17"/>
      <c r="O119" s="18"/>
      <c r="P119" s="30"/>
      <c r="Q119" s="30"/>
      <c r="R119" s="27"/>
      <c r="S119" s="31"/>
      <c r="T119" s="31"/>
      <c r="U119" s="31"/>
      <c r="V119" s="31"/>
      <c r="W119" s="31"/>
      <c r="X119" s="31"/>
      <c r="Y119" s="27"/>
      <c r="Z119" s="31"/>
      <c r="AA119" s="27"/>
      <c r="AB119" s="22"/>
      <c r="AC119" s="18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4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F119" s="52"/>
      <c r="BG119" s="27"/>
      <c r="BH119" s="27"/>
      <c r="BI119" s="63"/>
      <c r="BJ119" s="27"/>
      <c r="BK119" s="64"/>
      <c r="BL119" s="65"/>
      <c r="BM119" s="66"/>
      <c r="BN119" s="65"/>
      <c r="BO119" s="64"/>
      <c r="BP119" s="65"/>
      <c r="BQ119" s="24">
        <f t="shared" si="98"/>
        <v>0</v>
      </c>
      <c r="CE119" s="24"/>
      <c r="CF119" s="26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1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29"/>
      <c r="DJ119" s="52"/>
      <c r="DK119" s="27"/>
      <c r="DL119" s="27"/>
      <c r="DM119" s="63"/>
      <c r="DN119" s="27"/>
      <c r="DO119" s="64"/>
      <c r="DP119" s="65"/>
      <c r="DQ119" s="66"/>
      <c r="DR119" s="65"/>
      <c r="DS119" s="64"/>
      <c r="DT119" s="65"/>
    </row>
    <row r="120" spans="1:138" ht="15" customHeight="1">
      <c r="A120" s="37" t="s">
        <v>152</v>
      </c>
      <c r="B120" s="15"/>
      <c r="C120" s="16"/>
      <c r="D120" s="16"/>
      <c r="E120" s="16"/>
      <c r="F120" s="16"/>
      <c r="G120" s="16"/>
      <c r="H120" s="16"/>
      <c r="I120" s="16"/>
      <c r="J120" s="16"/>
      <c r="K120" s="15"/>
      <c r="L120" s="15"/>
      <c r="M120" s="15"/>
      <c r="N120" s="17"/>
      <c r="O120" s="18"/>
      <c r="P120" s="30"/>
      <c r="Q120" s="30"/>
      <c r="R120" s="27"/>
      <c r="S120" s="31"/>
      <c r="T120" s="31"/>
      <c r="U120" s="31"/>
      <c r="V120" s="31"/>
      <c r="W120" s="31"/>
      <c r="X120" s="31"/>
      <c r="Y120" s="27"/>
      <c r="Z120" s="31"/>
      <c r="AA120" s="27"/>
      <c r="AB120" s="22"/>
      <c r="AC120" s="18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4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4"/>
      <c r="BE120" s="7">
        <v>0</v>
      </c>
      <c r="BF120" s="52">
        <v>48091</v>
      </c>
      <c r="BG120" s="27">
        <v>48091</v>
      </c>
      <c r="BH120" s="27">
        <v>48091</v>
      </c>
      <c r="BI120" s="63">
        <v>0</v>
      </c>
      <c r="BJ120" s="27">
        <v>48091</v>
      </c>
      <c r="BK120" s="64">
        <v>0</v>
      </c>
      <c r="BL120" s="65">
        <v>48091</v>
      </c>
      <c r="BM120" s="66">
        <v>48091</v>
      </c>
      <c r="BN120" s="65">
        <v>48091</v>
      </c>
      <c r="BO120" s="64">
        <v>48091</v>
      </c>
      <c r="BP120" s="65">
        <v>144274</v>
      </c>
      <c r="BQ120" s="24">
        <f t="shared" si="98"/>
        <v>529002</v>
      </c>
      <c r="BR120" s="7" t="s">
        <v>232</v>
      </c>
      <c r="BS120" s="7">
        <v>0</v>
      </c>
      <c r="BT120" s="52">
        <v>50304</v>
      </c>
      <c r="BU120" s="52">
        <v>50304</v>
      </c>
      <c r="BV120" s="52">
        <v>50304</v>
      </c>
      <c r="BW120" s="52">
        <v>50304</v>
      </c>
      <c r="BX120" s="52">
        <v>50304</v>
      </c>
      <c r="BY120" s="52">
        <v>50304</v>
      </c>
      <c r="BZ120" s="7">
        <v>0</v>
      </c>
      <c r="CA120" s="52">
        <v>50304</v>
      </c>
      <c r="CB120" s="52">
        <v>50304</v>
      </c>
      <c r="CC120" s="7">
        <v>50304</v>
      </c>
      <c r="CD120" s="60">
        <v>50304</v>
      </c>
      <c r="CE120" s="24"/>
      <c r="CF120" s="26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1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29"/>
      <c r="DI120" s="7">
        <v>0</v>
      </c>
      <c r="DJ120" s="52">
        <v>48091</v>
      </c>
      <c r="DK120" s="27">
        <v>48091</v>
      </c>
      <c r="DL120" s="27">
        <v>48091</v>
      </c>
      <c r="DM120" s="63">
        <v>0</v>
      </c>
      <c r="DN120" s="27">
        <v>48091</v>
      </c>
      <c r="DO120" s="64">
        <v>0</v>
      </c>
      <c r="DP120" s="65">
        <v>48091</v>
      </c>
      <c r="DQ120" s="66">
        <v>48091</v>
      </c>
      <c r="DR120" s="65">
        <v>48091</v>
      </c>
      <c r="DS120" s="64">
        <v>48091</v>
      </c>
      <c r="DT120" s="65">
        <v>144274</v>
      </c>
      <c r="DV120" s="7" t="s">
        <v>232</v>
      </c>
      <c r="DW120" s="7">
        <v>0</v>
      </c>
      <c r="DX120" s="52">
        <v>50304</v>
      </c>
      <c r="DY120" s="52">
        <v>50304</v>
      </c>
      <c r="DZ120" s="52">
        <v>50304</v>
      </c>
      <c r="EA120" s="52">
        <v>50304</v>
      </c>
      <c r="EB120" s="52">
        <v>50304</v>
      </c>
      <c r="EC120" s="52">
        <v>50304</v>
      </c>
      <c r="ED120" s="7">
        <v>0</v>
      </c>
      <c r="EE120" s="52">
        <v>50304</v>
      </c>
      <c r="EF120" s="52">
        <v>50304</v>
      </c>
      <c r="EG120" s="7">
        <v>50304</v>
      </c>
      <c r="EH120" s="60">
        <v>50304</v>
      </c>
    </row>
    <row r="121" spans="1:138" ht="15" customHeight="1">
      <c r="A121" s="37" t="s">
        <v>153</v>
      </c>
      <c r="B121" s="15"/>
      <c r="C121" s="16"/>
      <c r="D121" s="16"/>
      <c r="E121" s="16"/>
      <c r="F121" s="16"/>
      <c r="G121" s="16"/>
      <c r="H121" s="16"/>
      <c r="I121" s="16"/>
      <c r="J121" s="16"/>
      <c r="K121" s="15"/>
      <c r="L121" s="15"/>
      <c r="M121" s="15"/>
      <c r="N121" s="17"/>
      <c r="O121" s="18"/>
      <c r="P121" s="30"/>
      <c r="Q121" s="30"/>
      <c r="R121" s="27"/>
      <c r="S121" s="31"/>
      <c r="T121" s="31"/>
      <c r="U121" s="31"/>
      <c r="V121" s="31"/>
      <c r="W121" s="31"/>
      <c r="X121" s="31"/>
      <c r="Y121" s="27"/>
      <c r="Z121" s="31"/>
      <c r="AA121" s="27"/>
      <c r="AB121" s="22"/>
      <c r="AC121" s="18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4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4"/>
      <c r="BE121" s="7">
        <v>0</v>
      </c>
      <c r="BF121" s="52">
        <v>123663</v>
      </c>
      <c r="BG121" s="27">
        <v>123663</v>
      </c>
      <c r="BH121" s="27">
        <v>123663</v>
      </c>
      <c r="BI121" s="63">
        <v>0</v>
      </c>
      <c r="BJ121" s="27">
        <v>123663</v>
      </c>
      <c r="BK121" s="64">
        <v>0</v>
      </c>
      <c r="BL121" s="65">
        <v>123663</v>
      </c>
      <c r="BM121" s="66">
        <v>123663</v>
      </c>
      <c r="BN121" s="65">
        <v>123663</v>
      </c>
      <c r="BO121" s="64">
        <v>123663</v>
      </c>
      <c r="BP121" s="65">
        <v>370989</v>
      </c>
      <c r="BQ121" s="24">
        <f t="shared" si="98"/>
        <v>1360293</v>
      </c>
      <c r="BR121" s="7" t="s">
        <v>233</v>
      </c>
      <c r="BS121" s="7">
        <v>0</v>
      </c>
      <c r="BT121" s="52">
        <v>129353</v>
      </c>
      <c r="BU121" s="52">
        <v>129353</v>
      </c>
      <c r="BV121" s="52">
        <v>129353</v>
      </c>
      <c r="BW121" s="52">
        <v>129353</v>
      </c>
      <c r="BX121" s="52">
        <v>129354</v>
      </c>
      <c r="BY121" s="52">
        <v>129353</v>
      </c>
      <c r="BZ121" s="52">
        <v>104014</v>
      </c>
      <c r="CA121" s="52">
        <v>129353</v>
      </c>
      <c r="CB121" s="52">
        <v>129353</v>
      </c>
      <c r="CC121" s="7">
        <v>129353</v>
      </c>
      <c r="CD121" s="60">
        <v>116418</v>
      </c>
      <c r="CE121" s="24"/>
      <c r="CF121" s="26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1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29"/>
      <c r="DI121" s="7">
        <v>0</v>
      </c>
      <c r="DJ121" s="52">
        <v>123663</v>
      </c>
      <c r="DK121" s="27">
        <v>123663</v>
      </c>
      <c r="DL121" s="27">
        <v>123663</v>
      </c>
      <c r="DM121" s="63">
        <v>0</v>
      </c>
      <c r="DN121" s="27">
        <v>123663</v>
      </c>
      <c r="DO121" s="64">
        <v>0</v>
      </c>
      <c r="DP121" s="65">
        <v>123663</v>
      </c>
      <c r="DQ121" s="66">
        <v>123663</v>
      </c>
      <c r="DR121" s="65">
        <v>123663</v>
      </c>
      <c r="DS121" s="64">
        <v>123663</v>
      </c>
      <c r="DT121" s="65">
        <v>370989</v>
      </c>
      <c r="DV121" s="7" t="s">
        <v>233</v>
      </c>
      <c r="DW121" s="7">
        <v>0</v>
      </c>
      <c r="DX121" s="52">
        <v>129353</v>
      </c>
      <c r="DY121" s="52">
        <v>129353</v>
      </c>
      <c r="DZ121" s="52">
        <v>129353</v>
      </c>
      <c r="EA121" s="52">
        <v>129353</v>
      </c>
      <c r="EB121" s="52">
        <v>129354</v>
      </c>
      <c r="EC121" s="52">
        <v>129353</v>
      </c>
      <c r="ED121" s="52">
        <v>104014</v>
      </c>
      <c r="EE121" s="52">
        <v>129353</v>
      </c>
      <c r="EF121" s="52">
        <v>129353</v>
      </c>
      <c r="EG121" s="7">
        <v>129353</v>
      </c>
      <c r="EH121" s="60">
        <v>116418</v>
      </c>
    </row>
    <row r="122" spans="1:138" ht="15" customHeight="1">
      <c r="A122" s="37" t="s">
        <v>154</v>
      </c>
      <c r="B122" s="15"/>
      <c r="C122" s="16"/>
      <c r="D122" s="16"/>
      <c r="E122" s="16"/>
      <c r="F122" s="16"/>
      <c r="G122" s="16"/>
      <c r="H122" s="16"/>
      <c r="I122" s="16"/>
      <c r="J122" s="16"/>
      <c r="K122" s="15"/>
      <c r="L122" s="15"/>
      <c r="M122" s="15"/>
      <c r="N122" s="17"/>
      <c r="O122" s="18"/>
      <c r="P122" s="30"/>
      <c r="Q122" s="30"/>
      <c r="R122" s="27"/>
      <c r="S122" s="31"/>
      <c r="T122" s="31"/>
      <c r="U122" s="31"/>
      <c r="V122" s="31"/>
      <c r="W122" s="31"/>
      <c r="X122" s="31"/>
      <c r="Y122" s="27"/>
      <c r="Z122" s="31"/>
      <c r="AA122" s="27"/>
      <c r="AB122" s="22"/>
      <c r="AC122" s="18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4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E122" s="7">
        <v>0</v>
      </c>
      <c r="BF122" s="52">
        <v>0</v>
      </c>
      <c r="BG122" s="27">
        <v>0</v>
      </c>
      <c r="BH122" s="27">
        <v>142543</v>
      </c>
      <c r="BI122" s="63">
        <v>0</v>
      </c>
      <c r="BJ122" s="27">
        <v>0</v>
      </c>
      <c r="BK122" s="64">
        <v>0</v>
      </c>
      <c r="BL122" s="65">
        <v>0</v>
      </c>
      <c r="BM122" s="66">
        <v>0</v>
      </c>
      <c r="BN122" s="65">
        <v>0</v>
      </c>
      <c r="BO122" s="64">
        <v>0</v>
      </c>
      <c r="BP122" s="65">
        <v>0</v>
      </c>
      <c r="BQ122" s="24">
        <f t="shared" si="98"/>
        <v>142543</v>
      </c>
      <c r="BR122" s="7" t="s">
        <v>237</v>
      </c>
      <c r="BS122" s="52">
        <v>48091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 t="s">
        <v>201</v>
      </c>
      <c r="CE122" s="24"/>
      <c r="CF122" s="26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1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29"/>
      <c r="DI122" s="7">
        <v>0</v>
      </c>
      <c r="DJ122" s="52">
        <v>0</v>
      </c>
      <c r="DK122" s="27">
        <v>0</v>
      </c>
      <c r="DL122" s="27">
        <v>142543</v>
      </c>
      <c r="DM122" s="63">
        <v>0</v>
      </c>
      <c r="DN122" s="27">
        <v>0</v>
      </c>
      <c r="DO122" s="64">
        <v>0</v>
      </c>
      <c r="DP122" s="65">
        <v>0</v>
      </c>
      <c r="DQ122" s="66">
        <v>0</v>
      </c>
      <c r="DR122" s="65">
        <v>0</v>
      </c>
      <c r="DS122" s="64">
        <v>0</v>
      </c>
      <c r="DT122" s="65">
        <v>0</v>
      </c>
      <c r="DV122" s="7" t="s">
        <v>237</v>
      </c>
      <c r="DW122" s="52">
        <v>48091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 t="s">
        <v>201</v>
      </c>
    </row>
    <row r="123" spans="1:138" ht="15" customHeight="1">
      <c r="A123" s="37" t="s">
        <v>155</v>
      </c>
      <c r="B123" s="15"/>
      <c r="C123" s="16"/>
      <c r="D123" s="16"/>
      <c r="E123" s="16"/>
      <c r="F123" s="16"/>
      <c r="G123" s="16"/>
      <c r="H123" s="16"/>
      <c r="I123" s="16"/>
      <c r="J123" s="16"/>
      <c r="K123" s="15"/>
      <c r="L123" s="15"/>
      <c r="M123" s="15"/>
      <c r="N123" s="17"/>
      <c r="O123" s="18"/>
      <c r="P123" s="30"/>
      <c r="Q123" s="30"/>
      <c r="R123" s="27"/>
      <c r="S123" s="31"/>
      <c r="T123" s="31"/>
      <c r="U123" s="31"/>
      <c r="V123" s="31"/>
      <c r="W123" s="31"/>
      <c r="X123" s="31"/>
      <c r="Y123" s="27"/>
      <c r="Z123" s="31"/>
      <c r="AA123" s="27"/>
      <c r="AB123" s="22"/>
      <c r="AC123" s="18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4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E123" s="7">
        <v>0</v>
      </c>
      <c r="BF123" s="52">
        <v>0</v>
      </c>
      <c r="BG123" s="27">
        <v>0</v>
      </c>
      <c r="BH123" s="27">
        <v>366539</v>
      </c>
      <c r="BI123" s="63">
        <v>0</v>
      </c>
      <c r="BJ123" s="27">
        <v>0</v>
      </c>
      <c r="BK123" s="64">
        <v>0</v>
      </c>
      <c r="BL123" s="65">
        <v>0</v>
      </c>
      <c r="BM123" s="66">
        <v>0</v>
      </c>
      <c r="BN123" s="65">
        <v>0</v>
      </c>
      <c r="BO123" s="64">
        <v>0</v>
      </c>
      <c r="BP123" s="65">
        <v>0</v>
      </c>
      <c r="BQ123" s="24">
        <f t="shared" si="98"/>
        <v>366539</v>
      </c>
      <c r="BR123" s="7" t="s">
        <v>238</v>
      </c>
      <c r="BS123" s="52">
        <v>123663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60">
        <v>20000</v>
      </c>
      <c r="CE123" s="24"/>
      <c r="CF123" s="26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1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29"/>
      <c r="DI123" s="7">
        <v>0</v>
      </c>
      <c r="DJ123" s="52">
        <v>0</v>
      </c>
      <c r="DK123" s="27">
        <v>0</v>
      </c>
      <c r="DL123" s="27">
        <v>366539</v>
      </c>
      <c r="DM123" s="63">
        <v>0</v>
      </c>
      <c r="DN123" s="27">
        <v>0</v>
      </c>
      <c r="DO123" s="64">
        <v>0</v>
      </c>
      <c r="DP123" s="65">
        <v>0</v>
      </c>
      <c r="DQ123" s="66">
        <v>0</v>
      </c>
      <c r="DR123" s="65">
        <v>0</v>
      </c>
      <c r="DS123" s="64">
        <v>0</v>
      </c>
      <c r="DT123" s="65">
        <v>0</v>
      </c>
      <c r="DV123" s="7" t="s">
        <v>238</v>
      </c>
      <c r="DW123" s="52">
        <v>123663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60">
        <v>20000</v>
      </c>
    </row>
    <row r="124" spans="1:124" ht="15" customHeight="1">
      <c r="A124" s="37" t="s">
        <v>145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5"/>
      <c r="L124" s="15"/>
      <c r="M124" s="15"/>
      <c r="N124" s="17"/>
      <c r="O124" s="18"/>
      <c r="P124" s="30"/>
      <c r="Q124" s="30"/>
      <c r="R124" s="27"/>
      <c r="S124" s="31"/>
      <c r="T124" s="31"/>
      <c r="U124" s="31"/>
      <c r="V124" s="31"/>
      <c r="W124" s="31"/>
      <c r="X124" s="31"/>
      <c r="Y124" s="27"/>
      <c r="Z124" s="31"/>
      <c r="AA124" s="27"/>
      <c r="AB124" s="22"/>
      <c r="AC124" s="18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4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4"/>
      <c r="BE124" s="7">
        <v>0</v>
      </c>
      <c r="BF124" s="52">
        <v>0</v>
      </c>
      <c r="BG124" s="27">
        <v>275779</v>
      </c>
      <c r="BH124" s="27">
        <v>0</v>
      </c>
      <c r="BI124" s="63">
        <v>275779</v>
      </c>
      <c r="BJ124" s="27">
        <v>303775</v>
      </c>
      <c r="BK124" s="64">
        <v>0</v>
      </c>
      <c r="BL124" s="65">
        <v>630197</v>
      </c>
      <c r="BM124" s="66">
        <v>227380</v>
      </c>
      <c r="BN124" s="65">
        <v>198644</v>
      </c>
      <c r="BO124" s="64">
        <v>429235</v>
      </c>
      <c r="BP124" s="65">
        <v>244159</v>
      </c>
      <c r="BQ124" s="24">
        <f t="shared" si="98"/>
        <v>2584948</v>
      </c>
      <c r="CE124" s="24"/>
      <c r="CF124" s="26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1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29"/>
      <c r="DI124" s="7">
        <v>0</v>
      </c>
      <c r="DJ124" s="52">
        <v>0</v>
      </c>
      <c r="DK124" s="27">
        <v>275779</v>
      </c>
      <c r="DL124" s="27">
        <v>0</v>
      </c>
      <c r="DM124" s="63">
        <v>275779</v>
      </c>
      <c r="DN124" s="27">
        <v>303775</v>
      </c>
      <c r="DO124" s="64">
        <v>0</v>
      </c>
      <c r="DP124" s="65">
        <v>630197</v>
      </c>
      <c r="DQ124" s="66">
        <v>227380</v>
      </c>
      <c r="DR124" s="65">
        <v>198644</v>
      </c>
      <c r="DS124" s="64">
        <v>429235</v>
      </c>
      <c r="DT124" s="65">
        <v>244159</v>
      </c>
    </row>
    <row r="125" spans="1:138" ht="15" customHeight="1">
      <c r="A125" s="37" t="s">
        <v>177</v>
      </c>
      <c r="B125" s="15"/>
      <c r="C125" s="16"/>
      <c r="D125" s="16"/>
      <c r="E125" s="16"/>
      <c r="F125" s="16"/>
      <c r="G125" s="16"/>
      <c r="H125" s="16"/>
      <c r="I125" s="16"/>
      <c r="J125" s="16"/>
      <c r="K125" s="15"/>
      <c r="L125" s="15"/>
      <c r="M125" s="15"/>
      <c r="N125" s="17"/>
      <c r="O125" s="18"/>
      <c r="P125" s="30"/>
      <c r="Q125" s="30"/>
      <c r="R125" s="27"/>
      <c r="S125" s="31"/>
      <c r="T125" s="31"/>
      <c r="U125" s="31"/>
      <c r="V125" s="31"/>
      <c r="W125" s="31"/>
      <c r="X125" s="31"/>
      <c r="Y125" s="27"/>
      <c r="Z125" s="31"/>
      <c r="AA125" s="27"/>
      <c r="AB125" s="22"/>
      <c r="AC125" s="18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4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4"/>
      <c r="BE125" s="7">
        <v>0</v>
      </c>
      <c r="BF125" s="52">
        <v>0</v>
      </c>
      <c r="BG125" s="27">
        <v>0</v>
      </c>
      <c r="BH125" s="27">
        <v>0</v>
      </c>
      <c r="BI125" s="63">
        <v>0</v>
      </c>
      <c r="BJ125" s="27">
        <v>76201</v>
      </c>
      <c r="BK125" s="64">
        <v>0</v>
      </c>
      <c r="BL125" s="65">
        <v>30480</v>
      </c>
      <c r="BM125" s="66">
        <v>60755</v>
      </c>
      <c r="BN125" s="65">
        <v>15240</v>
      </c>
      <c r="BO125" s="64">
        <v>15240</v>
      </c>
      <c r="BP125" s="65">
        <v>15240</v>
      </c>
      <c r="BQ125" s="24">
        <f t="shared" si="98"/>
        <v>213156</v>
      </c>
      <c r="BR125" s="7" t="s">
        <v>249</v>
      </c>
      <c r="BS125" s="7">
        <v>0</v>
      </c>
      <c r="BT125" s="7">
        <v>137888</v>
      </c>
      <c r="BU125" s="52">
        <v>322389</v>
      </c>
      <c r="BV125" s="52">
        <v>161194</v>
      </c>
      <c r="BW125" s="52">
        <v>161194</v>
      </c>
      <c r="BX125" s="52">
        <v>22524</v>
      </c>
      <c r="BY125" s="7">
        <v>0</v>
      </c>
      <c r="BZ125" s="52">
        <v>15239</v>
      </c>
      <c r="CA125" s="7">
        <v>0</v>
      </c>
      <c r="CB125" s="52">
        <v>89786</v>
      </c>
      <c r="CC125" s="7">
        <v>22369</v>
      </c>
      <c r="CD125" s="60">
        <v>22369</v>
      </c>
      <c r="CE125" s="24"/>
      <c r="CF125" s="26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1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29"/>
      <c r="DI125" s="7">
        <v>0</v>
      </c>
      <c r="DJ125" s="52">
        <v>0</v>
      </c>
      <c r="DK125" s="27">
        <v>0</v>
      </c>
      <c r="DL125" s="27">
        <v>0</v>
      </c>
      <c r="DM125" s="63">
        <v>0</v>
      </c>
      <c r="DN125" s="27">
        <v>76201</v>
      </c>
      <c r="DO125" s="64">
        <v>0</v>
      </c>
      <c r="DP125" s="65">
        <v>30480</v>
      </c>
      <c r="DQ125" s="66">
        <v>60755</v>
      </c>
      <c r="DR125" s="65">
        <v>15240</v>
      </c>
      <c r="DS125" s="64">
        <v>15240</v>
      </c>
      <c r="DT125" s="65">
        <v>15240</v>
      </c>
      <c r="DV125" s="7" t="s">
        <v>249</v>
      </c>
      <c r="DW125" s="7">
        <v>0</v>
      </c>
      <c r="DX125" s="7">
        <v>137888</v>
      </c>
      <c r="DY125" s="52">
        <v>322389</v>
      </c>
      <c r="DZ125" s="52">
        <v>161194</v>
      </c>
      <c r="EA125" s="52">
        <v>161194</v>
      </c>
      <c r="EB125" s="52">
        <v>22524</v>
      </c>
      <c r="EC125" s="7">
        <v>0</v>
      </c>
      <c r="ED125" s="52">
        <v>15239</v>
      </c>
      <c r="EE125" s="7">
        <v>0</v>
      </c>
      <c r="EF125" s="52">
        <v>89786</v>
      </c>
      <c r="EG125" s="7">
        <v>22369</v>
      </c>
      <c r="EH125" s="60">
        <v>22369</v>
      </c>
    </row>
    <row r="126" spans="1:138" ht="15" customHeight="1">
      <c r="A126" s="37" t="s">
        <v>178</v>
      </c>
      <c r="B126" s="15"/>
      <c r="C126" s="16"/>
      <c r="D126" s="16"/>
      <c r="E126" s="16"/>
      <c r="F126" s="16"/>
      <c r="G126" s="16"/>
      <c r="H126" s="16"/>
      <c r="I126" s="16"/>
      <c r="J126" s="16"/>
      <c r="K126" s="15"/>
      <c r="L126" s="15"/>
      <c r="M126" s="15"/>
      <c r="N126" s="17"/>
      <c r="O126" s="18"/>
      <c r="P126" s="30"/>
      <c r="Q126" s="30"/>
      <c r="R126" s="27"/>
      <c r="S126" s="31"/>
      <c r="T126" s="31"/>
      <c r="U126" s="31"/>
      <c r="V126" s="31"/>
      <c r="W126" s="31"/>
      <c r="X126" s="31"/>
      <c r="Y126" s="27"/>
      <c r="Z126" s="31"/>
      <c r="AA126" s="27"/>
      <c r="AB126" s="22"/>
      <c r="AC126" s="18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4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E126" s="7">
        <v>0</v>
      </c>
      <c r="BF126" s="52">
        <v>0</v>
      </c>
      <c r="BG126" s="27">
        <v>275779</v>
      </c>
      <c r="BH126" s="27">
        <v>0</v>
      </c>
      <c r="BI126" s="63">
        <v>275779</v>
      </c>
      <c r="BJ126" s="27">
        <v>0</v>
      </c>
      <c r="BK126" s="64">
        <v>0</v>
      </c>
      <c r="BL126" s="65">
        <v>508687</v>
      </c>
      <c r="BM126" s="66">
        <v>166625</v>
      </c>
      <c r="BN126" s="65">
        <v>137889</v>
      </c>
      <c r="BO126" s="64">
        <v>137889</v>
      </c>
      <c r="BP126" s="65">
        <v>137889</v>
      </c>
      <c r="BQ126" s="24">
        <f t="shared" si="98"/>
        <v>1640537</v>
      </c>
      <c r="BR126" s="7" t="s">
        <v>250</v>
      </c>
      <c r="BS126" s="7">
        <v>0</v>
      </c>
      <c r="BT126" s="7">
        <v>133571</v>
      </c>
      <c r="BU126" s="52">
        <v>318405</v>
      </c>
      <c r="BV126" s="52">
        <v>157210</v>
      </c>
      <c r="BW126" s="52">
        <v>157210</v>
      </c>
      <c r="BX126" s="7">
        <v>0</v>
      </c>
      <c r="BY126" s="52">
        <v>161194</v>
      </c>
      <c r="BZ126" s="52">
        <v>133558</v>
      </c>
      <c r="CA126" s="52">
        <v>161419</v>
      </c>
      <c r="CB126" s="52">
        <v>479638</v>
      </c>
      <c r="CC126" s="7">
        <v>161214</v>
      </c>
      <c r="CD126" s="60">
        <v>161214</v>
      </c>
      <c r="CE126" s="24"/>
      <c r="CF126" s="26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1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29"/>
      <c r="DI126" s="7">
        <v>0</v>
      </c>
      <c r="DJ126" s="52">
        <v>0</v>
      </c>
      <c r="DK126" s="27">
        <v>275779</v>
      </c>
      <c r="DL126" s="27">
        <v>0</v>
      </c>
      <c r="DM126" s="63">
        <v>275779</v>
      </c>
      <c r="DN126" s="27">
        <v>0</v>
      </c>
      <c r="DO126" s="64">
        <v>0</v>
      </c>
      <c r="DP126" s="65">
        <v>508687</v>
      </c>
      <c r="DQ126" s="66">
        <v>166625</v>
      </c>
      <c r="DR126" s="65">
        <v>137889</v>
      </c>
      <c r="DS126" s="64">
        <v>137889</v>
      </c>
      <c r="DT126" s="65">
        <v>137889</v>
      </c>
      <c r="DV126" s="7" t="s">
        <v>250</v>
      </c>
      <c r="DW126" s="7">
        <v>0</v>
      </c>
      <c r="DX126" s="7">
        <v>133571</v>
      </c>
      <c r="DY126" s="52">
        <v>318405</v>
      </c>
      <c r="DZ126" s="52">
        <v>157210</v>
      </c>
      <c r="EA126" s="52">
        <v>157210</v>
      </c>
      <c r="EB126" s="7">
        <v>0</v>
      </c>
      <c r="EC126" s="52">
        <v>161194</v>
      </c>
      <c r="ED126" s="52">
        <v>133558</v>
      </c>
      <c r="EE126" s="52">
        <v>161419</v>
      </c>
      <c r="EF126" s="52">
        <v>479638</v>
      </c>
      <c r="EG126" s="7">
        <v>161214</v>
      </c>
      <c r="EH126" s="60">
        <v>161214</v>
      </c>
    </row>
    <row r="127" spans="1:138" ht="15" customHeight="1">
      <c r="A127" s="37" t="s">
        <v>179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5"/>
      <c r="L127" s="15"/>
      <c r="M127" s="15"/>
      <c r="N127" s="17"/>
      <c r="O127" s="18"/>
      <c r="P127" s="30"/>
      <c r="Q127" s="30"/>
      <c r="R127" s="27"/>
      <c r="S127" s="31"/>
      <c r="T127" s="31"/>
      <c r="U127" s="31"/>
      <c r="V127" s="31"/>
      <c r="W127" s="31"/>
      <c r="X127" s="31"/>
      <c r="Y127" s="27"/>
      <c r="Z127" s="31"/>
      <c r="AA127" s="27"/>
      <c r="AB127" s="22"/>
      <c r="AC127" s="18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4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E127" s="7">
        <v>0</v>
      </c>
      <c r="BF127" s="52">
        <v>0</v>
      </c>
      <c r="BG127" s="27">
        <v>275779</v>
      </c>
      <c r="BH127" s="27">
        <v>0</v>
      </c>
      <c r="BI127" s="63">
        <v>267143</v>
      </c>
      <c r="BJ127" s="27">
        <v>0</v>
      </c>
      <c r="BK127" s="64">
        <v>0</v>
      </c>
      <c r="BL127" s="65">
        <v>495733</v>
      </c>
      <c r="BM127" s="66">
        <v>133571</v>
      </c>
      <c r="BN127" s="65">
        <v>4318</v>
      </c>
      <c r="BO127" s="64">
        <v>133571</v>
      </c>
      <c r="BP127" s="65">
        <v>133571</v>
      </c>
      <c r="BQ127" s="24">
        <f t="shared" si="98"/>
        <v>1443686</v>
      </c>
      <c r="BR127" s="7" t="s">
        <v>251</v>
      </c>
      <c r="BS127" s="7">
        <v>0</v>
      </c>
      <c r="BT127" s="7">
        <v>4317</v>
      </c>
      <c r="BU127" s="52">
        <v>3984</v>
      </c>
      <c r="BV127" s="52">
        <v>3984</v>
      </c>
      <c r="BW127" s="52">
        <v>3984</v>
      </c>
      <c r="BX127" s="7">
        <v>0</v>
      </c>
      <c r="BY127" s="52">
        <v>157210</v>
      </c>
      <c r="BZ127" s="52">
        <v>133558</v>
      </c>
      <c r="CA127" s="52">
        <v>157210</v>
      </c>
      <c r="CB127" s="52">
        <v>467647</v>
      </c>
      <c r="CC127" s="7">
        <v>157210</v>
      </c>
      <c r="CD127" s="60">
        <v>157210</v>
      </c>
      <c r="CE127" s="24"/>
      <c r="CF127" s="26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1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29"/>
      <c r="DI127" s="7">
        <v>0</v>
      </c>
      <c r="DJ127" s="52">
        <v>0</v>
      </c>
      <c r="DK127" s="27">
        <v>275779</v>
      </c>
      <c r="DL127" s="27">
        <v>0</v>
      </c>
      <c r="DM127" s="63">
        <v>267143</v>
      </c>
      <c r="DN127" s="27">
        <v>0</v>
      </c>
      <c r="DO127" s="64">
        <v>0</v>
      </c>
      <c r="DP127" s="65">
        <v>495733</v>
      </c>
      <c r="DQ127" s="66">
        <v>133571</v>
      </c>
      <c r="DR127" s="65">
        <v>4318</v>
      </c>
      <c r="DS127" s="64">
        <v>133571</v>
      </c>
      <c r="DT127" s="65">
        <v>133571</v>
      </c>
      <c r="DV127" s="7" t="s">
        <v>251</v>
      </c>
      <c r="DW127" s="7">
        <v>0</v>
      </c>
      <c r="DX127" s="7">
        <v>4317</v>
      </c>
      <c r="DY127" s="52">
        <v>3984</v>
      </c>
      <c r="DZ127" s="52">
        <v>3984</v>
      </c>
      <c r="EA127" s="52">
        <v>3984</v>
      </c>
      <c r="EB127" s="7">
        <v>0</v>
      </c>
      <c r="EC127" s="52">
        <v>157210</v>
      </c>
      <c r="ED127" s="52">
        <v>133558</v>
      </c>
      <c r="EE127" s="52">
        <v>157210</v>
      </c>
      <c r="EF127" s="52">
        <v>467647</v>
      </c>
      <c r="EG127" s="7">
        <v>157210</v>
      </c>
      <c r="EH127" s="60">
        <v>157210</v>
      </c>
    </row>
    <row r="128" spans="1:138" ht="15" customHeight="1">
      <c r="A128" s="37" t="s">
        <v>180</v>
      </c>
      <c r="B128" s="15"/>
      <c r="C128" s="16"/>
      <c r="D128" s="16"/>
      <c r="E128" s="16"/>
      <c r="F128" s="16"/>
      <c r="G128" s="16"/>
      <c r="H128" s="16"/>
      <c r="I128" s="16"/>
      <c r="J128" s="16"/>
      <c r="K128" s="15"/>
      <c r="L128" s="15"/>
      <c r="M128" s="15"/>
      <c r="N128" s="17"/>
      <c r="O128" s="18"/>
      <c r="P128" s="30"/>
      <c r="Q128" s="30"/>
      <c r="R128" s="27"/>
      <c r="S128" s="31"/>
      <c r="T128" s="31"/>
      <c r="U128" s="31"/>
      <c r="V128" s="31"/>
      <c r="W128" s="31"/>
      <c r="X128" s="31"/>
      <c r="Y128" s="27"/>
      <c r="Z128" s="31"/>
      <c r="AA128" s="27"/>
      <c r="AB128" s="22"/>
      <c r="AC128" s="18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4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4"/>
      <c r="BE128" s="7">
        <v>0</v>
      </c>
      <c r="BF128" s="52">
        <v>0</v>
      </c>
      <c r="BG128" s="27">
        <v>0</v>
      </c>
      <c r="BH128" s="27">
        <v>0</v>
      </c>
      <c r="BI128" s="63">
        <v>8636</v>
      </c>
      <c r="BJ128" s="27">
        <v>0</v>
      </c>
      <c r="BK128" s="64">
        <v>0</v>
      </c>
      <c r="BL128" s="65">
        <v>12955</v>
      </c>
      <c r="BM128" s="66">
        <v>33054</v>
      </c>
      <c r="BN128" s="65">
        <v>133571</v>
      </c>
      <c r="BO128" s="64">
        <v>4318</v>
      </c>
      <c r="BP128" s="65">
        <v>4318</v>
      </c>
      <c r="BQ128" s="24">
        <f t="shared" si="98"/>
        <v>196852</v>
      </c>
      <c r="BR128" s="7" t="s">
        <v>252</v>
      </c>
      <c r="BS128" s="7">
        <v>0</v>
      </c>
      <c r="BT128" s="7">
        <v>46031</v>
      </c>
      <c r="BU128" s="52">
        <v>38623</v>
      </c>
      <c r="BV128" s="52">
        <v>38623</v>
      </c>
      <c r="BW128" s="52">
        <v>77246</v>
      </c>
      <c r="BX128" s="7">
        <v>0</v>
      </c>
      <c r="BY128" s="52">
        <v>3984</v>
      </c>
      <c r="BZ128" s="7">
        <v>0</v>
      </c>
      <c r="CA128" s="52">
        <v>4004</v>
      </c>
      <c r="CB128" s="52">
        <v>11991</v>
      </c>
      <c r="CC128" s="7">
        <v>4004</v>
      </c>
      <c r="CD128" s="60">
        <v>4004</v>
      </c>
      <c r="CE128" s="24"/>
      <c r="CF128" s="26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1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29"/>
      <c r="DI128" s="7">
        <v>0</v>
      </c>
      <c r="DJ128" s="52">
        <v>0</v>
      </c>
      <c r="DK128" s="27">
        <v>0</v>
      </c>
      <c r="DL128" s="27">
        <v>0</v>
      </c>
      <c r="DM128" s="63">
        <v>8636</v>
      </c>
      <c r="DN128" s="27">
        <v>0</v>
      </c>
      <c r="DO128" s="64">
        <v>0</v>
      </c>
      <c r="DP128" s="65">
        <v>12955</v>
      </c>
      <c r="DQ128" s="66">
        <v>33054</v>
      </c>
      <c r="DR128" s="65">
        <v>133571</v>
      </c>
      <c r="DS128" s="64">
        <v>4318</v>
      </c>
      <c r="DT128" s="65">
        <v>4318</v>
      </c>
      <c r="DV128" s="7" t="s">
        <v>252</v>
      </c>
      <c r="DW128" s="7">
        <v>0</v>
      </c>
      <c r="DX128" s="7">
        <v>46031</v>
      </c>
      <c r="DY128" s="52">
        <v>38623</v>
      </c>
      <c r="DZ128" s="52">
        <v>38623</v>
      </c>
      <c r="EA128" s="52">
        <v>77246</v>
      </c>
      <c r="EB128" s="7">
        <v>0</v>
      </c>
      <c r="EC128" s="52">
        <v>3984</v>
      </c>
      <c r="ED128" s="7">
        <v>0</v>
      </c>
      <c r="EE128" s="52">
        <v>4004</v>
      </c>
      <c r="EF128" s="52">
        <v>11991</v>
      </c>
      <c r="EG128" s="7">
        <v>4004</v>
      </c>
      <c r="EH128" s="60">
        <v>4004</v>
      </c>
    </row>
    <row r="129" spans="1:138" ht="15" customHeight="1">
      <c r="A129" s="37" t="s">
        <v>181</v>
      </c>
      <c r="B129" s="15"/>
      <c r="C129" s="16"/>
      <c r="D129" s="16"/>
      <c r="E129" s="16"/>
      <c r="F129" s="16"/>
      <c r="G129" s="16"/>
      <c r="H129" s="16"/>
      <c r="I129" s="16"/>
      <c r="J129" s="16"/>
      <c r="K129" s="15"/>
      <c r="L129" s="15"/>
      <c r="M129" s="15"/>
      <c r="N129" s="17"/>
      <c r="O129" s="18"/>
      <c r="P129" s="30"/>
      <c r="Q129" s="30"/>
      <c r="R129" s="27"/>
      <c r="S129" s="31"/>
      <c r="T129" s="31"/>
      <c r="U129" s="31"/>
      <c r="V129" s="31"/>
      <c r="W129" s="31"/>
      <c r="X129" s="31"/>
      <c r="Y129" s="27"/>
      <c r="Z129" s="31"/>
      <c r="AA129" s="27"/>
      <c r="AB129" s="22"/>
      <c r="AC129" s="18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4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4"/>
      <c r="BE129" s="7">
        <v>0</v>
      </c>
      <c r="BF129" s="52">
        <v>0</v>
      </c>
      <c r="BG129" s="27">
        <v>0</v>
      </c>
      <c r="BH129" s="27">
        <v>0</v>
      </c>
      <c r="BI129" s="63">
        <v>0</v>
      </c>
      <c r="BJ129" s="27">
        <v>227574</v>
      </c>
      <c r="BK129" s="64">
        <v>0</v>
      </c>
      <c r="BL129" s="65">
        <v>91030</v>
      </c>
      <c r="BM129" s="66">
        <v>0</v>
      </c>
      <c r="BN129" s="65">
        <v>45515</v>
      </c>
      <c r="BO129" s="64">
        <v>276105</v>
      </c>
      <c r="BP129" s="65">
        <v>91030</v>
      </c>
      <c r="BQ129" s="24">
        <f t="shared" si="98"/>
        <v>731254</v>
      </c>
      <c r="BR129" s="7" t="s">
        <v>253</v>
      </c>
      <c r="BS129" s="7">
        <v>0</v>
      </c>
      <c r="BT129" s="7">
        <v>46031</v>
      </c>
      <c r="BU129" s="52">
        <v>38623</v>
      </c>
      <c r="BV129" s="52">
        <v>38623</v>
      </c>
      <c r="BW129" s="52">
        <v>77246</v>
      </c>
      <c r="BX129" s="52">
        <v>38623</v>
      </c>
      <c r="BY129" s="7">
        <v>0</v>
      </c>
      <c r="BZ129" s="52">
        <v>71121</v>
      </c>
      <c r="CA129" s="52">
        <v>38623</v>
      </c>
      <c r="CB129" s="52">
        <v>116141</v>
      </c>
      <c r="CC129" s="7">
        <v>38714</v>
      </c>
      <c r="CD129" s="60">
        <v>38714</v>
      </c>
      <c r="CE129" s="24"/>
      <c r="CF129" s="26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1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29"/>
      <c r="DI129" s="7">
        <v>0</v>
      </c>
      <c r="DJ129" s="52">
        <v>0</v>
      </c>
      <c r="DK129" s="27">
        <v>0</v>
      </c>
      <c r="DL129" s="27">
        <v>0</v>
      </c>
      <c r="DM129" s="63">
        <v>0</v>
      </c>
      <c r="DN129" s="27">
        <v>227574</v>
      </c>
      <c r="DO129" s="64">
        <v>0</v>
      </c>
      <c r="DP129" s="65">
        <v>91030</v>
      </c>
      <c r="DQ129" s="66">
        <v>0</v>
      </c>
      <c r="DR129" s="65">
        <v>45515</v>
      </c>
      <c r="DS129" s="64">
        <v>276105</v>
      </c>
      <c r="DT129" s="65">
        <v>91030</v>
      </c>
      <c r="DV129" s="7" t="s">
        <v>253</v>
      </c>
      <c r="DW129" s="7">
        <v>0</v>
      </c>
      <c r="DX129" s="7">
        <v>46031</v>
      </c>
      <c r="DY129" s="52">
        <v>38623</v>
      </c>
      <c r="DZ129" s="52">
        <v>38623</v>
      </c>
      <c r="EA129" s="52">
        <v>77246</v>
      </c>
      <c r="EB129" s="52">
        <v>38623</v>
      </c>
      <c r="EC129" s="7">
        <v>0</v>
      </c>
      <c r="ED129" s="52">
        <v>71121</v>
      </c>
      <c r="EE129" s="52">
        <v>38623</v>
      </c>
      <c r="EF129" s="52">
        <v>116141</v>
      </c>
      <c r="EG129" s="7">
        <v>38714</v>
      </c>
      <c r="EH129" s="60">
        <v>38714</v>
      </c>
    </row>
    <row r="130" spans="1:138" ht="15" customHeight="1">
      <c r="A130" s="37" t="s">
        <v>181</v>
      </c>
      <c r="B130" s="15"/>
      <c r="C130" s="16"/>
      <c r="D130" s="16"/>
      <c r="E130" s="16"/>
      <c r="F130" s="16"/>
      <c r="G130" s="16"/>
      <c r="H130" s="16"/>
      <c r="I130" s="16"/>
      <c r="J130" s="16"/>
      <c r="K130" s="15"/>
      <c r="L130" s="15"/>
      <c r="M130" s="15"/>
      <c r="N130" s="17"/>
      <c r="O130" s="18"/>
      <c r="P130" s="30"/>
      <c r="Q130" s="30"/>
      <c r="R130" s="27"/>
      <c r="S130" s="31"/>
      <c r="T130" s="31"/>
      <c r="U130" s="31"/>
      <c r="V130" s="31"/>
      <c r="W130" s="31"/>
      <c r="X130" s="31"/>
      <c r="Y130" s="27"/>
      <c r="Z130" s="31"/>
      <c r="AA130" s="27"/>
      <c r="AB130" s="22"/>
      <c r="AC130" s="18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4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E130" s="7">
        <v>0</v>
      </c>
      <c r="BF130" s="52">
        <v>0</v>
      </c>
      <c r="BG130" s="27">
        <v>0</v>
      </c>
      <c r="BH130" s="27">
        <v>0</v>
      </c>
      <c r="BI130" s="63">
        <v>0</v>
      </c>
      <c r="BJ130" s="27">
        <v>227574</v>
      </c>
      <c r="BK130" s="64">
        <v>0</v>
      </c>
      <c r="BL130" s="65">
        <v>91030</v>
      </c>
      <c r="BM130" s="66">
        <v>0</v>
      </c>
      <c r="BN130" s="65">
        <v>45515</v>
      </c>
      <c r="BO130" s="64">
        <v>45515</v>
      </c>
      <c r="BP130" s="65">
        <v>91030</v>
      </c>
      <c r="BQ130" s="24">
        <f t="shared" si="98"/>
        <v>500664</v>
      </c>
      <c r="BR130" s="7" t="s">
        <v>230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52">
        <v>38623</v>
      </c>
      <c r="BY130" s="7">
        <v>0</v>
      </c>
      <c r="BZ130" s="52">
        <v>45510</v>
      </c>
      <c r="CA130" s="52">
        <v>38623</v>
      </c>
      <c r="CB130" s="52">
        <v>116141</v>
      </c>
      <c r="CC130" s="7">
        <v>38714</v>
      </c>
      <c r="CD130" s="60">
        <v>38714</v>
      </c>
      <c r="CE130" s="24"/>
      <c r="CF130" s="26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1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29"/>
      <c r="DI130" s="7">
        <v>0</v>
      </c>
      <c r="DJ130" s="52">
        <v>0</v>
      </c>
      <c r="DK130" s="27">
        <v>0</v>
      </c>
      <c r="DL130" s="27">
        <v>0</v>
      </c>
      <c r="DM130" s="63">
        <v>0</v>
      </c>
      <c r="DN130" s="27">
        <v>227574</v>
      </c>
      <c r="DO130" s="64">
        <v>0</v>
      </c>
      <c r="DP130" s="65">
        <v>91030</v>
      </c>
      <c r="DQ130" s="66">
        <v>0</v>
      </c>
      <c r="DR130" s="65">
        <v>45515</v>
      </c>
      <c r="DS130" s="64">
        <v>45515</v>
      </c>
      <c r="DT130" s="65">
        <v>91030</v>
      </c>
      <c r="DV130" s="7" t="s">
        <v>230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52">
        <v>38623</v>
      </c>
      <c r="EC130" s="7">
        <v>0</v>
      </c>
      <c r="ED130" s="52">
        <v>45510</v>
      </c>
      <c r="EE130" s="52">
        <v>38623</v>
      </c>
      <c r="EF130" s="52">
        <v>116141</v>
      </c>
      <c r="EG130" s="7">
        <v>38714</v>
      </c>
      <c r="EH130" s="60">
        <v>38714</v>
      </c>
    </row>
    <row r="131" spans="1:138" ht="15" customHeight="1">
      <c r="A131" s="67" t="s">
        <v>82</v>
      </c>
      <c r="B131" s="15"/>
      <c r="C131" s="16"/>
      <c r="D131" s="16"/>
      <c r="E131" s="16"/>
      <c r="F131" s="16"/>
      <c r="G131" s="16"/>
      <c r="H131" s="16"/>
      <c r="I131" s="16"/>
      <c r="J131" s="16"/>
      <c r="K131" s="15"/>
      <c r="L131" s="15"/>
      <c r="M131" s="15"/>
      <c r="N131" s="17"/>
      <c r="O131" s="18"/>
      <c r="P131" s="30"/>
      <c r="Q131" s="30"/>
      <c r="R131" s="27"/>
      <c r="S131" s="31"/>
      <c r="T131" s="31"/>
      <c r="U131" s="31"/>
      <c r="V131" s="31"/>
      <c r="W131" s="31"/>
      <c r="X131" s="31"/>
      <c r="Y131" s="27"/>
      <c r="Z131" s="31"/>
      <c r="AA131" s="27"/>
      <c r="AB131" s="22"/>
      <c r="AC131" s="18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4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E131" s="7">
        <v>0</v>
      </c>
      <c r="BF131" s="52">
        <v>0</v>
      </c>
      <c r="BG131" s="27">
        <v>0</v>
      </c>
      <c r="BH131" s="27">
        <v>0</v>
      </c>
      <c r="BI131" s="63">
        <v>0</v>
      </c>
      <c r="BJ131" s="27">
        <v>0</v>
      </c>
      <c r="BK131" s="64">
        <v>0</v>
      </c>
      <c r="BL131" s="65">
        <v>0</v>
      </c>
      <c r="BM131" s="66">
        <v>0</v>
      </c>
      <c r="BN131" s="65">
        <v>0</v>
      </c>
      <c r="BO131" s="64">
        <v>230590</v>
      </c>
      <c r="BP131" s="65">
        <v>0</v>
      </c>
      <c r="BQ131" s="24">
        <f aca="true" t="shared" si="154" ref="BQ131:BQ172">SUM(BE131:BP131)</f>
        <v>230590</v>
      </c>
      <c r="BR131" s="7" t="s">
        <v>82</v>
      </c>
      <c r="BS131" s="7">
        <v>550</v>
      </c>
      <c r="BT131" s="52">
        <f>199160+351</f>
        <v>199511</v>
      </c>
      <c r="BU131" s="7">
        <v>554</v>
      </c>
      <c r="BV131" s="7">
        <v>250</v>
      </c>
      <c r="BW131" s="7">
        <v>331</v>
      </c>
      <c r="BX131" s="7">
        <v>0</v>
      </c>
      <c r="BY131" s="7">
        <v>0</v>
      </c>
      <c r="BZ131" s="52">
        <v>25611</v>
      </c>
      <c r="CA131" s="7">
        <v>0</v>
      </c>
      <c r="CB131" s="7">
        <v>0</v>
      </c>
      <c r="CC131" s="7">
        <v>0</v>
      </c>
      <c r="CD131" s="7" t="s">
        <v>201</v>
      </c>
      <c r="CE131" s="24"/>
      <c r="CF131" s="26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1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29"/>
      <c r="DI131" s="7">
        <v>0</v>
      </c>
      <c r="DJ131" s="52">
        <v>0</v>
      </c>
      <c r="DK131" s="27">
        <v>0</v>
      </c>
      <c r="DL131" s="27">
        <v>0</v>
      </c>
      <c r="DM131" s="63">
        <v>0</v>
      </c>
      <c r="DN131" s="27">
        <v>0</v>
      </c>
      <c r="DO131" s="64">
        <v>0</v>
      </c>
      <c r="DP131" s="65">
        <v>0</v>
      </c>
      <c r="DQ131" s="66">
        <v>0</v>
      </c>
      <c r="DR131" s="65">
        <v>0</v>
      </c>
      <c r="DS131" s="64">
        <v>230590</v>
      </c>
      <c r="DT131" s="65">
        <v>0</v>
      </c>
      <c r="DV131" s="7" t="s">
        <v>82</v>
      </c>
      <c r="DW131" s="7">
        <v>550</v>
      </c>
      <c r="DX131" s="52">
        <f>199160+351</f>
        <v>199511</v>
      </c>
      <c r="DY131" s="7">
        <v>554</v>
      </c>
      <c r="DZ131" s="7">
        <v>250</v>
      </c>
      <c r="EA131" s="7">
        <v>331</v>
      </c>
      <c r="EB131" s="7">
        <v>0</v>
      </c>
      <c r="EC131" s="7">
        <v>0</v>
      </c>
      <c r="ED131" s="52">
        <v>25611</v>
      </c>
      <c r="EE131" s="7">
        <v>0</v>
      </c>
      <c r="EF131" s="7">
        <v>0</v>
      </c>
      <c r="EG131" s="7">
        <v>0</v>
      </c>
      <c r="EH131" s="7" t="s">
        <v>201</v>
      </c>
    </row>
    <row r="132" spans="1:111" ht="15" customHeight="1">
      <c r="A132" s="14" t="s">
        <v>90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5"/>
      <c r="L132" s="15"/>
      <c r="M132" s="15"/>
      <c r="N132" s="17">
        <f aca="true" t="shared" si="155" ref="N132:N142">SUM(B132:M132)</f>
        <v>0</v>
      </c>
      <c r="O132" s="18" t="s">
        <v>90</v>
      </c>
      <c r="P132" s="30">
        <v>0</v>
      </c>
      <c r="Q132" s="30">
        <v>0</v>
      </c>
      <c r="R132" s="27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27">
        <v>0</v>
      </c>
      <c r="Z132" s="31">
        <v>0</v>
      </c>
      <c r="AA132" s="27">
        <v>0</v>
      </c>
      <c r="AB132" s="22">
        <f aca="true" t="shared" si="156" ref="AB132:AB142">SUM(P132:AA132)</f>
        <v>0</v>
      </c>
      <c r="AC132" s="18" t="s">
        <v>90</v>
      </c>
      <c r="AD132" s="23"/>
      <c r="AE132" s="23"/>
      <c r="AF132" s="23">
        <f aca="true" t="shared" si="157" ref="AF132:AO132">SUM(AF133)</f>
        <v>72466926</v>
      </c>
      <c r="AG132" s="23">
        <f t="shared" si="157"/>
        <v>0</v>
      </c>
      <c r="AH132" s="23">
        <f t="shared" si="157"/>
        <v>0</v>
      </c>
      <c r="AI132" s="23">
        <f t="shared" si="157"/>
        <v>48311284</v>
      </c>
      <c r="AJ132" s="23">
        <f t="shared" si="157"/>
        <v>0</v>
      </c>
      <c r="AK132" s="23">
        <f t="shared" si="157"/>
        <v>0</v>
      </c>
      <c r="AL132" s="23">
        <f t="shared" si="157"/>
        <v>19997667</v>
      </c>
      <c r="AM132" s="23">
        <f t="shared" si="157"/>
        <v>0</v>
      </c>
      <c r="AN132" s="23">
        <f t="shared" si="157"/>
        <v>0</v>
      </c>
      <c r="AO132" s="23">
        <f t="shared" si="157"/>
        <v>0</v>
      </c>
      <c r="AP132" s="24">
        <f aca="true" t="shared" si="158" ref="AP132:AP142">SUM(AD132:AO132)</f>
        <v>140775877</v>
      </c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4">
        <f aca="true" t="shared" si="159" ref="BC132:BC142">SUM(AQ132:BB132)</f>
        <v>0</v>
      </c>
      <c r="BQ132" s="24">
        <f t="shared" si="154"/>
        <v>0</v>
      </c>
      <c r="CE132" s="24"/>
      <c r="CF132" s="26" t="s">
        <v>90</v>
      </c>
      <c r="CG132" s="27">
        <f aca="true" t="shared" si="160" ref="CG132:CG142">+SUM(+B132+P132+AD132+AQ132)/4</f>
        <v>0</v>
      </c>
      <c r="CH132" s="27">
        <f aca="true" t="shared" si="161" ref="CH132:CH142">+SUM(+C132+Q132+AE132+AR132)/4</f>
        <v>0</v>
      </c>
      <c r="CI132" s="27">
        <f aca="true" t="shared" si="162" ref="CI132:CI142">+SUM(+D132+R132+AF132+AS132)/4</f>
        <v>18116731.5</v>
      </c>
      <c r="CJ132" s="27">
        <f aca="true" t="shared" si="163" ref="CJ132:CJ142">+SUM(+E132+S132+AG132+AT132)/4</f>
        <v>0</v>
      </c>
      <c r="CK132" s="27">
        <f aca="true" t="shared" si="164" ref="CK132:CK142">+SUM(+F132+T132+AH132+AU132)/4</f>
        <v>0</v>
      </c>
      <c r="CL132" s="27">
        <f aca="true" t="shared" si="165" ref="CL132:CL142">+SUM(+G132+U132+AI132+AV132)/4</f>
        <v>12077821</v>
      </c>
      <c r="CM132" s="27">
        <f aca="true" t="shared" si="166" ref="CM132:CM142">+SUM(+H132+V132+AJ132+AW132)/4</f>
        <v>0</v>
      </c>
      <c r="CN132" s="27">
        <f aca="true" t="shared" si="167" ref="CN132:CN142">+SUM(+I132+W132+AK132+AX132)/4</f>
        <v>0</v>
      </c>
      <c r="CO132" s="27">
        <f aca="true" t="shared" si="168" ref="CO132:CO142">+SUM(+J132+X132+AL132+AY132)/4</f>
        <v>4999416.75</v>
      </c>
      <c r="CP132" s="27">
        <f aca="true" t="shared" si="169" ref="CP132:CP142">+SUM(+K132+Y132+AM132+AZ132)/4</f>
        <v>0</v>
      </c>
      <c r="CQ132" s="27">
        <f aca="true" t="shared" si="170" ref="CQ132:CQ142">+SUM(+L132+Z132+AN132+BA132)/4</f>
        <v>0</v>
      </c>
      <c r="CR132" s="27">
        <f aca="true" t="shared" si="171" ref="CR132:CR142">+SUM(+M132+AA132+AO132+BB132)/4</f>
        <v>0</v>
      </c>
      <c r="CS132" s="37"/>
      <c r="CT132" s="18" t="s">
        <v>90</v>
      </c>
      <c r="DG132" s="29"/>
    </row>
    <row r="133" spans="1:124" ht="15" customHeight="1">
      <c r="A133" s="14" t="s">
        <v>91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5"/>
      <c r="L133" s="15"/>
      <c r="M133" s="15"/>
      <c r="N133" s="17">
        <f t="shared" si="155"/>
        <v>0</v>
      </c>
      <c r="O133" s="18" t="s">
        <v>91</v>
      </c>
      <c r="P133" s="30">
        <v>0</v>
      </c>
      <c r="Q133" s="30">
        <v>0</v>
      </c>
      <c r="R133" s="27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27">
        <v>0</v>
      </c>
      <c r="Z133" s="31">
        <v>0</v>
      </c>
      <c r="AA133" s="27">
        <v>0</v>
      </c>
      <c r="AB133" s="22">
        <f t="shared" si="156"/>
        <v>0</v>
      </c>
      <c r="AC133" s="18" t="s">
        <v>91</v>
      </c>
      <c r="AD133" s="23"/>
      <c r="AE133" s="23"/>
      <c r="AF133" s="23">
        <v>72466926</v>
      </c>
      <c r="AG133" s="23"/>
      <c r="AH133" s="23"/>
      <c r="AI133" s="23">
        <v>48311284</v>
      </c>
      <c r="AJ133" s="23"/>
      <c r="AK133" s="23"/>
      <c r="AL133" s="23">
        <v>19997667</v>
      </c>
      <c r="AM133" s="23"/>
      <c r="AN133" s="23"/>
      <c r="AO133" s="23"/>
      <c r="AP133" s="24">
        <f t="shared" si="158"/>
        <v>140775877</v>
      </c>
      <c r="AQ133" s="23">
        <v>19997666</v>
      </c>
      <c r="AR133" s="23">
        <v>0</v>
      </c>
      <c r="AS133" s="23"/>
      <c r="AT133" s="23"/>
      <c r="AU133" s="23">
        <v>0</v>
      </c>
      <c r="AV133" s="23">
        <v>54043575</v>
      </c>
      <c r="AW133" s="23">
        <v>0</v>
      </c>
      <c r="AX133" s="23">
        <v>54043575</v>
      </c>
      <c r="AY133" s="23"/>
      <c r="AZ133" s="23">
        <v>54043575</v>
      </c>
      <c r="BA133" s="23"/>
      <c r="BB133" s="23">
        <v>5400000</v>
      </c>
      <c r="BC133" s="24">
        <f t="shared" si="159"/>
        <v>187528391</v>
      </c>
      <c r="BD133" s="37" t="s">
        <v>170</v>
      </c>
      <c r="BE133" s="7">
        <v>0</v>
      </c>
      <c r="BF133" s="52">
        <v>0</v>
      </c>
      <c r="BG133" s="27">
        <v>0</v>
      </c>
      <c r="BH133" s="27">
        <v>54044</v>
      </c>
      <c r="BI133" s="63">
        <v>0</v>
      </c>
      <c r="BJ133" s="27">
        <v>0</v>
      </c>
      <c r="BK133" s="64">
        <v>0</v>
      </c>
      <c r="BL133" s="65">
        <v>0</v>
      </c>
      <c r="BM133" s="66">
        <v>0</v>
      </c>
      <c r="BN133" s="65">
        <v>0</v>
      </c>
      <c r="BO133" s="64">
        <v>0</v>
      </c>
      <c r="BP133" s="65">
        <v>0</v>
      </c>
      <c r="BQ133" s="24">
        <f t="shared" si="154"/>
        <v>54044</v>
      </c>
      <c r="CE133" s="24"/>
      <c r="CF133" s="26" t="s">
        <v>91</v>
      </c>
      <c r="CG133" s="27">
        <f t="shared" si="160"/>
        <v>4999416.5</v>
      </c>
      <c r="CH133" s="27">
        <f t="shared" si="161"/>
        <v>0</v>
      </c>
      <c r="CI133" s="27">
        <f t="shared" si="162"/>
        <v>18116731.5</v>
      </c>
      <c r="CJ133" s="27">
        <f t="shared" si="163"/>
        <v>0</v>
      </c>
      <c r="CK133" s="27">
        <f t="shared" si="164"/>
        <v>0</v>
      </c>
      <c r="CL133" s="27">
        <f t="shared" si="165"/>
        <v>25588714.75</v>
      </c>
      <c r="CM133" s="27">
        <f t="shared" si="166"/>
        <v>0</v>
      </c>
      <c r="CN133" s="27">
        <f t="shared" si="167"/>
        <v>13510893.75</v>
      </c>
      <c r="CO133" s="27">
        <f t="shared" si="168"/>
        <v>4999416.75</v>
      </c>
      <c r="CP133" s="27">
        <f t="shared" si="169"/>
        <v>13510893.75</v>
      </c>
      <c r="CQ133" s="27">
        <f t="shared" si="170"/>
        <v>0</v>
      </c>
      <c r="CR133" s="27">
        <f t="shared" si="171"/>
        <v>1350000</v>
      </c>
      <c r="CS133" s="27">
        <f>+SUM(CG133:CR133)</f>
        <v>82076067</v>
      </c>
      <c r="CT133" s="18" t="s">
        <v>91</v>
      </c>
      <c r="CU133" s="28">
        <f aca="true" t="shared" si="172" ref="CU133:DF133">+CG133/$CS$133</f>
        <v>0.060911989118581915</v>
      </c>
      <c r="CV133" s="28">
        <f t="shared" si="172"/>
        <v>0</v>
      </c>
      <c r="CW133" s="28">
        <f t="shared" si="172"/>
        <v>0.2207309897049526</v>
      </c>
      <c r="CX133" s="28">
        <f t="shared" si="172"/>
        <v>0</v>
      </c>
      <c r="CY133" s="28">
        <f t="shared" si="172"/>
        <v>0</v>
      </c>
      <c r="CZ133" s="28">
        <f t="shared" si="172"/>
        <v>0.31176828624110364</v>
      </c>
      <c r="DA133" s="28">
        <f t="shared" si="172"/>
        <v>0</v>
      </c>
      <c r="DB133" s="28">
        <f t="shared" si="172"/>
        <v>0.16461429310446857</v>
      </c>
      <c r="DC133" s="28">
        <f t="shared" si="172"/>
        <v>0.060911992164536834</v>
      </c>
      <c r="DD133" s="28">
        <f t="shared" si="172"/>
        <v>0.16461429310446857</v>
      </c>
      <c r="DE133" s="28">
        <f t="shared" si="172"/>
        <v>0</v>
      </c>
      <c r="DF133" s="28">
        <f t="shared" si="172"/>
        <v>0.01644815656188789</v>
      </c>
      <c r="DG133" s="29">
        <f aca="true" t="shared" si="173" ref="DG133:DG138">+SUM(CU133:DF133)</f>
        <v>1</v>
      </c>
      <c r="DH133" s="37" t="s">
        <v>170</v>
      </c>
      <c r="DI133" s="7">
        <v>0</v>
      </c>
      <c r="DJ133" s="52">
        <v>0</v>
      </c>
      <c r="DK133" s="27">
        <v>0</v>
      </c>
      <c r="DL133" s="27">
        <v>54044</v>
      </c>
      <c r="DM133" s="63">
        <v>0</v>
      </c>
      <c r="DN133" s="27">
        <v>0</v>
      </c>
      <c r="DO133" s="64">
        <v>0</v>
      </c>
      <c r="DP133" s="65">
        <v>0</v>
      </c>
      <c r="DQ133" s="66">
        <v>0</v>
      </c>
      <c r="DR133" s="65">
        <v>0</v>
      </c>
      <c r="DS133" s="64">
        <v>0</v>
      </c>
      <c r="DT133" s="65">
        <v>0</v>
      </c>
    </row>
    <row r="134" spans="1:111" ht="15" customHeight="1">
      <c r="A134" s="14" t="s">
        <v>92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5"/>
      <c r="L134" s="15"/>
      <c r="M134" s="15"/>
      <c r="N134" s="17">
        <f t="shared" si="155"/>
        <v>0</v>
      </c>
      <c r="O134" s="18" t="s">
        <v>92</v>
      </c>
      <c r="P134" s="30">
        <f aca="true" t="shared" si="174" ref="P134:AA135">SUM(P135)</f>
        <v>42000</v>
      </c>
      <c r="Q134" s="30">
        <f t="shared" si="174"/>
        <v>314100</v>
      </c>
      <c r="R134" s="23">
        <f t="shared" si="174"/>
        <v>694400</v>
      </c>
      <c r="S134" s="23">
        <f t="shared" si="174"/>
        <v>625400</v>
      </c>
      <c r="T134" s="23">
        <f t="shared" si="174"/>
        <v>294700</v>
      </c>
      <c r="U134" s="23">
        <f t="shared" si="174"/>
        <v>631100</v>
      </c>
      <c r="V134" s="23">
        <f t="shared" si="174"/>
        <v>190500</v>
      </c>
      <c r="W134" s="23">
        <f t="shared" si="174"/>
        <v>187940</v>
      </c>
      <c r="X134" s="23">
        <f t="shared" si="174"/>
        <v>1311720</v>
      </c>
      <c r="Y134" s="23">
        <f t="shared" si="174"/>
        <v>903920</v>
      </c>
      <c r="Z134" s="23">
        <f t="shared" si="174"/>
        <v>1653120</v>
      </c>
      <c r="AA134" s="23">
        <f t="shared" si="174"/>
        <v>1124000</v>
      </c>
      <c r="AB134" s="22">
        <f t="shared" si="156"/>
        <v>7972900</v>
      </c>
      <c r="AC134" s="18" t="s">
        <v>92</v>
      </c>
      <c r="AD134" s="23">
        <f>SUM(AD135:AD138)</f>
        <v>1180866</v>
      </c>
      <c r="AE134" s="23">
        <f>SUM(AE135:AE138)</f>
        <v>663782</v>
      </c>
      <c r="AF134" s="23">
        <f>SUM(AF135)</f>
        <v>45757504</v>
      </c>
      <c r="AG134" s="23">
        <f aca="true" t="shared" si="175" ref="AG134:AO134">SUM(AG135:AG138)</f>
        <v>10763833</v>
      </c>
      <c r="AH134" s="23">
        <f t="shared" si="175"/>
        <v>70608672</v>
      </c>
      <c r="AI134" s="23">
        <f t="shared" si="175"/>
        <v>5333231</v>
      </c>
      <c r="AJ134" s="23">
        <f t="shared" si="175"/>
        <v>59036967</v>
      </c>
      <c r="AK134" s="23">
        <f t="shared" si="175"/>
        <v>14900980</v>
      </c>
      <c r="AL134" s="23">
        <f t="shared" si="175"/>
        <v>1765048</v>
      </c>
      <c r="AM134" s="23">
        <f t="shared" si="175"/>
        <v>22146916</v>
      </c>
      <c r="AN134" s="23">
        <f t="shared" si="175"/>
        <v>34976920</v>
      </c>
      <c r="AO134" s="23">
        <f t="shared" si="175"/>
        <v>18856304</v>
      </c>
      <c r="AP134" s="24">
        <f t="shared" si="158"/>
        <v>285991023</v>
      </c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4">
        <f t="shared" si="159"/>
        <v>0</v>
      </c>
      <c r="BQ134" s="24">
        <f t="shared" si="154"/>
        <v>0</v>
      </c>
      <c r="CE134" s="24"/>
      <c r="CF134" s="26" t="s">
        <v>92</v>
      </c>
      <c r="CG134" s="27">
        <f t="shared" si="160"/>
        <v>305716.5</v>
      </c>
      <c r="CH134" s="27">
        <f t="shared" si="161"/>
        <v>244470.5</v>
      </c>
      <c r="CI134" s="27">
        <f t="shared" si="162"/>
        <v>11612976</v>
      </c>
      <c r="CJ134" s="27">
        <f t="shared" si="163"/>
        <v>2847308.25</v>
      </c>
      <c r="CK134" s="27">
        <f t="shared" si="164"/>
        <v>17725843</v>
      </c>
      <c r="CL134" s="27">
        <f t="shared" si="165"/>
        <v>1491082.75</v>
      </c>
      <c r="CM134" s="27">
        <f t="shared" si="166"/>
        <v>14806866.75</v>
      </c>
      <c r="CN134" s="27">
        <f t="shared" si="167"/>
        <v>3772230</v>
      </c>
      <c r="CO134" s="27">
        <f t="shared" si="168"/>
        <v>769192</v>
      </c>
      <c r="CP134" s="27">
        <f t="shared" si="169"/>
        <v>5762709</v>
      </c>
      <c r="CQ134" s="27">
        <f t="shared" si="170"/>
        <v>9157510</v>
      </c>
      <c r="CR134" s="27">
        <f t="shared" si="171"/>
        <v>4995076</v>
      </c>
      <c r="CS134" s="37"/>
      <c r="CT134" s="18" t="s">
        <v>92</v>
      </c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46"/>
      <c r="DG134" s="29">
        <f t="shared" si="173"/>
        <v>0</v>
      </c>
    </row>
    <row r="135" spans="1:111" ht="15" customHeight="1">
      <c r="A135" s="14" t="s">
        <v>93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5"/>
      <c r="L135" s="15"/>
      <c r="M135" s="15"/>
      <c r="N135" s="17">
        <f t="shared" si="155"/>
        <v>0</v>
      </c>
      <c r="O135" s="18" t="s">
        <v>93</v>
      </c>
      <c r="P135" s="30">
        <f t="shared" si="174"/>
        <v>42000</v>
      </c>
      <c r="Q135" s="30">
        <f t="shared" si="174"/>
        <v>314100</v>
      </c>
      <c r="R135" s="23">
        <f t="shared" si="174"/>
        <v>694400</v>
      </c>
      <c r="S135" s="23">
        <f t="shared" si="174"/>
        <v>625400</v>
      </c>
      <c r="T135" s="23">
        <f t="shared" si="174"/>
        <v>294700</v>
      </c>
      <c r="U135" s="23">
        <f t="shared" si="174"/>
        <v>631100</v>
      </c>
      <c r="V135" s="23">
        <f t="shared" si="174"/>
        <v>190500</v>
      </c>
      <c r="W135" s="23">
        <f t="shared" si="174"/>
        <v>187940</v>
      </c>
      <c r="X135" s="23">
        <f t="shared" si="174"/>
        <v>1311720</v>
      </c>
      <c r="Y135" s="23">
        <f t="shared" si="174"/>
        <v>903920</v>
      </c>
      <c r="Z135" s="23">
        <f t="shared" si="174"/>
        <v>1653120</v>
      </c>
      <c r="AA135" s="23">
        <f t="shared" si="174"/>
        <v>1124000</v>
      </c>
      <c r="AB135" s="22">
        <f t="shared" si="156"/>
        <v>7972900</v>
      </c>
      <c r="AC135" s="18" t="s">
        <v>93</v>
      </c>
      <c r="AD135" s="23">
        <f>SUM(AD136:AD138)</f>
        <v>590433</v>
      </c>
      <c r="AE135" s="23">
        <f>SUM(AE136)</f>
        <v>205916</v>
      </c>
      <c r="AF135" s="23">
        <f>SUM(AF136:AF138)</f>
        <v>45757504</v>
      </c>
      <c r="AG135" s="23">
        <f aca="true" t="shared" si="176" ref="AG135:AO135">SUM(AG136)</f>
        <v>445300</v>
      </c>
      <c r="AH135" s="23">
        <f t="shared" si="176"/>
        <v>717166</v>
      </c>
      <c r="AI135" s="23">
        <f t="shared" si="176"/>
        <v>106350</v>
      </c>
      <c r="AJ135" s="23">
        <f t="shared" si="176"/>
        <v>151000</v>
      </c>
      <c r="AK135" s="23">
        <f t="shared" si="176"/>
        <v>547644</v>
      </c>
      <c r="AL135" s="23">
        <f t="shared" si="176"/>
        <v>681224</v>
      </c>
      <c r="AM135" s="23">
        <f t="shared" si="176"/>
        <v>827971</v>
      </c>
      <c r="AN135" s="23">
        <f t="shared" si="176"/>
        <v>916373</v>
      </c>
      <c r="AO135" s="23">
        <f t="shared" si="176"/>
        <v>0</v>
      </c>
      <c r="AP135" s="24">
        <f t="shared" si="158"/>
        <v>50946881</v>
      </c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4">
        <f t="shared" si="159"/>
        <v>0</v>
      </c>
      <c r="BQ135" s="24">
        <f t="shared" si="154"/>
        <v>0</v>
      </c>
      <c r="CE135" s="24"/>
      <c r="CF135" s="26" t="s">
        <v>93</v>
      </c>
      <c r="CG135" s="27">
        <f t="shared" si="160"/>
        <v>158108.25</v>
      </c>
      <c r="CH135" s="27">
        <f t="shared" si="161"/>
        <v>130004</v>
      </c>
      <c r="CI135" s="27">
        <f t="shared" si="162"/>
        <v>11612976</v>
      </c>
      <c r="CJ135" s="27">
        <f t="shared" si="163"/>
        <v>267675</v>
      </c>
      <c r="CK135" s="27">
        <f t="shared" si="164"/>
        <v>252966.5</v>
      </c>
      <c r="CL135" s="27">
        <f t="shared" si="165"/>
        <v>184362.5</v>
      </c>
      <c r="CM135" s="27">
        <f t="shared" si="166"/>
        <v>85375</v>
      </c>
      <c r="CN135" s="27">
        <f t="shared" si="167"/>
        <v>183896</v>
      </c>
      <c r="CO135" s="27">
        <f t="shared" si="168"/>
        <v>498236</v>
      </c>
      <c r="CP135" s="27">
        <f t="shared" si="169"/>
        <v>432972.75</v>
      </c>
      <c r="CQ135" s="27">
        <f t="shared" si="170"/>
        <v>642373.25</v>
      </c>
      <c r="CR135" s="27">
        <f t="shared" si="171"/>
        <v>281000</v>
      </c>
      <c r="CS135" s="27">
        <f>+SUM(CG135:CR135)</f>
        <v>14729945.25</v>
      </c>
      <c r="CT135" s="18" t="s">
        <v>93</v>
      </c>
      <c r="CU135" s="28">
        <f aca="true" t="shared" si="177" ref="CU135:DF135">+CG135/$CS$135</f>
        <v>0.010733797533972505</v>
      </c>
      <c r="CV135" s="28">
        <f t="shared" si="177"/>
        <v>0.008825830496552592</v>
      </c>
      <c r="CW135" s="28">
        <f t="shared" si="177"/>
        <v>0.788392339747495</v>
      </c>
      <c r="CX135" s="28">
        <f t="shared" si="177"/>
        <v>0.018172165303873073</v>
      </c>
      <c r="CY135" s="28">
        <f t="shared" si="177"/>
        <v>0.017173621198625977</v>
      </c>
      <c r="CZ135" s="28">
        <f t="shared" si="177"/>
        <v>0.012516170078772017</v>
      </c>
      <c r="DA135" s="28">
        <f t="shared" si="177"/>
        <v>0.005796016112144069</v>
      </c>
      <c r="DB135" s="28">
        <f t="shared" si="177"/>
        <v>0.012484499899957197</v>
      </c>
      <c r="DC135" s="28">
        <f t="shared" si="177"/>
        <v>0.033824701419036166</v>
      </c>
      <c r="DD135" s="28">
        <f t="shared" si="177"/>
        <v>0.029394050191734418</v>
      </c>
      <c r="DE135" s="28">
        <f t="shared" si="177"/>
        <v>0.043610022922522404</v>
      </c>
      <c r="DF135" s="47">
        <f t="shared" si="177"/>
        <v>0.019076785095314595</v>
      </c>
      <c r="DG135" s="29">
        <f t="shared" si="173"/>
        <v>1</v>
      </c>
    </row>
    <row r="136" spans="1:138" ht="15" customHeight="1">
      <c r="A136" s="14" t="s">
        <v>94</v>
      </c>
      <c r="B136" s="15">
        <v>660002</v>
      </c>
      <c r="C136" s="16">
        <v>778034</v>
      </c>
      <c r="D136" s="16">
        <v>1356000</v>
      </c>
      <c r="E136" s="16">
        <v>309000</v>
      </c>
      <c r="F136" s="16">
        <v>1032100</v>
      </c>
      <c r="G136" s="16">
        <v>1292000</v>
      </c>
      <c r="H136" s="16">
        <v>442000</v>
      </c>
      <c r="I136" s="16">
        <v>563600</v>
      </c>
      <c r="J136" s="16">
        <v>302500</v>
      </c>
      <c r="K136" s="15">
        <v>213800</v>
      </c>
      <c r="L136" s="15">
        <v>293600</v>
      </c>
      <c r="M136" s="15">
        <v>380900</v>
      </c>
      <c r="N136" s="17">
        <f t="shared" si="155"/>
        <v>7623536</v>
      </c>
      <c r="O136" s="18" t="s">
        <v>94</v>
      </c>
      <c r="P136" s="30">
        <v>42000</v>
      </c>
      <c r="Q136" s="30">
        <v>314100</v>
      </c>
      <c r="R136" s="27">
        <v>694400</v>
      </c>
      <c r="S136" s="31">
        <v>625400</v>
      </c>
      <c r="T136" s="31">
        <v>294700</v>
      </c>
      <c r="U136" s="31">
        <v>631100</v>
      </c>
      <c r="V136" s="31">
        <v>190500</v>
      </c>
      <c r="W136" s="31">
        <v>187940</v>
      </c>
      <c r="X136" s="31">
        <v>1311720</v>
      </c>
      <c r="Y136" s="27">
        <v>903920</v>
      </c>
      <c r="Z136" s="31">
        <v>1653120</v>
      </c>
      <c r="AA136" s="27">
        <v>1124000</v>
      </c>
      <c r="AB136" s="22">
        <f t="shared" si="156"/>
        <v>7972900</v>
      </c>
      <c r="AC136" s="18" t="s">
        <v>94</v>
      </c>
      <c r="AD136" s="23">
        <f>245085+99900</f>
        <v>344985</v>
      </c>
      <c r="AE136" s="23">
        <v>205916</v>
      </c>
      <c r="AF136" s="23">
        <f>848051+616216</f>
        <v>1464267</v>
      </c>
      <c r="AG136" s="23">
        <f>264400+180900</f>
        <v>445300</v>
      </c>
      <c r="AH136" s="23">
        <v>717166</v>
      </c>
      <c r="AI136" s="23">
        <v>106350</v>
      </c>
      <c r="AJ136" s="23">
        <f>142000+9000</f>
        <v>151000</v>
      </c>
      <c r="AK136" s="23">
        <v>547644</v>
      </c>
      <c r="AL136" s="23">
        <f>582344+98880</f>
        <v>681224</v>
      </c>
      <c r="AM136" s="23">
        <f>641971+186000</f>
        <v>827971</v>
      </c>
      <c r="AN136" s="23">
        <f>557873+358500</f>
        <v>916373</v>
      </c>
      <c r="AO136" s="23"/>
      <c r="AP136" s="24">
        <f t="shared" si="158"/>
        <v>6408196</v>
      </c>
      <c r="AQ136" s="23">
        <v>622622</v>
      </c>
      <c r="AR136" s="23">
        <v>543528</v>
      </c>
      <c r="AS136" s="23">
        <v>878450</v>
      </c>
      <c r="AT136" s="23">
        <v>784401</v>
      </c>
      <c r="AU136" s="23">
        <v>816612</v>
      </c>
      <c r="AV136" s="23">
        <v>460328</v>
      </c>
      <c r="AW136" s="23">
        <v>175000</v>
      </c>
      <c r="AX136" s="23">
        <v>660921</v>
      </c>
      <c r="AY136" s="23">
        <v>491261</v>
      </c>
      <c r="AZ136" s="23">
        <v>502731</v>
      </c>
      <c r="BA136" s="23">
        <v>470721</v>
      </c>
      <c r="BB136" s="23">
        <v>335000</v>
      </c>
      <c r="BC136" s="24">
        <f t="shared" si="159"/>
        <v>6741575</v>
      </c>
      <c r="BD136" s="37" t="s">
        <v>175</v>
      </c>
      <c r="BE136" s="7">
        <v>937</v>
      </c>
      <c r="BF136" s="52">
        <v>391</v>
      </c>
      <c r="BG136" s="27">
        <v>453</v>
      </c>
      <c r="BH136" s="27">
        <v>271</v>
      </c>
      <c r="BI136" s="63">
        <v>578</v>
      </c>
      <c r="BJ136" s="27">
        <v>444</v>
      </c>
      <c r="BK136" s="64">
        <v>726</v>
      </c>
      <c r="BL136" s="65">
        <v>282</v>
      </c>
      <c r="BM136" s="66">
        <v>511</v>
      </c>
      <c r="BN136" s="65">
        <v>862</v>
      </c>
      <c r="BO136" s="64">
        <v>992</v>
      </c>
      <c r="BP136" s="65">
        <v>901</v>
      </c>
      <c r="BQ136" s="24">
        <f t="shared" si="154"/>
        <v>7348</v>
      </c>
      <c r="BR136" s="7" t="s">
        <v>94</v>
      </c>
      <c r="BS136" s="7">
        <v>112</v>
      </c>
      <c r="BT136" s="7">
        <v>0</v>
      </c>
      <c r="BU136" s="7">
        <v>0</v>
      </c>
      <c r="BV136" s="7">
        <v>0</v>
      </c>
      <c r="BW136" s="7">
        <v>0</v>
      </c>
      <c r="BX136" s="7">
        <v>849</v>
      </c>
      <c r="BY136" s="7">
        <v>634</v>
      </c>
      <c r="BZ136" s="7">
        <v>0</v>
      </c>
      <c r="CA136" s="7">
        <v>10</v>
      </c>
      <c r="CB136" s="7">
        <v>79</v>
      </c>
      <c r="CC136" s="7">
        <v>278</v>
      </c>
      <c r="CD136" s="7">
        <v>230</v>
      </c>
      <c r="CE136" s="24"/>
      <c r="CF136" s="26" t="s">
        <v>94</v>
      </c>
      <c r="CG136" s="27">
        <f t="shared" si="160"/>
        <v>417402.25</v>
      </c>
      <c r="CH136" s="27">
        <f t="shared" si="161"/>
        <v>460394.5</v>
      </c>
      <c r="CI136" s="27">
        <f t="shared" si="162"/>
        <v>1098279.25</v>
      </c>
      <c r="CJ136" s="27">
        <f t="shared" si="163"/>
        <v>541025.25</v>
      </c>
      <c r="CK136" s="27">
        <f t="shared" si="164"/>
        <v>715144.5</v>
      </c>
      <c r="CL136" s="27">
        <f t="shared" si="165"/>
        <v>622444.5</v>
      </c>
      <c r="CM136" s="27">
        <f t="shared" si="166"/>
        <v>239625</v>
      </c>
      <c r="CN136" s="27">
        <f t="shared" si="167"/>
        <v>490026.25</v>
      </c>
      <c r="CO136" s="27">
        <f t="shared" si="168"/>
        <v>696676.25</v>
      </c>
      <c r="CP136" s="27">
        <f t="shared" si="169"/>
        <v>612105.5</v>
      </c>
      <c r="CQ136" s="27">
        <f t="shared" si="170"/>
        <v>833453.5</v>
      </c>
      <c r="CR136" s="27">
        <f t="shared" si="171"/>
        <v>459975</v>
      </c>
      <c r="CS136" s="27">
        <f>+SUM(CG136:CR136)</f>
        <v>7186551.75</v>
      </c>
      <c r="CT136" s="18" t="s">
        <v>94</v>
      </c>
      <c r="CU136" s="28">
        <f aca="true" t="shared" si="178" ref="CU136:DF136">+CG136/$CS$136</f>
        <v>0.058081019175851616</v>
      </c>
      <c r="CV136" s="28">
        <f t="shared" si="178"/>
        <v>0.06406333886067125</v>
      </c>
      <c r="CW136" s="28">
        <f t="shared" si="178"/>
        <v>0.1528242317325552</v>
      </c>
      <c r="CX136" s="28">
        <f t="shared" si="178"/>
        <v>0.07528301038116089</v>
      </c>
      <c r="CY136" s="28">
        <f t="shared" si="178"/>
        <v>0.09951149381203579</v>
      </c>
      <c r="CZ136" s="28">
        <f t="shared" si="178"/>
        <v>0.08661240072472866</v>
      </c>
      <c r="DA136" s="28">
        <f t="shared" si="178"/>
        <v>0.0333435294611216</v>
      </c>
      <c r="DB136" s="28">
        <f t="shared" si="178"/>
        <v>0.06818656110004356</v>
      </c>
      <c r="DC136" s="28">
        <f t="shared" si="178"/>
        <v>0.0969416591204537</v>
      </c>
      <c r="DD136" s="28">
        <f t="shared" si="178"/>
        <v>0.08517374135655532</v>
      </c>
      <c r="DE136" s="28">
        <f t="shared" si="178"/>
        <v>0.11597404833270698</v>
      </c>
      <c r="DF136" s="28">
        <f t="shared" si="178"/>
        <v>0.06400496594211542</v>
      </c>
      <c r="DG136" s="29">
        <f t="shared" si="173"/>
        <v>1</v>
      </c>
      <c r="DH136" s="37" t="s">
        <v>175</v>
      </c>
      <c r="DI136" s="7">
        <v>937</v>
      </c>
      <c r="DJ136" s="52">
        <v>391</v>
      </c>
      <c r="DK136" s="27">
        <v>453</v>
      </c>
      <c r="DL136" s="27">
        <v>271</v>
      </c>
      <c r="DM136" s="63">
        <v>578</v>
      </c>
      <c r="DN136" s="27">
        <v>444</v>
      </c>
      <c r="DO136" s="64">
        <v>726</v>
      </c>
      <c r="DP136" s="65">
        <v>282</v>
      </c>
      <c r="DQ136" s="66">
        <v>511</v>
      </c>
      <c r="DR136" s="65">
        <v>862</v>
      </c>
      <c r="DS136" s="64">
        <v>992</v>
      </c>
      <c r="DT136" s="65">
        <v>901</v>
      </c>
      <c r="DV136" s="7" t="s">
        <v>94</v>
      </c>
      <c r="DW136" s="7">
        <v>112</v>
      </c>
      <c r="DX136" s="7">
        <v>0</v>
      </c>
      <c r="DY136" s="7">
        <v>0</v>
      </c>
      <c r="DZ136" s="7">
        <v>0</v>
      </c>
      <c r="EA136" s="7">
        <v>0</v>
      </c>
      <c r="EB136" s="7">
        <v>849</v>
      </c>
      <c r="EC136" s="7">
        <v>634</v>
      </c>
      <c r="ED136" s="7">
        <v>0</v>
      </c>
      <c r="EE136" s="7">
        <v>10</v>
      </c>
      <c r="EF136" s="7">
        <v>79</v>
      </c>
      <c r="EG136" s="7">
        <v>278</v>
      </c>
      <c r="EH136" s="7">
        <v>230</v>
      </c>
    </row>
    <row r="137" spans="1:138" ht="15" customHeight="1">
      <c r="A137" s="14" t="s">
        <v>95</v>
      </c>
      <c r="B137" s="15"/>
      <c r="C137" s="16"/>
      <c r="D137" s="16"/>
      <c r="E137" s="16"/>
      <c r="F137" s="16"/>
      <c r="G137" s="16"/>
      <c r="H137" s="16"/>
      <c r="I137" s="16"/>
      <c r="J137" s="16"/>
      <c r="K137" s="15"/>
      <c r="L137" s="15"/>
      <c r="M137" s="15"/>
      <c r="N137" s="17">
        <f t="shared" si="155"/>
        <v>0</v>
      </c>
      <c r="O137" s="18" t="s">
        <v>95</v>
      </c>
      <c r="P137" s="30">
        <v>0</v>
      </c>
      <c r="Q137" s="30">
        <v>0</v>
      </c>
      <c r="R137" s="27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27"/>
      <c r="Z137" s="31">
        <v>168890</v>
      </c>
      <c r="AA137" s="27">
        <v>0</v>
      </c>
      <c r="AB137" s="22">
        <f t="shared" si="156"/>
        <v>168890</v>
      </c>
      <c r="AC137" s="18" t="s">
        <v>95</v>
      </c>
      <c r="AD137" s="23">
        <v>145185</v>
      </c>
      <c r="AE137" s="23">
        <v>251950</v>
      </c>
      <c r="AF137" s="23">
        <v>231835</v>
      </c>
      <c r="AG137" s="23">
        <v>224170</v>
      </c>
      <c r="AH137" s="23">
        <v>427780</v>
      </c>
      <c r="AI137" s="23">
        <v>543810</v>
      </c>
      <c r="AJ137" s="23">
        <v>355045</v>
      </c>
      <c r="AK137" s="23">
        <v>594520</v>
      </c>
      <c r="AL137" s="23">
        <v>402600</v>
      </c>
      <c r="AM137" s="23">
        <v>501490</v>
      </c>
      <c r="AN137" s="23">
        <v>344520</v>
      </c>
      <c r="AO137" s="23"/>
      <c r="AP137" s="24">
        <f t="shared" si="158"/>
        <v>4022905</v>
      </c>
      <c r="AQ137" s="23">
        <v>506800</v>
      </c>
      <c r="AR137" s="23">
        <v>36900</v>
      </c>
      <c r="AS137" s="23">
        <v>590000</v>
      </c>
      <c r="AT137" s="23">
        <v>674900</v>
      </c>
      <c r="AU137" s="23">
        <v>840500</v>
      </c>
      <c r="AV137" s="23">
        <v>1172820</v>
      </c>
      <c r="AW137" s="23">
        <v>1737500</v>
      </c>
      <c r="AX137" s="23">
        <v>430000</v>
      </c>
      <c r="AY137" s="23">
        <v>209750</v>
      </c>
      <c r="AZ137" s="23">
        <v>72000</v>
      </c>
      <c r="BA137" s="23">
        <v>72000</v>
      </c>
      <c r="BB137" s="23">
        <v>574000</v>
      </c>
      <c r="BC137" s="24">
        <f t="shared" si="159"/>
        <v>6917170</v>
      </c>
      <c r="BD137" s="37" t="s">
        <v>176</v>
      </c>
      <c r="BE137" s="7">
        <v>0</v>
      </c>
      <c r="BF137" s="52">
        <v>0</v>
      </c>
      <c r="BG137" s="27">
        <v>0</v>
      </c>
      <c r="BH137" s="27">
        <v>0</v>
      </c>
      <c r="BI137" s="63">
        <v>0</v>
      </c>
      <c r="BJ137" s="27">
        <v>0</v>
      </c>
      <c r="BK137" s="64">
        <v>0</v>
      </c>
      <c r="BL137" s="65">
        <v>0</v>
      </c>
      <c r="BM137" s="66">
        <v>0</v>
      </c>
      <c r="BN137" s="65">
        <v>0</v>
      </c>
      <c r="BO137" s="64">
        <v>0</v>
      </c>
      <c r="BP137" s="65">
        <v>0</v>
      </c>
      <c r="BQ137" s="24">
        <f t="shared" si="154"/>
        <v>0</v>
      </c>
      <c r="BR137" s="7" t="s">
        <v>254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122</v>
      </c>
      <c r="CA137" s="7">
        <v>0</v>
      </c>
      <c r="CB137" s="7">
        <v>0</v>
      </c>
      <c r="CC137" s="7">
        <v>0</v>
      </c>
      <c r="CD137" s="7" t="s">
        <v>201</v>
      </c>
      <c r="CE137" s="24"/>
      <c r="CF137" s="26" t="s">
        <v>95</v>
      </c>
      <c r="CG137" s="27">
        <f t="shared" si="160"/>
        <v>162996.25</v>
      </c>
      <c r="CH137" s="27">
        <f t="shared" si="161"/>
        <v>72212.5</v>
      </c>
      <c r="CI137" s="27">
        <f t="shared" si="162"/>
        <v>205458.75</v>
      </c>
      <c r="CJ137" s="27">
        <f t="shared" si="163"/>
        <v>224767.5</v>
      </c>
      <c r="CK137" s="27">
        <f t="shared" si="164"/>
        <v>317070</v>
      </c>
      <c r="CL137" s="27">
        <f t="shared" si="165"/>
        <v>429157.5</v>
      </c>
      <c r="CM137" s="27">
        <f t="shared" si="166"/>
        <v>523136.25</v>
      </c>
      <c r="CN137" s="27">
        <f t="shared" si="167"/>
        <v>256130</v>
      </c>
      <c r="CO137" s="27">
        <f t="shared" si="168"/>
        <v>153087.5</v>
      </c>
      <c r="CP137" s="27">
        <f t="shared" si="169"/>
        <v>143372.5</v>
      </c>
      <c r="CQ137" s="27">
        <f t="shared" si="170"/>
        <v>146352.5</v>
      </c>
      <c r="CR137" s="27">
        <f t="shared" si="171"/>
        <v>143500</v>
      </c>
      <c r="CS137" s="27">
        <f>+SUM(CG137:CR137)</f>
        <v>2777241.25</v>
      </c>
      <c r="CT137" s="18" t="s">
        <v>95</v>
      </c>
      <c r="CU137" s="28">
        <f aca="true" t="shared" si="179" ref="CU137:DF137">+CG137/$CS$137</f>
        <v>0.05868998597079026</v>
      </c>
      <c r="CV137" s="28">
        <f t="shared" si="179"/>
        <v>0.026001522194011775</v>
      </c>
      <c r="CW137" s="28">
        <f t="shared" si="179"/>
        <v>0.0739794391286677</v>
      </c>
      <c r="CX137" s="28">
        <f t="shared" si="179"/>
        <v>0.08093193200266631</v>
      </c>
      <c r="CY137" s="28">
        <f t="shared" si="179"/>
        <v>0.1141672514046088</v>
      </c>
      <c r="CZ137" s="28">
        <f t="shared" si="179"/>
        <v>0.1545265468025149</v>
      </c>
      <c r="DA137" s="28">
        <f t="shared" si="179"/>
        <v>0.1883654327833421</v>
      </c>
      <c r="DB137" s="28">
        <f t="shared" si="179"/>
        <v>0.09222461318403649</v>
      </c>
      <c r="DC137" s="28">
        <f t="shared" si="179"/>
        <v>0.05512214684266266</v>
      </c>
      <c r="DD137" s="28">
        <f t="shared" si="179"/>
        <v>0.051624071189350224</v>
      </c>
      <c r="DE137" s="28">
        <f t="shared" si="179"/>
        <v>0.052697078440700824</v>
      </c>
      <c r="DF137" s="28">
        <f t="shared" si="179"/>
        <v>0.05166998005664794</v>
      </c>
      <c r="DG137" s="29">
        <f t="shared" si="173"/>
        <v>1.0000000000000002</v>
      </c>
      <c r="DH137" s="37" t="s">
        <v>176</v>
      </c>
      <c r="DI137" s="7">
        <v>0</v>
      </c>
      <c r="DJ137" s="52">
        <v>0</v>
      </c>
      <c r="DK137" s="27">
        <v>0</v>
      </c>
      <c r="DL137" s="27">
        <v>0</v>
      </c>
      <c r="DM137" s="63">
        <v>0</v>
      </c>
      <c r="DN137" s="27">
        <v>0</v>
      </c>
      <c r="DO137" s="64">
        <v>0</v>
      </c>
      <c r="DP137" s="65">
        <v>0</v>
      </c>
      <c r="DQ137" s="66">
        <v>0</v>
      </c>
      <c r="DR137" s="65">
        <v>0</v>
      </c>
      <c r="DS137" s="64">
        <v>0</v>
      </c>
      <c r="DT137" s="65">
        <v>0</v>
      </c>
      <c r="DV137" s="7" t="s">
        <v>254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122</v>
      </c>
      <c r="EE137" s="7">
        <v>0</v>
      </c>
      <c r="EF137" s="7">
        <v>0</v>
      </c>
      <c r="EG137" s="7">
        <v>0</v>
      </c>
      <c r="EH137" s="7" t="s">
        <v>201</v>
      </c>
    </row>
    <row r="138" spans="1:138" ht="15" customHeight="1">
      <c r="A138" s="14" t="s">
        <v>96</v>
      </c>
      <c r="B138" s="15"/>
      <c r="C138" s="16"/>
      <c r="D138" s="16"/>
      <c r="E138" s="16"/>
      <c r="F138" s="16"/>
      <c r="G138" s="16"/>
      <c r="H138" s="16"/>
      <c r="I138" s="16"/>
      <c r="J138" s="16"/>
      <c r="K138" s="15"/>
      <c r="L138" s="15"/>
      <c r="M138" s="15"/>
      <c r="N138" s="17">
        <f t="shared" si="155"/>
        <v>0</v>
      </c>
      <c r="O138" s="18" t="s">
        <v>96</v>
      </c>
      <c r="P138" s="30"/>
      <c r="Q138" s="30"/>
      <c r="R138" s="27"/>
      <c r="S138" s="31"/>
      <c r="T138" s="31"/>
      <c r="U138" s="31"/>
      <c r="V138" s="31"/>
      <c r="W138" s="31"/>
      <c r="X138" s="31"/>
      <c r="Y138" s="27"/>
      <c r="Z138" s="31"/>
      <c r="AA138" s="27"/>
      <c r="AB138" s="22">
        <f t="shared" si="156"/>
        <v>0</v>
      </c>
      <c r="AC138" s="18" t="s">
        <v>96</v>
      </c>
      <c r="AD138" s="23">
        <v>100263</v>
      </c>
      <c r="AE138" s="23"/>
      <c r="AF138" s="23">
        <v>44061402</v>
      </c>
      <c r="AG138" s="23">
        <v>9649063</v>
      </c>
      <c r="AH138" s="23">
        <v>68746560</v>
      </c>
      <c r="AI138" s="23">
        <v>4576721</v>
      </c>
      <c r="AJ138" s="23">
        <v>58379922</v>
      </c>
      <c r="AK138" s="23">
        <v>13211172</v>
      </c>
      <c r="AL138" s="23"/>
      <c r="AM138" s="23">
        <v>19989484</v>
      </c>
      <c r="AN138" s="23">
        <v>32799654</v>
      </c>
      <c r="AO138" s="23">
        <v>18856304</v>
      </c>
      <c r="AP138" s="24">
        <f t="shared" si="158"/>
        <v>270370545</v>
      </c>
      <c r="AQ138" s="23">
        <v>12191802</v>
      </c>
      <c r="AR138" s="23">
        <v>0</v>
      </c>
      <c r="AS138" s="23">
        <v>16839839</v>
      </c>
      <c r="AT138" s="23">
        <v>27513808</v>
      </c>
      <c r="AU138" s="23">
        <v>0</v>
      </c>
      <c r="AV138" s="23">
        <v>12446649</v>
      </c>
      <c r="AW138" s="23">
        <v>40433511</v>
      </c>
      <c r="AX138" s="23">
        <v>12245068</v>
      </c>
      <c r="AY138" s="24">
        <v>38204640</v>
      </c>
      <c r="AZ138" s="23">
        <v>1589098</v>
      </c>
      <c r="BA138" s="23">
        <v>6870702</v>
      </c>
      <c r="BB138" s="23"/>
      <c r="BC138" s="24">
        <f t="shared" si="159"/>
        <v>168335117</v>
      </c>
      <c r="BD138" s="37" t="s">
        <v>156</v>
      </c>
      <c r="BE138" s="7">
        <v>14462</v>
      </c>
      <c r="BF138" s="52">
        <v>11918</v>
      </c>
      <c r="BG138" s="27">
        <v>0</v>
      </c>
      <c r="BH138" s="27">
        <v>0</v>
      </c>
      <c r="BI138" s="63">
        <v>1227</v>
      </c>
      <c r="BJ138" s="27">
        <v>8809</v>
      </c>
      <c r="BK138" s="64">
        <v>0</v>
      </c>
      <c r="BL138" s="65">
        <v>0</v>
      </c>
      <c r="BM138" s="66">
        <v>19451</v>
      </c>
      <c r="BN138" s="65">
        <v>0</v>
      </c>
      <c r="BO138" s="64">
        <v>36782</v>
      </c>
      <c r="BP138" s="65">
        <v>0</v>
      </c>
      <c r="BQ138" s="24">
        <f t="shared" si="154"/>
        <v>92649</v>
      </c>
      <c r="BR138" s="7" t="s">
        <v>239</v>
      </c>
      <c r="BS138" s="52">
        <v>26557</v>
      </c>
      <c r="BT138" s="52">
        <v>28120</v>
      </c>
      <c r="BU138" s="52">
        <v>16895</v>
      </c>
      <c r="BV138" s="7">
        <v>0</v>
      </c>
      <c r="BW138" s="52">
        <v>35023</v>
      </c>
      <c r="BX138" s="52">
        <v>28629</v>
      </c>
      <c r="BY138" s="7">
        <v>0</v>
      </c>
      <c r="BZ138" s="52">
        <v>6818</v>
      </c>
      <c r="CA138" s="7">
        <v>0</v>
      </c>
      <c r="CB138" s="52">
        <v>45281</v>
      </c>
      <c r="CC138" s="7">
        <v>15953</v>
      </c>
      <c r="CD138" s="60">
        <v>26154</v>
      </c>
      <c r="CE138" s="24"/>
      <c r="CF138" s="26" t="s">
        <v>96</v>
      </c>
      <c r="CG138" s="27">
        <f t="shared" si="160"/>
        <v>3073016.25</v>
      </c>
      <c r="CH138" s="27">
        <f t="shared" si="161"/>
        <v>0</v>
      </c>
      <c r="CI138" s="27">
        <f t="shared" si="162"/>
        <v>15225310.25</v>
      </c>
      <c r="CJ138" s="27">
        <f t="shared" si="163"/>
        <v>9290717.75</v>
      </c>
      <c r="CK138" s="27">
        <f t="shared" si="164"/>
        <v>17186640</v>
      </c>
      <c r="CL138" s="27">
        <f t="shared" si="165"/>
        <v>4255842.5</v>
      </c>
      <c r="CM138" s="27">
        <f t="shared" si="166"/>
        <v>24703358.25</v>
      </c>
      <c r="CN138" s="27">
        <f t="shared" si="167"/>
        <v>6364060</v>
      </c>
      <c r="CO138" s="27">
        <f t="shared" si="168"/>
        <v>9551160</v>
      </c>
      <c r="CP138" s="27">
        <f t="shared" si="169"/>
        <v>5394645.5</v>
      </c>
      <c r="CQ138" s="27">
        <f t="shared" si="170"/>
        <v>9917589</v>
      </c>
      <c r="CR138" s="27">
        <f t="shared" si="171"/>
        <v>4714076</v>
      </c>
      <c r="CS138" s="27">
        <f>+SUM(CG138:CR138)</f>
        <v>109676415.5</v>
      </c>
      <c r="CT138" s="18" t="s">
        <v>96</v>
      </c>
      <c r="CU138" s="28">
        <f aca="true" t="shared" si="180" ref="CU138:DF138">+CG138/$CS$138</f>
        <v>0.02801893402506394</v>
      </c>
      <c r="CV138" s="28">
        <f t="shared" si="180"/>
        <v>0</v>
      </c>
      <c r="CW138" s="28">
        <f t="shared" si="180"/>
        <v>0.13882027581399212</v>
      </c>
      <c r="CX138" s="28">
        <f t="shared" si="180"/>
        <v>0.08471026070322293</v>
      </c>
      <c r="CY138" s="28">
        <f t="shared" si="180"/>
        <v>0.15670315191874593</v>
      </c>
      <c r="CZ138" s="28">
        <f t="shared" si="180"/>
        <v>0.03880362501453195</v>
      </c>
      <c r="DA138" s="28">
        <f t="shared" si="180"/>
        <v>0.22523856325337327</v>
      </c>
      <c r="DB138" s="28">
        <f t="shared" si="180"/>
        <v>0.058025784039231296</v>
      </c>
      <c r="DC138" s="28">
        <f t="shared" si="180"/>
        <v>0.08708490295254043</v>
      </c>
      <c r="DD138" s="28">
        <f t="shared" si="180"/>
        <v>0.04918692387425809</v>
      </c>
      <c r="DE138" s="28">
        <f t="shared" si="180"/>
        <v>0.0904259038261512</v>
      </c>
      <c r="DF138" s="28">
        <f t="shared" si="180"/>
        <v>0.04298167457888884</v>
      </c>
      <c r="DG138" s="29">
        <f t="shared" si="173"/>
        <v>1</v>
      </c>
      <c r="DH138" s="37" t="s">
        <v>156</v>
      </c>
      <c r="DI138" s="7">
        <v>14462</v>
      </c>
      <c r="DJ138" s="52">
        <v>11918</v>
      </c>
      <c r="DK138" s="27">
        <v>0</v>
      </c>
      <c r="DL138" s="27">
        <v>0</v>
      </c>
      <c r="DM138" s="63">
        <v>1227</v>
      </c>
      <c r="DN138" s="27">
        <v>8809</v>
      </c>
      <c r="DO138" s="64">
        <v>0</v>
      </c>
      <c r="DP138" s="65">
        <v>0</v>
      </c>
      <c r="DQ138" s="66">
        <v>19451</v>
      </c>
      <c r="DR138" s="65">
        <v>0</v>
      </c>
      <c r="DS138" s="64">
        <v>36782</v>
      </c>
      <c r="DT138" s="65">
        <v>0</v>
      </c>
      <c r="DV138" s="7" t="s">
        <v>239</v>
      </c>
      <c r="DW138" s="52">
        <v>26557</v>
      </c>
      <c r="DX138" s="52">
        <v>28120</v>
      </c>
      <c r="DY138" s="52">
        <v>16895</v>
      </c>
      <c r="DZ138" s="7">
        <v>0</v>
      </c>
      <c r="EA138" s="52">
        <v>35023</v>
      </c>
      <c r="EB138" s="52">
        <v>28629</v>
      </c>
      <c r="EC138" s="7">
        <v>0</v>
      </c>
      <c r="ED138" s="52">
        <v>6818</v>
      </c>
      <c r="EE138" s="7">
        <v>0</v>
      </c>
      <c r="EF138" s="52">
        <v>45281</v>
      </c>
      <c r="EG138" s="7">
        <v>15953</v>
      </c>
      <c r="EH138" s="60">
        <v>26154</v>
      </c>
    </row>
    <row r="139" spans="1:111" ht="15" customHeight="1">
      <c r="A139" s="14" t="s">
        <v>97</v>
      </c>
      <c r="B139" s="15"/>
      <c r="C139" s="36">
        <v>0</v>
      </c>
      <c r="D139" s="36"/>
      <c r="E139" s="36"/>
      <c r="F139" s="36"/>
      <c r="G139" s="36"/>
      <c r="H139" s="36"/>
      <c r="I139" s="36"/>
      <c r="J139" s="36"/>
      <c r="K139" s="15"/>
      <c r="L139" s="15"/>
      <c r="M139" s="15"/>
      <c r="N139" s="17">
        <f t="shared" si="155"/>
        <v>0</v>
      </c>
      <c r="O139" s="18" t="s">
        <v>97</v>
      </c>
      <c r="P139" s="30">
        <v>0</v>
      </c>
      <c r="Q139" s="30">
        <v>0</v>
      </c>
      <c r="R139" s="27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27">
        <v>0</v>
      </c>
      <c r="Z139" s="31">
        <v>0</v>
      </c>
      <c r="AA139" s="27">
        <v>0</v>
      </c>
      <c r="AB139" s="22">
        <f t="shared" si="156"/>
        <v>0</v>
      </c>
      <c r="AC139" s="18" t="s">
        <v>97</v>
      </c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4">
        <f t="shared" si="158"/>
        <v>0</v>
      </c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>
        <f t="shared" si="159"/>
        <v>0</v>
      </c>
      <c r="BQ139" s="24">
        <f t="shared" si="154"/>
        <v>0</v>
      </c>
      <c r="CE139" s="24"/>
      <c r="CF139" s="26" t="s">
        <v>97</v>
      </c>
      <c r="CG139" s="27">
        <f t="shared" si="160"/>
        <v>0</v>
      </c>
      <c r="CH139" s="27">
        <f t="shared" si="161"/>
        <v>0</v>
      </c>
      <c r="CI139" s="27">
        <f t="shared" si="162"/>
        <v>0</v>
      </c>
      <c r="CJ139" s="27">
        <f t="shared" si="163"/>
        <v>0</v>
      </c>
      <c r="CK139" s="27">
        <f t="shared" si="164"/>
        <v>0</v>
      </c>
      <c r="CL139" s="27">
        <f t="shared" si="165"/>
        <v>0</v>
      </c>
      <c r="CM139" s="27">
        <f t="shared" si="166"/>
        <v>0</v>
      </c>
      <c r="CN139" s="27">
        <f t="shared" si="167"/>
        <v>0</v>
      </c>
      <c r="CO139" s="27">
        <f t="shared" si="168"/>
        <v>0</v>
      </c>
      <c r="CP139" s="27">
        <f t="shared" si="169"/>
        <v>0</v>
      </c>
      <c r="CQ139" s="27">
        <f t="shared" si="170"/>
        <v>0</v>
      </c>
      <c r="CR139" s="27">
        <f t="shared" si="171"/>
        <v>0</v>
      </c>
      <c r="CS139" s="37"/>
      <c r="CT139" s="18" t="s">
        <v>97</v>
      </c>
      <c r="DG139" s="29"/>
    </row>
    <row r="140" spans="1:111" ht="15" customHeight="1">
      <c r="A140" s="14" t="s">
        <v>98</v>
      </c>
      <c r="B140" s="15"/>
      <c r="C140" s="15"/>
      <c r="D140" s="42"/>
      <c r="E140" s="42"/>
      <c r="F140" s="42"/>
      <c r="G140" s="42"/>
      <c r="H140" s="42"/>
      <c r="I140" s="42"/>
      <c r="J140" s="42"/>
      <c r="K140" s="15"/>
      <c r="L140" s="15"/>
      <c r="M140" s="15"/>
      <c r="N140" s="17">
        <f t="shared" si="155"/>
        <v>0</v>
      </c>
      <c r="O140" s="18" t="s">
        <v>98</v>
      </c>
      <c r="P140" s="30">
        <v>0</v>
      </c>
      <c r="Q140" s="30">
        <v>0</v>
      </c>
      <c r="R140" s="27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27">
        <v>0</v>
      </c>
      <c r="Z140" s="31">
        <v>0</v>
      </c>
      <c r="AA140" s="27">
        <v>0</v>
      </c>
      <c r="AB140" s="22">
        <f t="shared" si="156"/>
        <v>0</v>
      </c>
      <c r="AC140" s="18" t="s">
        <v>98</v>
      </c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4">
        <f t="shared" si="158"/>
        <v>0</v>
      </c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4">
        <f t="shared" si="159"/>
        <v>0</v>
      </c>
      <c r="BQ140" s="24">
        <f t="shared" si="154"/>
        <v>0</v>
      </c>
      <c r="CE140" s="24"/>
      <c r="CF140" s="26" t="s">
        <v>98</v>
      </c>
      <c r="CG140" s="27">
        <f t="shared" si="160"/>
        <v>0</v>
      </c>
      <c r="CH140" s="27">
        <f t="shared" si="161"/>
        <v>0</v>
      </c>
      <c r="CI140" s="27">
        <f t="shared" si="162"/>
        <v>0</v>
      </c>
      <c r="CJ140" s="27">
        <f t="shared" si="163"/>
        <v>0</v>
      </c>
      <c r="CK140" s="27">
        <f t="shared" si="164"/>
        <v>0</v>
      </c>
      <c r="CL140" s="27">
        <f t="shared" si="165"/>
        <v>0</v>
      </c>
      <c r="CM140" s="27">
        <f t="shared" si="166"/>
        <v>0</v>
      </c>
      <c r="CN140" s="27">
        <f t="shared" si="167"/>
        <v>0</v>
      </c>
      <c r="CO140" s="27">
        <f t="shared" si="168"/>
        <v>0</v>
      </c>
      <c r="CP140" s="27">
        <f t="shared" si="169"/>
        <v>0</v>
      </c>
      <c r="CQ140" s="27">
        <f t="shared" si="170"/>
        <v>0</v>
      </c>
      <c r="CR140" s="27">
        <f t="shared" si="171"/>
        <v>0</v>
      </c>
      <c r="CS140" s="37"/>
      <c r="CT140" s="18" t="s">
        <v>98</v>
      </c>
      <c r="DG140" s="29"/>
    </row>
    <row r="141" spans="1:138" ht="15" customHeight="1">
      <c r="A141" s="14" t="s">
        <v>99</v>
      </c>
      <c r="B141" s="15"/>
      <c r="C141" s="16"/>
      <c r="D141" s="16"/>
      <c r="E141" s="16"/>
      <c r="F141" s="16"/>
      <c r="G141" s="16"/>
      <c r="H141" s="16"/>
      <c r="I141" s="16"/>
      <c r="J141" s="16"/>
      <c r="K141" s="15"/>
      <c r="L141" s="15"/>
      <c r="M141" s="15"/>
      <c r="N141" s="17">
        <f t="shared" si="155"/>
        <v>0</v>
      </c>
      <c r="O141" s="18" t="s">
        <v>99</v>
      </c>
      <c r="P141" s="30">
        <v>0</v>
      </c>
      <c r="Q141" s="30">
        <v>0</v>
      </c>
      <c r="R141" s="27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27">
        <v>0</v>
      </c>
      <c r="Z141" s="31">
        <v>0</v>
      </c>
      <c r="AA141" s="27">
        <v>0</v>
      </c>
      <c r="AB141" s="22">
        <f t="shared" si="156"/>
        <v>0</v>
      </c>
      <c r="AC141" s="18" t="s">
        <v>99</v>
      </c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4">
        <f t="shared" si="158"/>
        <v>0</v>
      </c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4">
        <f t="shared" si="159"/>
        <v>0</v>
      </c>
      <c r="BD141" s="37" t="s">
        <v>126</v>
      </c>
      <c r="BE141" s="7">
        <v>0</v>
      </c>
      <c r="BF141" s="52">
        <v>49</v>
      </c>
      <c r="BG141" s="27">
        <v>69081</v>
      </c>
      <c r="BH141" s="27">
        <v>0</v>
      </c>
      <c r="BI141" s="63">
        <v>11889</v>
      </c>
      <c r="BJ141" s="27">
        <v>0</v>
      </c>
      <c r="BK141" s="64">
        <v>28162</v>
      </c>
      <c r="BL141" s="65">
        <v>34293</v>
      </c>
      <c r="BM141" s="66">
        <v>0</v>
      </c>
      <c r="BN141" s="65">
        <v>14162</v>
      </c>
      <c r="BO141" s="64">
        <v>21665</v>
      </c>
      <c r="BP141" s="65">
        <v>17038</v>
      </c>
      <c r="BQ141" s="24">
        <f t="shared" si="154"/>
        <v>196339</v>
      </c>
      <c r="BR141" s="7" t="s">
        <v>99</v>
      </c>
      <c r="BS141" s="7">
        <v>0</v>
      </c>
      <c r="BT141" s="52">
        <v>16450</v>
      </c>
      <c r="BU141" s="52">
        <v>17361</v>
      </c>
      <c r="BV141" s="52">
        <v>18055</v>
      </c>
      <c r="BW141" s="52">
        <v>28514</v>
      </c>
      <c r="BX141" s="7">
        <v>0</v>
      </c>
      <c r="BY141" s="7">
        <v>613</v>
      </c>
      <c r="BZ141" s="52">
        <v>20825</v>
      </c>
      <c r="CA141" s="7">
        <v>0</v>
      </c>
      <c r="CB141" s="52">
        <v>43517</v>
      </c>
      <c r="CC141" s="7">
        <v>0</v>
      </c>
      <c r="CD141" s="60">
        <v>55612</v>
      </c>
      <c r="CE141" s="24"/>
      <c r="CF141" s="26" t="s">
        <v>99</v>
      </c>
      <c r="CG141" s="27">
        <f t="shared" si="160"/>
        <v>0</v>
      </c>
      <c r="CH141" s="27">
        <f t="shared" si="161"/>
        <v>0</v>
      </c>
      <c r="CI141" s="27">
        <f t="shared" si="162"/>
        <v>0</v>
      </c>
      <c r="CJ141" s="27">
        <f t="shared" si="163"/>
        <v>0</v>
      </c>
      <c r="CK141" s="27">
        <f t="shared" si="164"/>
        <v>0</v>
      </c>
      <c r="CL141" s="27">
        <f t="shared" si="165"/>
        <v>0</v>
      </c>
      <c r="CM141" s="27">
        <f t="shared" si="166"/>
        <v>0</v>
      </c>
      <c r="CN141" s="27">
        <f t="shared" si="167"/>
        <v>0</v>
      </c>
      <c r="CO141" s="27">
        <f t="shared" si="168"/>
        <v>0</v>
      </c>
      <c r="CP141" s="27">
        <f t="shared" si="169"/>
        <v>0</v>
      </c>
      <c r="CQ141" s="27">
        <f t="shared" si="170"/>
        <v>0</v>
      </c>
      <c r="CR141" s="27">
        <f t="shared" si="171"/>
        <v>0</v>
      </c>
      <c r="CS141" s="27">
        <f>+SUM(CG141:CR141)</f>
        <v>0</v>
      </c>
      <c r="CT141" s="18" t="s">
        <v>99</v>
      </c>
      <c r="CU141" s="38" t="e">
        <f aca="true" t="shared" si="181" ref="CU141:DF141">+CG141/$CS$139</f>
        <v>#DIV/0!</v>
      </c>
      <c r="CV141" s="38" t="e">
        <f t="shared" si="181"/>
        <v>#DIV/0!</v>
      </c>
      <c r="CW141" s="38" t="e">
        <f t="shared" si="181"/>
        <v>#DIV/0!</v>
      </c>
      <c r="CX141" s="38" t="e">
        <f t="shared" si="181"/>
        <v>#DIV/0!</v>
      </c>
      <c r="CY141" s="38" t="e">
        <f t="shared" si="181"/>
        <v>#DIV/0!</v>
      </c>
      <c r="CZ141" s="38" t="e">
        <f t="shared" si="181"/>
        <v>#DIV/0!</v>
      </c>
      <c r="DA141" s="38" t="e">
        <f t="shared" si="181"/>
        <v>#DIV/0!</v>
      </c>
      <c r="DB141" s="38" t="e">
        <f t="shared" si="181"/>
        <v>#DIV/0!</v>
      </c>
      <c r="DC141" s="38" t="e">
        <f t="shared" si="181"/>
        <v>#DIV/0!</v>
      </c>
      <c r="DD141" s="38" t="e">
        <f t="shared" si="181"/>
        <v>#DIV/0!</v>
      </c>
      <c r="DE141" s="38" t="e">
        <f t="shared" si="181"/>
        <v>#DIV/0!</v>
      </c>
      <c r="DF141" s="38" t="e">
        <f t="shared" si="181"/>
        <v>#DIV/0!</v>
      </c>
      <c r="DG141" s="29" t="e">
        <f>+SUM(CU141:DF141)</f>
        <v>#DIV/0!</v>
      </c>
      <c r="DH141" s="37" t="s">
        <v>126</v>
      </c>
      <c r="DI141" s="7">
        <v>0</v>
      </c>
      <c r="DJ141" s="52">
        <v>49</v>
      </c>
      <c r="DK141" s="27">
        <v>69081</v>
      </c>
      <c r="DL141" s="27">
        <v>0</v>
      </c>
      <c r="DM141" s="63">
        <v>11889</v>
      </c>
      <c r="DN141" s="27">
        <v>0</v>
      </c>
      <c r="DO141" s="64">
        <v>28162</v>
      </c>
      <c r="DP141" s="65">
        <v>34293</v>
      </c>
      <c r="DQ141" s="66">
        <v>0</v>
      </c>
      <c r="DR141" s="65">
        <v>14162</v>
      </c>
      <c r="DS141" s="64">
        <v>21665</v>
      </c>
      <c r="DT141" s="65">
        <v>17038</v>
      </c>
      <c r="DV141" s="7" t="s">
        <v>99</v>
      </c>
      <c r="DW141" s="7">
        <v>0</v>
      </c>
      <c r="DX141" s="52">
        <v>16450</v>
      </c>
      <c r="DY141" s="52">
        <v>17361</v>
      </c>
      <c r="DZ141" s="52">
        <v>18055</v>
      </c>
      <c r="EA141" s="52">
        <v>28514</v>
      </c>
      <c r="EB141" s="7">
        <v>0</v>
      </c>
      <c r="EC141" s="7">
        <v>613</v>
      </c>
      <c r="ED141" s="52">
        <v>20825</v>
      </c>
      <c r="EE141" s="7">
        <v>0</v>
      </c>
      <c r="EF141" s="52">
        <v>43517</v>
      </c>
      <c r="EG141" s="7">
        <v>0</v>
      </c>
      <c r="EH141" s="60">
        <v>55612</v>
      </c>
    </row>
    <row r="142" spans="1:111" ht="15" customHeight="1">
      <c r="A142" s="14" t="s">
        <v>100</v>
      </c>
      <c r="B142" s="15"/>
      <c r="C142" s="16"/>
      <c r="D142" s="16"/>
      <c r="E142" s="16"/>
      <c r="F142" s="16"/>
      <c r="G142" s="16"/>
      <c r="H142" s="16"/>
      <c r="I142" s="16"/>
      <c r="J142" s="16"/>
      <c r="K142" s="15"/>
      <c r="L142" s="15"/>
      <c r="M142" s="15"/>
      <c r="N142" s="17">
        <f t="shared" si="155"/>
        <v>0</v>
      </c>
      <c r="O142" s="18" t="s">
        <v>100</v>
      </c>
      <c r="P142" s="30">
        <v>0</v>
      </c>
      <c r="Q142" s="30">
        <v>0</v>
      </c>
      <c r="R142" s="27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27">
        <v>0</v>
      </c>
      <c r="Z142" s="31">
        <v>0</v>
      </c>
      <c r="AA142" s="27">
        <v>0</v>
      </c>
      <c r="AB142" s="22">
        <f t="shared" si="156"/>
        <v>0</v>
      </c>
      <c r="AC142" s="18" t="s">
        <v>100</v>
      </c>
      <c r="AD142" s="23">
        <f aca="true" t="shared" si="182" ref="AD142:AO142">SUM(AD143:AD144)</f>
        <v>67531</v>
      </c>
      <c r="AE142" s="23">
        <f t="shared" si="182"/>
        <v>925778</v>
      </c>
      <c r="AF142" s="23">
        <f t="shared" si="182"/>
        <v>2666083</v>
      </c>
      <c r="AG142" s="23">
        <f t="shared" si="182"/>
        <v>2087495</v>
      </c>
      <c r="AH142" s="23">
        <f t="shared" si="182"/>
        <v>0</v>
      </c>
      <c r="AI142" s="23">
        <f t="shared" si="182"/>
        <v>12458</v>
      </c>
      <c r="AJ142" s="23">
        <f t="shared" si="182"/>
        <v>0</v>
      </c>
      <c r="AK142" s="23">
        <f t="shared" si="182"/>
        <v>0</v>
      </c>
      <c r="AL142" s="23">
        <f t="shared" si="182"/>
        <v>16327</v>
      </c>
      <c r="AM142" s="23">
        <f t="shared" si="182"/>
        <v>1044</v>
      </c>
      <c r="AN142" s="23">
        <f t="shared" si="182"/>
        <v>0</v>
      </c>
      <c r="AO142" s="23">
        <f t="shared" si="182"/>
        <v>0</v>
      </c>
      <c r="AP142" s="24">
        <f t="shared" si="158"/>
        <v>5776716</v>
      </c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4">
        <f t="shared" si="159"/>
        <v>0</v>
      </c>
      <c r="BQ142" s="24">
        <f t="shared" si="154"/>
        <v>0</v>
      </c>
      <c r="CE142" s="24"/>
      <c r="CF142" s="26" t="s">
        <v>100</v>
      </c>
      <c r="CG142" s="27">
        <f t="shared" si="160"/>
        <v>16882.75</v>
      </c>
      <c r="CH142" s="27">
        <f t="shared" si="161"/>
        <v>231444.5</v>
      </c>
      <c r="CI142" s="27">
        <f t="shared" si="162"/>
        <v>666520.75</v>
      </c>
      <c r="CJ142" s="27">
        <f t="shared" si="163"/>
        <v>521873.75</v>
      </c>
      <c r="CK142" s="27">
        <f t="shared" si="164"/>
        <v>0</v>
      </c>
      <c r="CL142" s="27">
        <f t="shared" si="165"/>
        <v>3114.5</v>
      </c>
      <c r="CM142" s="27">
        <f t="shared" si="166"/>
        <v>0</v>
      </c>
      <c r="CN142" s="27">
        <f t="shared" si="167"/>
        <v>0</v>
      </c>
      <c r="CO142" s="27">
        <f t="shared" si="168"/>
        <v>4081.75</v>
      </c>
      <c r="CP142" s="27">
        <f t="shared" si="169"/>
        <v>261</v>
      </c>
      <c r="CQ142" s="27">
        <f t="shared" si="170"/>
        <v>0</v>
      </c>
      <c r="CR142" s="27">
        <f t="shared" si="171"/>
        <v>0</v>
      </c>
      <c r="CS142" s="37"/>
      <c r="CT142" s="18" t="s">
        <v>100</v>
      </c>
      <c r="DG142" s="29"/>
    </row>
    <row r="143" spans="1:111" ht="15" customHeight="1">
      <c r="A143" s="14" t="s">
        <v>101</v>
      </c>
      <c r="B143" s="15"/>
      <c r="C143" s="36"/>
      <c r="D143" s="36"/>
      <c r="E143" s="36"/>
      <c r="F143" s="36"/>
      <c r="G143" s="36"/>
      <c r="H143" s="36"/>
      <c r="I143" s="36"/>
      <c r="J143" s="36"/>
      <c r="K143" s="15"/>
      <c r="L143" s="15"/>
      <c r="M143" s="15"/>
      <c r="N143" s="17">
        <f aca="true" t="shared" si="183" ref="N143:N149">SUM(B143:M143)</f>
        <v>0</v>
      </c>
      <c r="O143" s="18" t="s">
        <v>101</v>
      </c>
      <c r="P143" s="30">
        <v>0</v>
      </c>
      <c r="Q143" s="30">
        <v>0</v>
      </c>
      <c r="R143" s="27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27">
        <v>0</v>
      </c>
      <c r="Z143" s="31">
        <v>0</v>
      </c>
      <c r="AA143" s="27">
        <v>0</v>
      </c>
      <c r="AB143" s="22">
        <f aca="true" t="shared" si="184" ref="AB143:AB149">SUM(P143:AA143)</f>
        <v>0</v>
      </c>
      <c r="AC143" s="18" t="s">
        <v>101</v>
      </c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4">
        <f aca="true" t="shared" si="185" ref="AP143:AP148">SUM(AD143:AO143)</f>
        <v>0</v>
      </c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4">
        <f aca="true" t="shared" si="186" ref="BC143:BC148">SUM(AQ143:BB143)</f>
        <v>0</v>
      </c>
      <c r="BQ143" s="24">
        <f t="shared" si="154"/>
        <v>0</v>
      </c>
      <c r="CE143" s="24"/>
      <c r="CF143" s="26" t="s">
        <v>101</v>
      </c>
      <c r="CG143" s="27">
        <f aca="true" t="shared" si="187" ref="CG143:CG148">+SUM(+B143+P143+AD143+AQ143)/4</f>
        <v>0</v>
      </c>
      <c r="CH143" s="27">
        <f aca="true" t="shared" si="188" ref="CH143:CH148">+SUM(+C143+Q143+AE143+AR143)/4</f>
        <v>0</v>
      </c>
      <c r="CI143" s="27">
        <f aca="true" t="shared" si="189" ref="CI143:CI148">+SUM(+D143+R143+AF143+AS143)/4</f>
        <v>0</v>
      </c>
      <c r="CJ143" s="27">
        <f aca="true" t="shared" si="190" ref="CJ143:CJ148">+SUM(+E143+S143+AG143+AT143)/4</f>
        <v>0</v>
      </c>
      <c r="CK143" s="27">
        <f aca="true" t="shared" si="191" ref="CK143:CK148">+SUM(+F143+T143+AH143+AU143)/4</f>
        <v>0</v>
      </c>
      <c r="CL143" s="27">
        <f aca="true" t="shared" si="192" ref="CL143:CL148">+SUM(+G143+U143+AI143+AV143)/4</f>
        <v>0</v>
      </c>
      <c r="CM143" s="27">
        <f aca="true" t="shared" si="193" ref="CM143:CM148">+SUM(+H143+V143+AJ143+AW143)/4</f>
        <v>0</v>
      </c>
      <c r="CN143" s="27">
        <f aca="true" t="shared" si="194" ref="CN143:CN148">+SUM(+I143+W143+AK143+AX143)/4</f>
        <v>0</v>
      </c>
      <c r="CO143" s="27">
        <f aca="true" t="shared" si="195" ref="CO143:CO148">+SUM(+J143+X143+AL143+AY143)/4</f>
        <v>0</v>
      </c>
      <c r="CP143" s="27">
        <f aca="true" t="shared" si="196" ref="CP143:CP148">+SUM(+K143+Y143+AM143+AZ143)/4</f>
        <v>0</v>
      </c>
      <c r="CQ143" s="27">
        <f aca="true" t="shared" si="197" ref="CQ143:CQ148">+SUM(+L143+Z143+AN143+BA143)/4</f>
        <v>0</v>
      </c>
      <c r="CR143" s="27">
        <f aca="true" t="shared" si="198" ref="CR143:CR148">+SUM(+M143+AA143+AO143+BB143)/4</f>
        <v>0</v>
      </c>
      <c r="CS143" s="37"/>
      <c r="CT143" s="18" t="s">
        <v>101</v>
      </c>
      <c r="DG143" s="29"/>
    </row>
    <row r="144" spans="1:111" ht="15" customHeight="1">
      <c r="A144" s="14" t="s">
        <v>102</v>
      </c>
      <c r="B144" s="15"/>
      <c r="C144" s="42"/>
      <c r="D144" s="42"/>
      <c r="E144" s="42"/>
      <c r="F144" s="42"/>
      <c r="G144" s="42"/>
      <c r="H144" s="42"/>
      <c r="I144" s="42"/>
      <c r="J144" s="42"/>
      <c r="K144" s="15"/>
      <c r="L144" s="15"/>
      <c r="M144" s="15"/>
      <c r="N144" s="17">
        <f t="shared" si="183"/>
        <v>0</v>
      </c>
      <c r="O144" s="18" t="s">
        <v>102</v>
      </c>
      <c r="P144" s="30">
        <v>0</v>
      </c>
      <c r="Q144" s="30">
        <v>0</v>
      </c>
      <c r="R144" s="27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27">
        <v>0</v>
      </c>
      <c r="Z144" s="31">
        <v>0</v>
      </c>
      <c r="AA144" s="27">
        <v>0</v>
      </c>
      <c r="AB144" s="22">
        <f t="shared" si="184"/>
        <v>0</v>
      </c>
      <c r="AC144" s="18" t="s">
        <v>102</v>
      </c>
      <c r="AD144" s="23">
        <v>67531</v>
      </c>
      <c r="AE144" s="23">
        <v>925778</v>
      </c>
      <c r="AF144" s="23">
        <v>2666083</v>
      </c>
      <c r="AG144" s="23">
        <v>2087495</v>
      </c>
      <c r="AH144" s="23"/>
      <c r="AI144" s="23">
        <v>12458</v>
      </c>
      <c r="AJ144" s="23"/>
      <c r="AK144" s="23"/>
      <c r="AL144" s="23">
        <v>16327</v>
      </c>
      <c r="AM144" s="23">
        <v>1044</v>
      </c>
      <c r="AN144" s="23"/>
      <c r="AO144" s="23"/>
      <c r="AP144" s="24">
        <f t="shared" si="185"/>
        <v>5776716</v>
      </c>
      <c r="AQ144" s="23">
        <v>1252677</v>
      </c>
      <c r="AR144" s="23">
        <v>2682787</v>
      </c>
      <c r="AS144" s="23"/>
      <c r="AT144" s="23">
        <v>810147</v>
      </c>
      <c r="AU144" s="23">
        <f>71199+1157431</f>
        <v>1228630</v>
      </c>
      <c r="AV144" s="23"/>
      <c r="AW144" s="23">
        <v>394052</v>
      </c>
      <c r="AX144" s="23"/>
      <c r="AY144" s="23">
        <v>165298</v>
      </c>
      <c r="AZ144" s="23">
        <f>113568+609337</f>
        <v>722905</v>
      </c>
      <c r="BA144" s="23">
        <v>1505278</v>
      </c>
      <c r="BB144" s="23">
        <v>293000</v>
      </c>
      <c r="BC144" s="24">
        <f t="shared" si="186"/>
        <v>9054774</v>
      </c>
      <c r="BQ144" s="24">
        <f t="shared" si="154"/>
        <v>0</v>
      </c>
      <c r="CE144" s="24"/>
      <c r="CF144" s="26" t="s">
        <v>102</v>
      </c>
      <c r="CG144" s="27">
        <f t="shared" si="187"/>
        <v>330052</v>
      </c>
      <c r="CH144" s="27">
        <f t="shared" si="188"/>
        <v>902141.25</v>
      </c>
      <c r="CI144" s="27">
        <f t="shared" si="189"/>
        <v>666520.75</v>
      </c>
      <c r="CJ144" s="27">
        <f t="shared" si="190"/>
        <v>724410.5</v>
      </c>
      <c r="CK144" s="27">
        <f t="shared" si="191"/>
        <v>307157.5</v>
      </c>
      <c r="CL144" s="27">
        <f t="shared" si="192"/>
        <v>3114.5</v>
      </c>
      <c r="CM144" s="27">
        <f t="shared" si="193"/>
        <v>98513</v>
      </c>
      <c r="CN144" s="27">
        <f t="shared" si="194"/>
        <v>0</v>
      </c>
      <c r="CO144" s="27">
        <f t="shared" si="195"/>
        <v>45406.25</v>
      </c>
      <c r="CP144" s="27">
        <f t="shared" si="196"/>
        <v>180987.25</v>
      </c>
      <c r="CQ144" s="27">
        <f t="shared" si="197"/>
        <v>376319.5</v>
      </c>
      <c r="CR144" s="27">
        <f t="shared" si="198"/>
        <v>73250</v>
      </c>
      <c r="CS144" s="27">
        <f>+SUM(CG144:CR144)</f>
        <v>3707872.5</v>
      </c>
      <c r="CT144" s="18" t="s">
        <v>102</v>
      </c>
      <c r="CU144" s="28">
        <f aca="true" t="shared" si="199" ref="CU144:DF144">+CG144/$CS$144</f>
        <v>0.08901384823776977</v>
      </c>
      <c r="CV144" s="28">
        <f t="shared" si="199"/>
        <v>0.24330428028471854</v>
      </c>
      <c r="CW144" s="28">
        <f t="shared" si="199"/>
        <v>0.1797582710840246</v>
      </c>
      <c r="CX144" s="28">
        <f t="shared" si="199"/>
        <v>0.19537093036505435</v>
      </c>
      <c r="CY144" s="28">
        <f t="shared" si="199"/>
        <v>0.08283928317384161</v>
      </c>
      <c r="CZ144" s="28">
        <f t="shared" si="199"/>
        <v>0.0008399695512723267</v>
      </c>
      <c r="DA144" s="28">
        <f t="shared" si="199"/>
        <v>0.026568605042379425</v>
      </c>
      <c r="DB144" s="28">
        <f t="shared" si="199"/>
        <v>0</v>
      </c>
      <c r="DC144" s="28">
        <f t="shared" si="199"/>
        <v>0.012245903816811392</v>
      </c>
      <c r="DD144" s="28">
        <f t="shared" si="199"/>
        <v>0.04881161636491007</v>
      </c>
      <c r="DE144" s="28">
        <f t="shared" si="199"/>
        <v>0.10149202811045957</v>
      </c>
      <c r="DF144" s="28">
        <f t="shared" si="199"/>
        <v>0.019755263968758364</v>
      </c>
      <c r="DG144" s="29">
        <f>+SUM(CU144:DF144)</f>
        <v>1</v>
      </c>
    </row>
    <row r="145" spans="1:138" ht="15" customHeight="1">
      <c r="A145" s="14" t="s">
        <v>103</v>
      </c>
      <c r="B145" s="15"/>
      <c r="C145" s="16"/>
      <c r="D145" s="16"/>
      <c r="E145" s="16"/>
      <c r="F145" s="16"/>
      <c r="G145" s="16"/>
      <c r="H145" s="16"/>
      <c r="I145" s="16"/>
      <c r="J145" s="16"/>
      <c r="K145" s="15"/>
      <c r="L145" s="15"/>
      <c r="M145" s="15"/>
      <c r="N145" s="17">
        <f t="shared" si="183"/>
        <v>0</v>
      </c>
      <c r="O145" s="18" t="s">
        <v>103</v>
      </c>
      <c r="P145" s="30">
        <f aca="true" t="shared" si="200" ref="P145:AA145">SUM(P146:P146)</f>
        <v>685102</v>
      </c>
      <c r="Q145" s="30">
        <f t="shared" si="200"/>
        <v>634158</v>
      </c>
      <c r="R145" s="23">
        <f t="shared" si="200"/>
        <v>851561</v>
      </c>
      <c r="S145" s="23">
        <f t="shared" si="200"/>
        <v>532482</v>
      </c>
      <c r="T145" s="23">
        <f t="shared" si="200"/>
        <v>427115</v>
      </c>
      <c r="U145" s="23">
        <f t="shared" si="200"/>
        <v>728162</v>
      </c>
      <c r="V145" s="23">
        <f t="shared" si="200"/>
        <v>452133</v>
      </c>
      <c r="W145" s="23">
        <f t="shared" si="200"/>
        <v>563063</v>
      </c>
      <c r="X145" s="23">
        <f t="shared" si="200"/>
        <v>456665</v>
      </c>
      <c r="Y145" s="23">
        <f t="shared" si="200"/>
        <v>684703</v>
      </c>
      <c r="Z145" s="23">
        <f t="shared" si="200"/>
        <v>1014235</v>
      </c>
      <c r="AA145" s="23">
        <f t="shared" si="200"/>
        <v>215917</v>
      </c>
      <c r="AB145" s="22">
        <f t="shared" si="184"/>
        <v>7245296</v>
      </c>
      <c r="AC145" s="18" t="s">
        <v>103</v>
      </c>
      <c r="AD145" s="23">
        <f aca="true" t="shared" si="201" ref="AD145:AO145">SUM(AD146:AD146)</f>
        <v>450035</v>
      </c>
      <c r="AE145" s="23">
        <f t="shared" si="201"/>
        <v>1148810</v>
      </c>
      <c r="AF145" s="23">
        <f t="shared" si="201"/>
        <v>827545</v>
      </c>
      <c r="AG145" s="23">
        <f t="shared" si="201"/>
        <v>544171</v>
      </c>
      <c r="AH145" s="23">
        <f t="shared" si="201"/>
        <v>470600</v>
      </c>
      <c r="AI145" s="23">
        <f t="shared" si="201"/>
        <v>1661784</v>
      </c>
      <c r="AJ145" s="23">
        <f t="shared" si="201"/>
        <v>633321</v>
      </c>
      <c r="AK145" s="23">
        <f t="shared" si="201"/>
        <v>647386</v>
      </c>
      <c r="AL145" s="23">
        <f t="shared" si="201"/>
        <v>716264</v>
      </c>
      <c r="AM145" s="23">
        <f t="shared" si="201"/>
        <v>253179</v>
      </c>
      <c r="AN145" s="23">
        <f t="shared" si="201"/>
        <v>0</v>
      </c>
      <c r="AO145" s="23">
        <f t="shared" si="201"/>
        <v>0</v>
      </c>
      <c r="AP145" s="24">
        <f t="shared" si="185"/>
        <v>7353095</v>
      </c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4">
        <f t="shared" si="186"/>
        <v>0</v>
      </c>
      <c r="BQ145" s="24">
        <f t="shared" si="154"/>
        <v>0</v>
      </c>
      <c r="BR145" s="7" t="s">
        <v>256</v>
      </c>
      <c r="BS145" s="52">
        <v>5100</v>
      </c>
      <c r="BT145" s="7">
        <v>180</v>
      </c>
      <c r="BU145" s="52">
        <v>1191</v>
      </c>
      <c r="BV145" s="52">
        <v>2377</v>
      </c>
      <c r="BW145" s="52">
        <v>2075</v>
      </c>
      <c r="BX145" s="52">
        <v>2078</v>
      </c>
      <c r="BY145" s="7">
        <v>927</v>
      </c>
      <c r="BZ145" s="52">
        <v>11263</v>
      </c>
      <c r="CA145" s="52">
        <v>26373</v>
      </c>
      <c r="CB145" s="7">
        <v>309</v>
      </c>
      <c r="CC145" s="7">
        <v>1015</v>
      </c>
      <c r="CD145" s="60">
        <v>1321</v>
      </c>
      <c r="CE145" s="24"/>
      <c r="CF145" s="26" t="s">
        <v>103</v>
      </c>
      <c r="CG145" s="27">
        <f t="shared" si="187"/>
        <v>283784.25</v>
      </c>
      <c r="CH145" s="27">
        <f t="shared" si="188"/>
        <v>445742</v>
      </c>
      <c r="CI145" s="27">
        <f t="shared" si="189"/>
        <v>419776.5</v>
      </c>
      <c r="CJ145" s="27">
        <f t="shared" si="190"/>
        <v>269163.25</v>
      </c>
      <c r="CK145" s="27">
        <f t="shared" si="191"/>
        <v>224428.75</v>
      </c>
      <c r="CL145" s="27">
        <f t="shared" si="192"/>
        <v>597486.5</v>
      </c>
      <c r="CM145" s="27">
        <f t="shared" si="193"/>
        <v>271363.5</v>
      </c>
      <c r="CN145" s="27">
        <f t="shared" si="194"/>
        <v>302612.25</v>
      </c>
      <c r="CO145" s="27">
        <f t="shared" si="195"/>
        <v>293232.25</v>
      </c>
      <c r="CP145" s="27">
        <f t="shared" si="196"/>
        <v>234470.5</v>
      </c>
      <c r="CQ145" s="27">
        <f t="shared" si="197"/>
        <v>253558.75</v>
      </c>
      <c r="CR145" s="27">
        <f t="shared" si="198"/>
        <v>53979.25</v>
      </c>
      <c r="CS145" s="37"/>
      <c r="CT145" s="18" t="s">
        <v>103</v>
      </c>
      <c r="DG145" s="29"/>
      <c r="DV145" s="7" t="s">
        <v>256</v>
      </c>
      <c r="DW145" s="52">
        <v>5100</v>
      </c>
      <c r="DX145" s="7">
        <v>180</v>
      </c>
      <c r="DY145" s="52">
        <v>1191</v>
      </c>
      <c r="DZ145" s="52">
        <v>2377</v>
      </c>
      <c r="EA145" s="52">
        <v>2075</v>
      </c>
      <c r="EB145" s="52">
        <v>2078</v>
      </c>
      <c r="EC145" s="7">
        <v>927</v>
      </c>
      <c r="ED145" s="52">
        <v>11263</v>
      </c>
      <c r="EE145" s="52">
        <v>26373</v>
      </c>
      <c r="EF145" s="7">
        <v>309</v>
      </c>
      <c r="EG145" s="7">
        <v>1015</v>
      </c>
      <c r="EH145" s="60">
        <v>1321</v>
      </c>
    </row>
    <row r="146" spans="1:124" ht="15" customHeight="1">
      <c r="A146" s="14" t="s">
        <v>104</v>
      </c>
      <c r="B146" s="15">
        <v>904665</v>
      </c>
      <c r="C146" s="16">
        <v>493717</v>
      </c>
      <c r="D146" s="16">
        <v>614839</v>
      </c>
      <c r="E146" s="16">
        <v>958747</v>
      </c>
      <c r="F146" s="16">
        <v>703539</v>
      </c>
      <c r="G146" s="16">
        <v>1005717</v>
      </c>
      <c r="H146" s="16">
        <v>798923</v>
      </c>
      <c r="I146" s="16">
        <v>782582</v>
      </c>
      <c r="J146" s="16">
        <v>6894085</v>
      </c>
      <c r="K146" s="15">
        <v>1306425</v>
      </c>
      <c r="L146" s="15">
        <v>764363</v>
      </c>
      <c r="M146" s="15">
        <v>492922</v>
      </c>
      <c r="N146" s="17">
        <f t="shared" si="183"/>
        <v>15720524</v>
      </c>
      <c r="O146" s="18" t="s">
        <v>104</v>
      </c>
      <c r="P146" s="30">
        <v>685102</v>
      </c>
      <c r="Q146" s="30">
        <v>634158</v>
      </c>
      <c r="R146" s="27">
        <v>851561</v>
      </c>
      <c r="S146" s="31">
        <v>532482</v>
      </c>
      <c r="T146" s="31">
        <v>427115</v>
      </c>
      <c r="U146" s="31">
        <v>728162</v>
      </c>
      <c r="V146" s="31">
        <v>452133</v>
      </c>
      <c r="W146" s="31">
        <v>563063</v>
      </c>
      <c r="X146" s="31">
        <v>456665</v>
      </c>
      <c r="Y146" s="27">
        <v>684703</v>
      </c>
      <c r="Z146" s="31">
        <v>1014235</v>
      </c>
      <c r="AA146" s="27">
        <v>215917</v>
      </c>
      <c r="AB146" s="22">
        <f t="shared" si="184"/>
        <v>7245296</v>
      </c>
      <c r="AC146" s="18" t="s">
        <v>104</v>
      </c>
      <c r="AD146" s="23">
        <v>450035</v>
      </c>
      <c r="AE146" s="23">
        <v>1148810</v>
      </c>
      <c r="AF146" s="23">
        <v>827545</v>
      </c>
      <c r="AG146" s="23">
        <v>544171</v>
      </c>
      <c r="AH146" s="23">
        <v>470600</v>
      </c>
      <c r="AI146" s="23">
        <v>1661784</v>
      </c>
      <c r="AJ146" s="23">
        <v>633321</v>
      </c>
      <c r="AK146" s="23">
        <v>647386</v>
      </c>
      <c r="AL146" s="23">
        <v>716264</v>
      </c>
      <c r="AM146" s="23">
        <v>253179</v>
      </c>
      <c r="AN146" s="23"/>
      <c r="AO146" s="23"/>
      <c r="AP146" s="24">
        <f t="shared" si="185"/>
        <v>7353095</v>
      </c>
      <c r="AQ146" s="23">
        <v>543159</v>
      </c>
      <c r="AR146" s="23">
        <v>608624</v>
      </c>
      <c r="AS146" s="23"/>
      <c r="AT146" s="23">
        <v>75186</v>
      </c>
      <c r="AU146" s="23"/>
      <c r="AV146" s="23">
        <v>137491</v>
      </c>
      <c r="AW146" s="23"/>
      <c r="AX146" s="23"/>
      <c r="AY146" s="23"/>
      <c r="AZ146" s="23"/>
      <c r="BA146" s="23">
        <v>320651</v>
      </c>
      <c r="BB146" s="23">
        <v>244000</v>
      </c>
      <c r="BC146" s="24">
        <f t="shared" si="186"/>
        <v>1929111</v>
      </c>
      <c r="BD146" s="37" t="s">
        <v>104</v>
      </c>
      <c r="BE146" s="7">
        <v>1170</v>
      </c>
      <c r="BF146" s="52">
        <v>1625</v>
      </c>
      <c r="BG146" s="27">
        <v>219</v>
      </c>
      <c r="BH146" s="27">
        <v>6749</v>
      </c>
      <c r="BI146" s="63">
        <v>502</v>
      </c>
      <c r="BJ146" s="27">
        <v>4567</v>
      </c>
      <c r="BK146" s="64">
        <v>3346</v>
      </c>
      <c r="BL146" s="65">
        <v>8480</v>
      </c>
      <c r="BM146" s="66">
        <v>0</v>
      </c>
      <c r="BN146" s="65">
        <v>3247</v>
      </c>
      <c r="BO146" s="64">
        <v>607</v>
      </c>
      <c r="BP146" s="65">
        <v>3000</v>
      </c>
      <c r="BQ146" s="24">
        <f t="shared" si="154"/>
        <v>33512</v>
      </c>
      <c r="CE146" s="24"/>
      <c r="CF146" s="26" t="s">
        <v>104</v>
      </c>
      <c r="CG146" s="27">
        <f t="shared" si="187"/>
        <v>645740.25</v>
      </c>
      <c r="CH146" s="27">
        <f t="shared" si="188"/>
        <v>721327.25</v>
      </c>
      <c r="CI146" s="27">
        <f t="shared" si="189"/>
        <v>573486.25</v>
      </c>
      <c r="CJ146" s="27">
        <f t="shared" si="190"/>
        <v>527646.5</v>
      </c>
      <c r="CK146" s="27">
        <f t="shared" si="191"/>
        <v>400313.5</v>
      </c>
      <c r="CL146" s="27">
        <f t="shared" si="192"/>
        <v>883288.5</v>
      </c>
      <c r="CM146" s="27">
        <f t="shared" si="193"/>
        <v>471094.25</v>
      </c>
      <c r="CN146" s="27">
        <f t="shared" si="194"/>
        <v>498257.75</v>
      </c>
      <c r="CO146" s="27">
        <f t="shared" si="195"/>
        <v>2016753.5</v>
      </c>
      <c r="CP146" s="27">
        <f t="shared" si="196"/>
        <v>561076.75</v>
      </c>
      <c r="CQ146" s="27">
        <f t="shared" si="197"/>
        <v>524812.25</v>
      </c>
      <c r="CR146" s="27">
        <f t="shared" si="198"/>
        <v>238209.75</v>
      </c>
      <c r="CS146" s="27">
        <f>+SUM(CG146:CR146)</f>
        <v>8062006.5</v>
      </c>
      <c r="CT146" s="18" t="s">
        <v>104</v>
      </c>
      <c r="CU146" s="28">
        <f aca="true" t="shared" si="202" ref="CU146:DF146">+CG146/$CS$146</f>
        <v>0.08009671661763111</v>
      </c>
      <c r="CV146" s="28">
        <f t="shared" si="202"/>
        <v>0.0894724222809793</v>
      </c>
      <c r="CW146" s="28">
        <f t="shared" si="202"/>
        <v>0.07113443160830991</v>
      </c>
      <c r="CX146" s="28">
        <f t="shared" si="202"/>
        <v>0.0654485331908378</v>
      </c>
      <c r="CY146" s="28">
        <f t="shared" si="202"/>
        <v>0.04965432612836519</v>
      </c>
      <c r="CZ146" s="28">
        <f t="shared" si="202"/>
        <v>0.10956186899626043</v>
      </c>
      <c r="DA146" s="28">
        <f t="shared" si="202"/>
        <v>0.05843387127013604</v>
      </c>
      <c r="DB146" s="28">
        <f t="shared" si="202"/>
        <v>0.06180319378308614</v>
      </c>
      <c r="DC146" s="28">
        <f t="shared" si="202"/>
        <v>0.25015528082246025</v>
      </c>
      <c r="DD146" s="28">
        <f t="shared" si="202"/>
        <v>0.06959517460076471</v>
      </c>
      <c r="DE146" s="28">
        <f t="shared" si="202"/>
        <v>0.06509697678859475</v>
      </c>
      <c r="DF146" s="28">
        <f t="shared" si="202"/>
        <v>0.02954720391257437</v>
      </c>
      <c r="DG146" s="29">
        <f>+SUM(CU146:DF146)</f>
        <v>0.9999999999999999</v>
      </c>
      <c r="DH146" s="37" t="s">
        <v>104</v>
      </c>
      <c r="DI146" s="7">
        <v>1170</v>
      </c>
      <c r="DJ146" s="52">
        <v>1625</v>
      </c>
      <c r="DK146" s="27">
        <v>219</v>
      </c>
      <c r="DL146" s="27">
        <v>6749</v>
      </c>
      <c r="DM146" s="63">
        <v>502</v>
      </c>
      <c r="DN146" s="27">
        <v>4567</v>
      </c>
      <c r="DO146" s="64">
        <v>3346</v>
      </c>
      <c r="DP146" s="65">
        <v>8480</v>
      </c>
      <c r="DQ146" s="66">
        <v>0</v>
      </c>
      <c r="DR146" s="65">
        <v>3247</v>
      </c>
      <c r="DS146" s="64">
        <v>607</v>
      </c>
      <c r="DT146" s="65">
        <v>3000</v>
      </c>
    </row>
    <row r="147" spans="1:111" ht="15" customHeight="1">
      <c r="A147" s="14" t="s">
        <v>105</v>
      </c>
      <c r="B147" s="15"/>
      <c r="C147" s="16"/>
      <c r="D147" s="16"/>
      <c r="E147" s="16"/>
      <c r="F147" s="16"/>
      <c r="G147" s="16"/>
      <c r="H147" s="16"/>
      <c r="I147" s="16"/>
      <c r="J147" s="16"/>
      <c r="K147" s="15"/>
      <c r="L147" s="15"/>
      <c r="M147" s="15"/>
      <c r="N147" s="17">
        <f t="shared" si="183"/>
        <v>0</v>
      </c>
      <c r="O147" s="18" t="s">
        <v>105</v>
      </c>
      <c r="P147" s="30">
        <f aca="true" t="shared" si="203" ref="P147:AA147">SUM(P148:P148)</f>
        <v>0</v>
      </c>
      <c r="Q147" s="30">
        <f t="shared" si="203"/>
        <v>0</v>
      </c>
      <c r="R147" s="23">
        <f t="shared" si="203"/>
        <v>0</v>
      </c>
      <c r="S147" s="23">
        <f t="shared" si="203"/>
        <v>0</v>
      </c>
      <c r="T147" s="23">
        <f t="shared" si="203"/>
        <v>0</v>
      </c>
      <c r="U147" s="23">
        <f t="shared" si="203"/>
        <v>0</v>
      </c>
      <c r="V147" s="23">
        <f t="shared" si="203"/>
        <v>167568</v>
      </c>
      <c r="W147" s="23">
        <f t="shared" si="203"/>
        <v>0</v>
      </c>
      <c r="X147" s="23">
        <f t="shared" si="203"/>
        <v>0</v>
      </c>
      <c r="Y147" s="23">
        <f t="shared" si="203"/>
        <v>0</v>
      </c>
      <c r="Z147" s="23">
        <f t="shared" si="203"/>
        <v>0</v>
      </c>
      <c r="AA147" s="23">
        <f t="shared" si="203"/>
        <v>0</v>
      </c>
      <c r="AB147" s="22">
        <f t="shared" si="184"/>
        <v>167568</v>
      </c>
      <c r="AC147" s="18" t="s">
        <v>105</v>
      </c>
      <c r="AD147" s="23">
        <f aca="true" t="shared" si="204" ref="AD147:AO147">SUM(AD148:AD148)</f>
        <v>0</v>
      </c>
      <c r="AE147" s="23">
        <f t="shared" si="204"/>
        <v>0</v>
      </c>
      <c r="AF147" s="23">
        <f t="shared" si="204"/>
        <v>0</v>
      </c>
      <c r="AG147" s="23">
        <f t="shared" si="204"/>
        <v>0</v>
      </c>
      <c r="AH147" s="23">
        <f t="shared" si="204"/>
        <v>0</v>
      </c>
      <c r="AI147" s="23">
        <f t="shared" si="204"/>
        <v>0</v>
      </c>
      <c r="AJ147" s="23">
        <f t="shared" si="204"/>
        <v>0</v>
      </c>
      <c r="AK147" s="23">
        <f t="shared" si="204"/>
        <v>0</v>
      </c>
      <c r="AL147" s="23">
        <f t="shared" si="204"/>
        <v>0</v>
      </c>
      <c r="AM147" s="23">
        <f t="shared" si="204"/>
        <v>0</v>
      </c>
      <c r="AN147" s="23">
        <f t="shared" si="204"/>
        <v>0</v>
      </c>
      <c r="AO147" s="23">
        <f t="shared" si="204"/>
        <v>0</v>
      </c>
      <c r="AP147" s="24">
        <f t="shared" si="185"/>
        <v>0</v>
      </c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>
        <f t="shared" si="186"/>
        <v>0</v>
      </c>
      <c r="BQ147" s="24">
        <f t="shared" si="154"/>
        <v>0</v>
      </c>
      <c r="CE147" s="24"/>
      <c r="CF147" s="26" t="s">
        <v>105</v>
      </c>
      <c r="CG147" s="27">
        <f t="shared" si="187"/>
        <v>0</v>
      </c>
      <c r="CH147" s="27">
        <f t="shared" si="188"/>
        <v>0</v>
      </c>
      <c r="CI147" s="27">
        <f t="shared" si="189"/>
        <v>0</v>
      </c>
      <c r="CJ147" s="27">
        <f t="shared" si="190"/>
        <v>0</v>
      </c>
      <c r="CK147" s="27">
        <f t="shared" si="191"/>
        <v>0</v>
      </c>
      <c r="CL147" s="27">
        <f t="shared" si="192"/>
        <v>0</v>
      </c>
      <c r="CM147" s="27">
        <f t="shared" si="193"/>
        <v>41892</v>
      </c>
      <c r="CN147" s="27">
        <f t="shared" si="194"/>
        <v>0</v>
      </c>
      <c r="CO147" s="27">
        <f t="shared" si="195"/>
        <v>0</v>
      </c>
      <c r="CP147" s="27">
        <f t="shared" si="196"/>
        <v>0</v>
      </c>
      <c r="CQ147" s="27">
        <f t="shared" si="197"/>
        <v>0</v>
      </c>
      <c r="CR147" s="27">
        <f t="shared" si="198"/>
        <v>0</v>
      </c>
      <c r="CS147" s="37"/>
      <c r="CT147" s="18" t="s">
        <v>105</v>
      </c>
      <c r="DG147" s="29"/>
    </row>
    <row r="148" spans="1:138" ht="15" customHeight="1">
      <c r="A148" s="48" t="s">
        <v>106</v>
      </c>
      <c r="B148" s="15">
        <v>0</v>
      </c>
      <c r="C148" s="16">
        <v>0</v>
      </c>
      <c r="D148" s="16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137108</v>
      </c>
      <c r="K148" s="15">
        <v>50634</v>
      </c>
      <c r="L148" s="15">
        <v>183681</v>
      </c>
      <c r="M148" s="15">
        <v>396399</v>
      </c>
      <c r="N148" s="17">
        <f t="shared" si="183"/>
        <v>767822</v>
      </c>
      <c r="O148" s="18" t="s">
        <v>106</v>
      </c>
      <c r="P148" s="30">
        <v>0</v>
      </c>
      <c r="Q148" s="30">
        <v>0</v>
      </c>
      <c r="R148" s="27">
        <v>0</v>
      </c>
      <c r="S148" s="31">
        <v>0</v>
      </c>
      <c r="T148" s="31">
        <v>0</v>
      </c>
      <c r="U148" s="31">
        <v>0</v>
      </c>
      <c r="V148" s="31">
        <v>167568</v>
      </c>
      <c r="W148" s="31">
        <v>0</v>
      </c>
      <c r="X148" s="31">
        <v>0</v>
      </c>
      <c r="Y148" s="27">
        <v>0</v>
      </c>
      <c r="Z148" s="31">
        <v>0</v>
      </c>
      <c r="AA148" s="27">
        <v>0</v>
      </c>
      <c r="AB148" s="22">
        <f t="shared" si="184"/>
        <v>167568</v>
      </c>
      <c r="AC148" s="18" t="s">
        <v>106</v>
      </c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4">
        <f t="shared" si="185"/>
        <v>0</v>
      </c>
      <c r="AQ148" s="23">
        <v>0</v>
      </c>
      <c r="AR148" s="23">
        <v>0</v>
      </c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4">
        <f t="shared" si="186"/>
        <v>0</v>
      </c>
      <c r="BQ148" s="24">
        <f t="shared" si="154"/>
        <v>0</v>
      </c>
      <c r="BR148" s="7" t="s">
        <v>245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131</v>
      </c>
      <c r="CA148" s="7">
        <v>78</v>
      </c>
      <c r="CB148" s="7">
        <v>0</v>
      </c>
      <c r="CC148" s="7">
        <v>0</v>
      </c>
      <c r="CD148" s="7" t="s">
        <v>201</v>
      </c>
      <c r="CE148" s="24"/>
      <c r="CF148" s="26" t="s">
        <v>106</v>
      </c>
      <c r="CG148" s="27">
        <f t="shared" si="187"/>
        <v>0</v>
      </c>
      <c r="CH148" s="27">
        <f t="shared" si="188"/>
        <v>0</v>
      </c>
      <c r="CI148" s="27">
        <f t="shared" si="189"/>
        <v>0</v>
      </c>
      <c r="CJ148" s="27">
        <f t="shared" si="190"/>
        <v>0</v>
      </c>
      <c r="CK148" s="27">
        <f t="shared" si="191"/>
        <v>0</v>
      </c>
      <c r="CL148" s="27">
        <f t="shared" si="192"/>
        <v>0</v>
      </c>
      <c r="CM148" s="27">
        <f t="shared" si="193"/>
        <v>41892</v>
      </c>
      <c r="CN148" s="27">
        <f t="shared" si="194"/>
        <v>0</v>
      </c>
      <c r="CO148" s="27">
        <f t="shared" si="195"/>
        <v>34277</v>
      </c>
      <c r="CP148" s="27">
        <f t="shared" si="196"/>
        <v>12658.5</v>
      </c>
      <c r="CQ148" s="27">
        <f t="shared" si="197"/>
        <v>45920.25</v>
      </c>
      <c r="CR148" s="27">
        <f t="shared" si="198"/>
        <v>99099.75</v>
      </c>
      <c r="CS148" s="27">
        <f>+SUM(CG148:CR148)</f>
        <v>233847.5</v>
      </c>
      <c r="CT148" s="18" t="s">
        <v>106</v>
      </c>
      <c r="CU148" s="28">
        <f aca="true" t="shared" si="205" ref="CU148:DF148">+CG148/$CS$148</f>
        <v>0</v>
      </c>
      <c r="CV148" s="28">
        <f t="shared" si="205"/>
        <v>0</v>
      </c>
      <c r="CW148" s="28">
        <f t="shared" si="205"/>
        <v>0</v>
      </c>
      <c r="CX148" s="28">
        <f t="shared" si="205"/>
        <v>0</v>
      </c>
      <c r="CY148" s="28">
        <f t="shared" si="205"/>
        <v>0</v>
      </c>
      <c r="CZ148" s="28">
        <f t="shared" si="205"/>
        <v>0</v>
      </c>
      <c r="DA148" s="28">
        <f t="shared" si="205"/>
        <v>0.17914238980532185</v>
      </c>
      <c r="DB148" s="28">
        <f t="shared" si="205"/>
        <v>0</v>
      </c>
      <c r="DC148" s="28">
        <f t="shared" si="205"/>
        <v>0.14657843252547065</v>
      </c>
      <c r="DD148" s="28">
        <f t="shared" si="205"/>
        <v>0.05413143180919189</v>
      </c>
      <c r="DE148" s="28">
        <f t="shared" si="205"/>
        <v>0.19636835972161346</v>
      </c>
      <c r="DF148" s="28">
        <f t="shared" si="205"/>
        <v>0.42377938613840216</v>
      </c>
      <c r="DG148" s="29">
        <f>+SUM(CU148:DF148)</f>
        <v>1</v>
      </c>
      <c r="DV148" s="7" t="s">
        <v>245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131</v>
      </c>
      <c r="EE148" s="7">
        <v>78</v>
      </c>
      <c r="EF148" s="7">
        <v>0</v>
      </c>
      <c r="EG148" s="7">
        <v>0</v>
      </c>
      <c r="EH148" s="7" t="s">
        <v>201</v>
      </c>
    </row>
    <row r="149" spans="1:138" ht="15" customHeight="1">
      <c r="A149" s="37" t="s">
        <v>162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5"/>
      <c r="L149" s="15"/>
      <c r="M149" s="15"/>
      <c r="N149" s="17">
        <f t="shared" si="183"/>
        <v>0</v>
      </c>
      <c r="O149" s="18"/>
      <c r="P149" s="30">
        <v>0</v>
      </c>
      <c r="Q149" s="30">
        <v>0</v>
      </c>
      <c r="R149" s="27"/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27">
        <v>0</v>
      </c>
      <c r="Z149" s="31">
        <v>0</v>
      </c>
      <c r="AA149" s="27"/>
      <c r="AB149" s="49">
        <f t="shared" si="184"/>
        <v>0</v>
      </c>
      <c r="AC149" s="18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19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E149" s="7">
        <v>1342</v>
      </c>
      <c r="BF149" s="52">
        <v>5866</v>
      </c>
      <c r="BG149" s="27">
        <v>7081</v>
      </c>
      <c r="BH149" s="27">
        <v>2520</v>
      </c>
      <c r="BI149" s="63">
        <v>790</v>
      </c>
      <c r="BJ149" s="27">
        <v>758</v>
      </c>
      <c r="BK149" s="64">
        <v>699</v>
      </c>
      <c r="BL149" s="65">
        <v>546</v>
      </c>
      <c r="BM149" s="66">
        <v>283</v>
      </c>
      <c r="BN149" s="65">
        <v>516</v>
      </c>
      <c r="BO149" s="64">
        <v>1273</v>
      </c>
      <c r="BP149" s="65">
        <v>553</v>
      </c>
      <c r="BQ149" s="24">
        <f t="shared" si="154"/>
        <v>22227</v>
      </c>
      <c r="BR149" s="7" t="s">
        <v>244</v>
      </c>
      <c r="BS149" s="52">
        <v>2206</v>
      </c>
      <c r="BT149" s="52">
        <v>7125</v>
      </c>
      <c r="BU149" s="52">
        <v>13013</v>
      </c>
      <c r="BV149" s="52">
        <v>2147</v>
      </c>
      <c r="BW149" s="7">
        <v>587</v>
      </c>
      <c r="BX149" s="52">
        <v>1241</v>
      </c>
      <c r="BY149" s="7">
        <v>705</v>
      </c>
      <c r="BZ149" s="7">
        <v>824</v>
      </c>
      <c r="CA149" s="7">
        <v>426</v>
      </c>
      <c r="CB149" s="52">
        <v>8820</v>
      </c>
      <c r="CC149" s="7">
        <v>274</v>
      </c>
      <c r="CD149" s="7">
        <v>557</v>
      </c>
      <c r="CE149" s="59"/>
      <c r="CF149" s="51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18"/>
      <c r="DI149" s="7">
        <v>1342</v>
      </c>
      <c r="DJ149" s="52">
        <v>5866</v>
      </c>
      <c r="DK149" s="27">
        <v>7081</v>
      </c>
      <c r="DL149" s="27">
        <v>2520</v>
      </c>
      <c r="DM149" s="63">
        <v>790</v>
      </c>
      <c r="DN149" s="27">
        <v>758</v>
      </c>
      <c r="DO149" s="64">
        <v>699</v>
      </c>
      <c r="DP149" s="65">
        <v>546</v>
      </c>
      <c r="DQ149" s="66">
        <v>283</v>
      </c>
      <c r="DR149" s="65">
        <v>516</v>
      </c>
      <c r="DS149" s="64">
        <v>1273</v>
      </c>
      <c r="DT149" s="65">
        <v>553</v>
      </c>
      <c r="DV149" s="7" t="s">
        <v>244</v>
      </c>
      <c r="DW149" s="52">
        <v>2206</v>
      </c>
      <c r="DX149" s="52">
        <v>7125</v>
      </c>
      <c r="DY149" s="52">
        <v>13013</v>
      </c>
      <c r="DZ149" s="52">
        <v>2147</v>
      </c>
      <c r="EA149" s="7">
        <v>587</v>
      </c>
      <c r="EB149" s="52">
        <v>1241</v>
      </c>
      <c r="EC149" s="7">
        <v>705</v>
      </c>
      <c r="ED149" s="7">
        <v>824</v>
      </c>
      <c r="EE149" s="7">
        <v>426</v>
      </c>
      <c r="EF149" s="52">
        <v>8820</v>
      </c>
      <c r="EG149" s="7">
        <v>274</v>
      </c>
      <c r="EH149" s="7">
        <v>557</v>
      </c>
    </row>
    <row r="150" spans="1:138" ht="15" customHeight="1">
      <c r="A150" s="37" t="s">
        <v>163</v>
      </c>
      <c r="B150" s="73"/>
      <c r="C150" s="74"/>
      <c r="D150" s="74"/>
      <c r="E150" s="74"/>
      <c r="F150" s="74"/>
      <c r="G150" s="74"/>
      <c r="H150" s="74"/>
      <c r="I150" s="74"/>
      <c r="J150" s="74"/>
      <c r="K150" s="73"/>
      <c r="L150" s="73"/>
      <c r="M150" s="73"/>
      <c r="N150" s="75"/>
      <c r="O150" s="18"/>
      <c r="P150" s="30"/>
      <c r="Q150" s="30"/>
      <c r="R150" s="27"/>
      <c r="S150" s="31"/>
      <c r="T150" s="31"/>
      <c r="U150" s="31"/>
      <c r="V150" s="31"/>
      <c r="W150" s="31"/>
      <c r="X150" s="31"/>
      <c r="Y150" s="27"/>
      <c r="Z150" s="31"/>
      <c r="AA150" s="27"/>
      <c r="AB150" s="49"/>
      <c r="AC150" s="18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19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E150" s="7">
        <v>0</v>
      </c>
      <c r="BF150" s="52">
        <v>0</v>
      </c>
      <c r="BG150" s="27">
        <v>0</v>
      </c>
      <c r="BH150" s="27">
        <v>0</v>
      </c>
      <c r="BI150" s="63">
        <v>0</v>
      </c>
      <c r="BJ150" s="27">
        <v>0</v>
      </c>
      <c r="BK150" s="64">
        <v>0</v>
      </c>
      <c r="BL150" s="65">
        <v>0</v>
      </c>
      <c r="BM150" s="66">
        <v>0</v>
      </c>
      <c r="BN150" s="65">
        <v>0</v>
      </c>
      <c r="BO150" s="64">
        <v>100000</v>
      </c>
      <c r="BP150" s="65">
        <v>3040</v>
      </c>
      <c r="BQ150" s="24">
        <f t="shared" si="154"/>
        <v>103040</v>
      </c>
      <c r="BR150" s="7" t="s">
        <v>247</v>
      </c>
      <c r="BS150" s="7">
        <v>0</v>
      </c>
      <c r="BT150" s="52">
        <v>20000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52">
        <v>8656</v>
      </c>
      <c r="CA150" s="7">
        <v>0</v>
      </c>
      <c r="CB150" s="7">
        <v>0</v>
      </c>
      <c r="CC150" s="7">
        <v>0</v>
      </c>
      <c r="CD150" s="60">
        <v>99602</v>
      </c>
      <c r="CE150" s="59"/>
      <c r="CF150" s="51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18"/>
      <c r="DI150" s="7">
        <v>0</v>
      </c>
      <c r="DJ150" s="52">
        <v>0</v>
      </c>
      <c r="DK150" s="27">
        <v>0</v>
      </c>
      <c r="DL150" s="27">
        <v>0</v>
      </c>
      <c r="DM150" s="63">
        <v>0</v>
      </c>
      <c r="DN150" s="27">
        <v>0</v>
      </c>
      <c r="DO150" s="64">
        <v>0</v>
      </c>
      <c r="DP150" s="65">
        <v>0</v>
      </c>
      <c r="DQ150" s="66">
        <v>0</v>
      </c>
      <c r="DR150" s="65">
        <v>0</v>
      </c>
      <c r="DS150" s="64">
        <v>100000</v>
      </c>
      <c r="DT150" s="65">
        <v>3040</v>
      </c>
      <c r="DV150" s="7" t="s">
        <v>247</v>
      </c>
      <c r="DW150" s="7">
        <v>0</v>
      </c>
      <c r="DX150" s="52">
        <v>20000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52">
        <v>8656</v>
      </c>
      <c r="EE150" s="7">
        <v>0</v>
      </c>
      <c r="EF150" s="7">
        <v>0</v>
      </c>
      <c r="EG150" s="7">
        <v>0</v>
      </c>
      <c r="EH150" s="60">
        <v>99602</v>
      </c>
    </row>
    <row r="151" spans="1:138" ht="15" customHeight="1">
      <c r="A151" s="78" t="s">
        <v>263</v>
      </c>
      <c r="B151" s="73"/>
      <c r="C151" s="74"/>
      <c r="D151" s="74"/>
      <c r="E151" s="74"/>
      <c r="F151" s="74"/>
      <c r="G151" s="74"/>
      <c r="H151" s="74"/>
      <c r="I151" s="74"/>
      <c r="J151" s="74"/>
      <c r="K151" s="73"/>
      <c r="L151" s="73"/>
      <c r="M151" s="73"/>
      <c r="N151" s="75"/>
      <c r="O151" s="18"/>
      <c r="P151" s="30"/>
      <c r="Q151" s="30"/>
      <c r="R151" s="27"/>
      <c r="S151" s="31"/>
      <c r="T151" s="31"/>
      <c r="U151" s="31"/>
      <c r="V151" s="31"/>
      <c r="W151" s="31"/>
      <c r="X151" s="31"/>
      <c r="Y151" s="27"/>
      <c r="Z151" s="31"/>
      <c r="AA151" s="27"/>
      <c r="AB151" s="49"/>
      <c r="AC151" s="18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19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F151" s="52"/>
      <c r="BG151" s="70"/>
      <c r="BH151" s="70"/>
      <c r="BI151" s="71"/>
      <c r="BJ151" s="70"/>
      <c r="BK151" s="6"/>
      <c r="BL151" s="70"/>
      <c r="BM151" s="72"/>
      <c r="BN151" s="70"/>
      <c r="BO151" s="6"/>
      <c r="BP151" s="70"/>
      <c r="BQ151" s="24">
        <f t="shared" si="154"/>
        <v>0</v>
      </c>
      <c r="BR151" s="7" t="s">
        <v>246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52">
        <v>5454</v>
      </c>
      <c r="CA151" s="7">
        <v>0</v>
      </c>
      <c r="CB151" s="7">
        <v>0</v>
      </c>
      <c r="CC151" s="7">
        <v>0</v>
      </c>
      <c r="CD151" s="60">
        <v>60000</v>
      </c>
      <c r="CE151" s="59"/>
      <c r="CF151" s="51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18"/>
      <c r="DJ151" s="52"/>
      <c r="DK151" s="70"/>
      <c r="DL151" s="70"/>
      <c r="DM151" s="71"/>
      <c r="DN151" s="70"/>
      <c r="DO151" s="6"/>
      <c r="DP151" s="70"/>
      <c r="DQ151" s="72"/>
      <c r="DR151" s="70"/>
      <c r="DS151" s="6"/>
      <c r="DT151" s="70"/>
      <c r="DV151" s="7" t="s">
        <v>246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52">
        <v>5454</v>
      </c>
      <c r="EE151" s="7">
        <v>0</v>
      </c>
      <c r="EF151" s="7">
        <v>0</v>
      </c>
      <c r="EG151" s="7">
        <v>0</v>
      </c>
      <c r="EH151" s="60">
        <v>60000</v>
      </c>
    </row>
    <row r="152" spans="1:138" ht="15" customHeight="1">
      <c r="A152" s="78" t="s">
        <v>265</v>
      </c>
      <c r="B152" s="73"/>
      <c r="C152" s="74"/>
      <c r="D152" s="74"/>
      <c r="E152" s="74"/>
      <c r="F152" s="74"/>
      <c r="G152" s="74"/>
      <c r="H152" s="74"/>
      <c r="I152" s="74"/>
      <c r="J152" s="74"/>
      <c r="K152" s="73"/>
      <c r="L152" s="73"/>
      <c r="M152" s="73"/>
      <c r="N152" s="75"/>
      <c r="O152" s="18"/>
      <c r="P152" s="30"/>
      <c r="Q152" s="30"/>
      <c r="R152" s="27"/>
      <c r="S152" s="31"/>
      <c r="T152" s="31"/>
      <c r="U152" s="31"/>
      <c r="V152" s="31"/>
      <c r="W152" s="31"/>
      <c r="X152" s="31"/>
      <c r="Y152" s="27"/>
      <c r="Z152" s="31"/>
      <c r="AA152" s="27"/>
      <c r="AB152" s="49"/>
      <c r="AC152" s="18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19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F152" s="52"/>
      <c r="BG152" s="70"/>
      <c r="BH152" s="70"/>
      <c r="BI152" s="71"/>
      <c r="BJ152" s="70"/>
      <c r="BK152" s="6"/>
      <c r="BL152" s="70"/>
      <c r="BM152" s="72"/>
      <c r="BN152" s="70"/>
      <c r="BO152" s="6"/>
      <c r="BP152" s="70"/>
      <c r="BQ152" s="24">
        <f t="shared" si="154"/>
        <v>0</v>
      </c>
      <c r="BR152" s="7" t="s">
        <v>255</v>
      </c>
      <c r="BS152" s="52">
        <v>5100</v>
      </c>
      <c r="BT152" s="7">
        <v>180</v>
      </c>
      <c r="BU152" s="52">
        <v>1191</v>
      </c>
      <c r="BV152" s="52">
        <v>2377</v>
      </c>
      <c r="BW152" s="52">
        <v>2075</v>
      </c>
      <c r="BX152" s="7">
        <v>0</v>
      </c>
      <c r="BY152" s="7">
        <v>0</v>
      </c>
      <c r="BZ152" s="52">
        <v>1818</v>
      </c>
      <c r="CA152" s="7">
        <v>0</v>
      </c>
      <c r="CB152" s="7">
        <v>0</v>
      </c>
      <c r="CC152" s="7">
        <v>0</v>
      </c>
      <c r="CD152" s="60">
        <v>20000</v>
      </c>
      <c r="CE152" s="59"/>
      <c r="CF152" s="51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18"/>
      <c r="DJ152" s="52"/>
      <c r="DK152" s="70"/>
      <c r="DL152" s="70"/>
      <c r="DM152" s="71"/>
      <c r="DN152" s="70"/>
      <c r="DO152" s="6"/>
      <c r="DP152" s="70"/>
      <c r="DQ152" s="72"/>
      <c r="DR152" s="70"/>
      <c r="DS152" s="6"/>
      <c r="DT152" s="70"/>
      <c r="DV152" s="7" t="s">
        <v>255</v>
      </c>
      <c r="DW152" s="52">
        <v>5100</v>
      </c>
      <c r="DX152" s="7">
        <v>180</v>
      </c>
      <c r="DY152" s="52">
        <v>1191</v>
      </c>
      <c r="DZ152" s="52">
        <v>2377</v>
      </c>
      <c r="EA152" s="52">
        <v>2075</v>
      </c>
      <c r="EB152" s="7">
        <v>0</v>
      </c>
      <c r="EC152" s="7">
        <v>0</v>
      </c>
      <c r="ED152" s="52">
        <v>1818</v>
      </c>
      <c r="EE152" s="7">
        <v>0</v>
      </c>
      <c r="EF152" s="7">
        <v>0</v>
      </c>
      <c r="EG152" s="7">
        <v>0</v>
      </c>
      <c r="EH152" s="60">
        <v>20000</v>
      </c>
    </row>
    <row r="153" spans="1:98" ht="15" customHeight="1">
      <c r="A153" s="53" t="s">
        <v>107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3" t="s">
        <v>107</v>
      </c>
      <c r="P153" s="31" t="e">
        <f>SUM(#REF!+P154)</f>
        <v>#REF!</v>
      </c>
      <c r="Q153" s="31" t="e">
        <f>SUM(#REF!+Q154)</f>
        <v>#REF!</v>
      </c>
      <c r="R153" s="23" t="e">
        <f>SUM(#REF!+R154)</f>
        <v>#REF!</v>
      </c>
      <c r="S153" s="23" t="e">
        <f>SUM(#REF!+S154)</f>
        <v>#REF!</v>
      </c>
      <c r="T153" s="23" t="e">
        <f>SUM(#REF!+T154)</f>
        <v>#REF!</v>
      </c>
      <c r="U153" s="23" t="e">
        <f>SUM(#REF!+U154)</f>
        <v>#REF!</v>
      </c>
      <c r="V153" s="23" t="e">
        <f>SUM(#REF!+V154)</f>
        <v>#REF!</v>
      </c>
      <c r="W153" s="23" t="e">
        <f>SUM(#REF!+W154)</f>
        <v>#REF!</v>
      </c>
      <c r="X153" s="23" t="e">
        <f>SUM(#REF!+X154)</f>
        <v>#REF!</v>
      </c>
      <c r="Y153" s="23" t="e">
        <f>SUM(#REF!+Y154)</f>
        <v>#REF!</v>
      </c>
      <c r="Z153" s="23" t="e">
        <f>SUM(#REF!+Z154)</f>
        <v>#REF!</v>
      </c>
      <c r="AA153" s="23" t="e">
        <f>SUM(#REF!+AA154)</f>
        <v>#REF!</v>
      </c>
      <c r="AB153" s="54"/>
      <c r="AC153" s="53" t="s">
        <v>107</v>
      </c>
      <c r="AD153" s="31" t="e">
        <f>SUM(#REF!+AD154)</f>
        <v>#REF!</v>
      </c>
      <c r="AE153" s="31" t="e">
        <f>SUM(#REF!+AE154)</f>
        <v>#REF!</v>
      </c>
      <c r="AF153" s="31" t="e">
        <f>SUM(#REF!+AF154)</f>
        <v>#REF!</v>
      </c>
      <c r="AG153" s="31" t="e">
        <f>SUM(#REF!+AG154)</f>
        <v>#REF!</v>
      </c>
      <c r="AH153" s="31" t="e">
        <f>SUM(#REF!+AH154)</f>
        <v>#REF!</v>
      </c>
      <c r="AI153" s="31" t="e">
        <f>SUM(#REF!+AI154)</f>
        <v>#REF!</v>
      </c>
      <c r="AJ153" s="31" t="e">
        <f>SUM(#REF!+AJ154)</f>
        <v>#REF!</v>
      </c>
      <c r="AK153" s="31" t="e">
        <f>SUM(#REF!+AK154)</f>
        <v>#REF!</v>
      </c>
      <c r="AL153" s="31" t="e">
        <f>SUM(#REF!+AL154)</f>
        <v>#REF!</v>
      </c>
      <c r="AM153" s="31" t="e">
        <f>SUM(#REF!+AM154)</f>
        <v>#REF!</v>
      </c>
      <c r="AN153" s="31" t="e">
        <f>SUM(#REF!+AN154)</f>
        <v>#REF!</v>
      </c>
      <c r="AO153" s="31" t="e">
        <f>SUM(#REF!+AO154)</f>
        <v>#REF!</v>
      </c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Q153" s="24">
        <f t="shared" si="154"/>
        <v>0</v>
      </c>
      <c r="CE153" s="79"/>
      <c r="CF153" s="53" t="s">
        <v>107</v>
      </c>
      <c r="CT153" s="53" t="s">
        <v>107</v>
      </c>
    </row>
    <row r="154" spans="1:98" ht="15" customHeight="1">
      <c r="A154" s="18" t="s">
        <v>108</v>
      </c>
      <c r="B154" s="15"/>
      <c r="C154" s="16"/>
      <c r="D154" s="16"/>
      <c r="E154" s="16"/>
      <c r="F154" s="16"/>
      <c r="G154" s="16"/>
      <c r="H154" s="16"/>
      <c r="I154" s="16"/>
      <c r="J154" s="16"/>
      <c r="K154" s="15"/>
      <c r="L154" s="15"/>
      <c r="M154" s="15"/>
      <c r="N154" s="56"/>
      <c r="O154" s="18" t="s">
        <v>108</v>
      </c>
      <c r="P154" s="30">
        <f aca="true" t="shared" si="206" ref="P154:AA154">SUM(P155:P160)</f>
        <v>23750000</v>
      </c>
      <c r="Q154" s="30">
        <f t="shared" si="206"/>
        <v>0</v>
      </c>
      <c r="R154" s="23">
        <f t="shared" si="206"/>
        <v>405243140</v>
      </c>
      <c r="S154" s="23">
        <f t="shared" si="206"/>
        <v>223970000</v>
      </c>
      <c r="T154" s="23">
        <f t="shared" si="206"/>
        <v>438046083</v>
      </c>
      <c r="U154" s="23">
        <f t="shared" si="206"/>
        <v>296051539</v>
      </c>
      <c r="V154" s="23">
        <f t="shared" si="206"/>
        <v>109620000</v>
      </c>
      <c r="W154" s="23">
        <f t="shared" si="206"/>
        <v>306555940</v>
      </c>
      <c r="X154" s="23">
        <f t="shared" si="206"/>
        <v>473882297</v>
      </c>
      <c r="Y154" s="23">
        <f t="shared" si="206"/>
        <v>107181461</v>
      </c>
      <c r="Z154" s="23">
        <f t="shared" si="206"/>
        <v>670958461</v>
      </c>
      <c r="AA154" s="23">
        <f t="shared" si="206"/>
        <v>428092260.5</v>
      </c>
      <c r="AB154" s="57"/>
      <c r="AC154" s="18" t="s">
        <v>108</v>
      </c>
      <c r="AD154" s="30">
        <f aca="true" t="shared" si="207" ref="AD154:AO154">SUM(AD155:AD160)</f>
        <v>0</v>
      </c>
      <c r="AE154" s="30">
        <f t="shared" si="207"/>
        <v>0</v>
      </c>
      <c r="AF154" s="30">
        <f t="shared" si="207"/>
        <v>26035000</v>
      </c>
      <c r="AG154" s="30">
        <f t="shared" si="207"/>
        <v>0</v>
      </c>
      <c r="AH154" s="30">
        <f t="shared" si="207"/>
        <v>0</v>
      </c>
      <c r="AI154" s="30">
        <f t="shared" si="207"/>
        <v>3750000</v>
      </c>
      <c r="AJ154" s="30">
        <f t="shared" si="207"/>
        <v>0</v>
      </c>
      <c r="AK154" s="30">
        <f t="shared" si="207"/>
        <v>16228065</v>
      </c>
      <c r="AL154" s="30">
        <f t="shared" si="207"/>
        <v>0</v>
      </c>
      <c r="AM154" s="30">
        <f t="shared" si="207"/>
        <v>4500000</v>
      </c>
      <c r="AN154" s="30">
        <f t="shared" si="207"/>
        <v>0</v>
      </c>
      <c r="AO154" s="30">
        <f t="shared" si="207"/>
        <v>26342101</v>
      </c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Q154" s="24">
        <f t="shared" si="154"/>
        <v>0</v>
      </c>
      <c r="CE154" s="80"/>
      <c r="CF154" s="18" t="s">
        <v>108</v>
      </c>
      <c r="CT154" s="18" t="s">
        <v>108</v>
      </c>
    </row>
    <row r="155" spans="1:98" ht="15" customHeight="1">
      <c r="A155" s="18" t="s">
        <v>109</v>
      </c>
      <c r="B155" s="15">
        <v>77400000</v>
      </c>
      <c r="C155" s="16">
        <v>0</v>
      </c>
      <c r="D155" s="16">
        <v>27000000</v>
      </c>
      <c r="E155" s="16">
        <v>0</v>
      </c>
      <c r="F155" s="16">
        <v>45000000</v>
      </c>
      <c r="G155" s="16">
        <v>0</v>
      </c>
      <c r="H155" s="16">
        <v>0</v>
      </c>
      <c r="I155" s="16">
        <v>0</v>
      </c>
      <c r="J155" s="16">
        <v>0</v>
      </c>
      <c r="K155" s="15">
        <v>0</v>
      </c>
      <c r="L155" s="15">
        <v>5740000</v>
      </c>
      <c r="M155" s="15">
        <v>130274489</v>
      </c>
      <c r="N155" s="56"/>
      <c r="O155" s="18" t="s">
        <v>109</v>
      </c>
      <c r="P155" s="30">
        <v>0</v>
      </c>
      <c r="Q155" s="30">
        <v>0</v>
      </c>
      <c r="R155" s="27">
        <v>0</v>
      </c>
      <c r="S155" s="31">
        <v>0</v>
      </c>
      <c r="T155" s="31">
        <v>0</v>
      </c>
      <c r="U155" s="31">
        <v>0</v>
      </c>
      <c r="V155" s="31">
        <v>39900000</v>
      </c>
      <c r="W155" s="31">
        <v>234840000</v>
      </c>
      <c r="X155" s="31">
        <v>287280000</v>
      </c>
      <c r="Y155" s="27">
        <v>0</v>
      </c>
      <c r="Z155" s="31">
        <v>0</v>
      </c>
      <c r="AA155" s="27">
        <v>125822225.5</v>
      </c>
      <c r="AB155" s="49"/>
      <c r="AC155" s="18" t="s">
        <v>109</v>
      </c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Q155" s="24">
        <f t="shared" si="154"/>
        <v>0</v>
      </c>
      <c r="CE155" s="80"/>
      <c r="CF155" s="18" t="s">
        <v>109</v>
      </c>
      <c r="CG155" s="52">
        <f aca="true" t="shared" si="208" ref="CG155:CR160">+SUM(+B155+P155+AD155)/3</f>
        <v>25800000</v>
      </c>
      <c r="CH155" s="52">
        <f t="shared" si="208"/>
        <v>0</v>
      </c>
      <c r="CI155" s="52">
        <f t="shared" si="208"/>
        <v>9000000</v>
      </c>
      <c r="CJ155" s="52">
        <f t="shared" si="208"/>
        <v>0</v>
      </c>
      <c r="CK155" s="52">
        <f t="shared" si="208"/>
        <v>15000000</v>
      </c>
      <c r="CL155" s="52">
        <f t="shared" si="208"/>
        <v>0</v>
      </c>
      <c r="CM155" s="52">
        <f t="shared" si="208"/>
        <v>13300000</v>
      </c>
      <c r="CN155" s="52">
        <f t="shared" si="208"/>
        <v>78280000</v>
      </c>
      <c r="CO155" s="52">
        <f t="shared" si="208"/>
        <v>95760000</v>
      </c>
      <c r="CP155" s="52">
        <f t="shared" si="208"/>
        <v>0</v>
      </c>
      <c r="CQ155" s="52">
        <f t="shared" si="208"/>
        <v>1913333.3333333333</v>
      </c>
      <c r="CR155" s="52">
        <f t="shared" si="208"/>
        <v>85365571.5</v>
      </c>
      <c r="CS155" s="52"/>
      <c r="CT155" s="18" t="s">
        <v>109</v>
      </c>
    </row>
    <row r="156" spans="1:98" ht="15" customHeight="1">
      <c r="A156" s="18" t="s">
        <v>110</v>
      </c>
      <c r="B156" s="15">
        <v>135000000</v>
      </c>
      <c r="C156" s="16">
        <v>0</v>
      </c>
      <c r="D156" s="16">
        <v>161910000</v>
      </c>
      <c r="E156" s="16">
        <v>0</v>
      </c>
      <c r="F156" s="16">
        <v>99000000</v>
      </c>
      <c r="G156" s="16">
        <v>0</v>
      </c>
      <c r="H156" s="16">
        <v>20000000</v>
      </c>
      <c r="I156" s="16">
        <v>0</v>
      </c>
      <c r="J156" s="16">
        <v>26700000</v>
      </c>
      <c r="K156" s="15">
        <v>309288000</v>
      </c>
      <c r="L156" s="15">
        <v>61540000</v>
      </c>
      <c r="M156" s="15">
        <v>83670000</v>
      </c>
      <c r="N156" s="56"/>
      <c r="O156" s="18" t="s">
        <v>110</v>
      </c>
      <c r="P156" s="30">
        <v>0</v>
      </c>
      <c r="Q156" s="30">
        <v>0</v>
      </c>
      <c r="R156" s="27">
        <v>0</v>
      </c>
      <c r="S156" s="31">
        <v>167000000</v>
      </c>
      <c r="T156" s="31">
        <v>333575703</v>
      </c>
      <c r="U156" s="31">
        <v>241076539</v>
      </c>
      <c r="V156" s="31">
        <v>55860000</v>
      </c>
      <c r="W156" s="31">
        <v>71715940</v>
      </c>
      <c r="X156" s="31">
        <v>74882297</v>
      </c>
      <c r="Y156" s="27">
        <v>90681461</v>
      </c>
      <c r="Z156" s="31">
        <v>90681461</v>
      </c>
      <c r="AA156" s="27">
        <v>33516000</v>
      </c>
      <c r="AB156" s="49"/>
      <c r="AC156" s="18" t="s">
        <v>110</v>
      </c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Q156" s="24">
        <f t="shared" si="154"/>
        <v>0</v>
      </c>
      <c r="CE156" s="80"/>
      <c r="CF156" s="18" t="s">
        <v>110</v>
      </c>
      <c r="CG156" s="52">
        <f t="shared" si="208"/>
        <v>45000000</v>
      </c>
      <c r="CH156" s="52">
        <f t="shared" si="208"/>
        <v>0</v>
      </c>
      <c r="CI156" s="52">
        <f t="shared" si="208"/>
        <v>53970000</v>
      </c>
      <c r="CJ156" s="52">
        <f t="shared" si="208"/>
        <v>55666666.666666664</v>
      </c>
      <c r="CK156" s="52">
        <f t="shared" si="208"/>
        <v>144191901</v>
      </c>
      <c r="CL156" s="52">
        <f t="shared" si="208"/>
        <v>80358846.33333333</v>
      </c>
      <c r="CM156" s="52">
        <f t="shared" si="208"/>
        <v>25286666.666666668</v>
      </c>
      <c r="CN156" s="52">
        <f t="shared" si="208"/>
        <v>23905313.333333332</v>
      </c>
      <c r="CO156" s="52">
        <f t="shared" si="208"/>
        <v>33860765.666666664</v>
      </c>
      <c r="CP156" s="52">
        <f t="shared" si="208"/>
        <v>133323153.66666667</v>
      </c>
      <c r="CQ156" s="52">
        <f t="shared" si="208"/>
        <v>50740487</v>
      </c>
      <c r="CR156" s="52">
        <f t="shared" si="208"/>
        <v>39062000</v>
      </c>
      <c r="CS156" s="52"/>
      <c r="CT156" s="18" t="s">
        <v>110</v>
      </c>
    </row>
    <row r="157" spans="1:124" ht="15" customHeight="1">
      <c r="A157" s="18" t="s">
        <v>111</v>
      </c>
      <c r="B157" s="15">
        <v>240555000</v>
      </c>
      <c r="C157" s="16">
        <v>22500000</v>
      </c>
      <c r="D157" s="16"/>
      <c r="E157" s="16">
        <v>55849000</v>
      </c>
      <c r="F157" s="16">
        <v>0</v>
      </c>
      <c r="G157" s="16">
        <v>0</v>
      </c>
      <c r="H157" s="16">
        <v>0</v>
      </c>
      <c r="I157" s="16">
        <v>11250000</v>
      </c>
      <c r="J157" s="16">
        <v>171000000</v>
      </c>
      <c r="K157" s="15">
        <v>246469000</v>
      </c>
      <c r="L157" s="15">
        <v>33750000</v>
      </c>
      <c r="M157" s="15">
        <v>454950000</v>
      </c>
      <c r="N157" s="56"/>
      <c r="O157" s="18" t="s">
        <v>111</v>
      </c>
      <c r="P157" s="30">
        <v>0</v>
      </c>
      <c r="Q157" s="30">
        <v>0</v>
      </c>
      <c r="R157" s="27">
        <v>371925000</v>
      </c>
      <c r="S157" s="31">
        <v>0</v>
      </c>
      <c r="T157" s="31">
        <v>11970000</v>
      </c>
      <c r="U157" s="31">
        <v>0</v>
      </c>
      <c r="V157" s="31">
        <v>0</v>
      </c>
      <c r="W157" s="31">
        <v>0</v>
      </c>
      <c r="X157" s="31">
        <v>111720000</v>
      </c>
      <c r="Y157" s="27">
        <v>0</v>
      </c>
      <c r="Z157" s="31">
        <v>243925000</v>
      </c>
      <c r="AA157" s="27">
        <v>262390000</v>
      </c>
      <c r="AB157" s="49"/>
      <c r="AC157" s="18" t="s">
        <v>111</v>
      </c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37" t="s">
        <v>193</v>
      </c>
      <c r="BE157" s="7">
        <v>0</v>
      </c>
      <c r="BF157" s="52">
        <v>0</v>
      </c>
      <c r="BG157" s="27">
        <v>0</v>
      </c>
      <c r="BH157" s="27">
        <v>0</v>
      </c>
      <c r="BI157" s="63">
        <v>0</v>
      </c>
      <c r="BJ157" s="27">
        <v>0</v>
      </c>
      <c r="BK157" s="64">
        <v>0</v>
      </c>
      <c r="BL157" s="65">
        <v>0</v>
      </c>
      <c r="BM157" s="66">
        <v>0</v>
      </c>
      <c r="BN157" s="65">
        <v>0</v>
      </c>
      <c r="BO157" s="64">
        <v>0</v>
      </c>
      <c r="BP157" s="65">
        <v>221307</v>
      </c>
      <c r="BQ157" s="24">
        <f t="shared" si="154"/>
        <v>221307</v>
      </c>
      <c r="CE157" s="80"/>
      <c r="CF157" s="18" t="s">
        <v>111</v>
      </c>
      <c r="CG157" s="52">
        <f t="shared" si="208"/>
        <v>80185000</v>
      </c>
      <c r="CH157" s="52">
        <f t="shared" si="208"/>
        <v>7500000</v>
      </c>
      <c r="CI157" s="52">
        <f t="shared" si="208"/>
        <v>123975000</v>
      </c>
      <c r="CJ157" s="52">
        <f t="shared" si="208"/>
        <v>18616333.333333332</v>
      </c>
      <c r="CK157" s="52">
        <f t="shared" si="208"/>
        <v>3990000</v>
      </c>
      <c r="CL157" s="52">
        <f t="shared" si="208"/>
        <v>0</v>
      </c>
      <c r="CM157" s="52">
        <f t="shared" si="208"/>
        <v>0</v>
      </c>
      <c r="CN157" s="52">
        <f t="shared" si="208"/>
        <v>3750000</v>
      </c>
      <c r="CO157" s="52">
        <f t="shared" si="208"/>
        <v>94240000</v>
      </c>
      <c r="CP157" s="52">
        <f t="shared" si="208"/>
        <v>82156333.33333333</v>
      </c>
      <c r="CQ157" s="52">
        <f t="shared" si="208"/>
        <v>92558333.33333333</v>
      </c>
      <c r="CR157" s="52">
        <f t="shared" si="208"/>
        <v>239113333.33333334</v>
      </c>
      <c r="CS157" s="52"/>
      <c r="CT157" s="18" t="s">
        <v>111</v>
      </c>
      <c r="DH157" s="37" t="s">
        <v>193</v>
      </c>
      <c r="DI157" s="7">
        <v>0</v>
      </c>
      <c r="DJ157" s="52">
        <v>0</v>
      </c>
      <c r="DK157" s="27">
        <v>0</v>
      </c>
      <c r="DL157" s="27">
        <v>0</v>
      </c>
      <c r="DM157" s="63">
        <v>0</v>
      </c>
      <c r="DN157" s="27">
        <v>0</v>
      </c>
      <c r="DO157" s="64">
        <v>0</v>
      </c>
      <c r="DP157" s="65">
        <v>0</v>
      </c>
      <c r="DQ157" s="66">
        <v>0</v>
      </c>
      <c r="DR157" s="65">
        <v>0</v>
      </c>
      <c r="DS157" s="64">
        <v>0</v>
      </c>
      <c r="DT157" s="65">
        <v>221307</v>
      </c>
    </row>
    <row r="158" spans="1:98" ht="15" customHeight="1">
      <c r="A158" s="33" t="s">
        <v>112</v>
      </c>
      <c r="B158" s="15">
        <v>52211021</v>
      </c>
      <c r="C158" s="16">
        <v>0</v>
      </c>
      <c r="D158" s="16">
        <v>0</v>
      </c>
      <c r="E158" s="16">
        <v>0</v>
      </c>
      <c r="F158" s="16">
        <v>34860000</v>
      </c>
      <c r="G158" s="16">
        <v>0</v>
      </c>
      <c r="H158" s="16">
        <v>2042007</v>
      </c>
      <c r="I158" s="16">
        <v>0</v>
      </c>
      <c r="J158" s="16">
        <v>8941116</v>
      </c>
      <c r="K158" s="15"/>
      <c r="L158" s="15"/>
      <c r="M158" s="15"/>
      <c r="N158" s="56"/>
      <c r="O158" s="33" t="s">
        <v>112</v>
      </c>
      <c r="P158" s="30">
        <v>0</v>
      </c>
      <c r="Q158" s="30">
        <v>0</v>
      </c>
      <c r="R158" s="27">
        <v>23721140</v>
      </c>
      <c r="S158" s="31">
        <v>0</v>
      </c>
      <c r="T158" s="31">
        <v>0</v>
      </c>
      <c r="U158" s="31">
        <v>0</v>
      </c>
      <c r="V158" s="31">
        <v>13860000</v>
      </c>
      <c r="W158" s="31">
        <v>0</v>
      </c>
      <c r="X158" s="31">
        <v>0</v>
      </c>
      <c r="Y158" s="27">
        <v>16500000</v>
      </c>
      <c r="Z158" s="31">
        <v>16500000</v>
      </c>
      <c r="AA158" s="27">
        <v>0</v>
      </c>
      <c r="AB158" s="49"/>
      <c r="AC158" s="33" t="s">
        <v>112</v>
      </c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Q158" s="24">
        <f t="shared" si="154"/>
        <v>0</v>
      </c>
      <c r="CE158" s="80"/>
      <c r="CF158" s="33" t="s">
        <v>112</v>
      </c>
      <c r="CG158" s="52">
        <f t="shared" si="208"/>
        <v>17403673.666666668</v>
      </c>
      <c r="CH158" s="52">
        <f t="shared" si="208"/>
        <v>0</v>
      </c>
      <c r="CI158" s="52">
        <f t="shared" si="208"/>
        <v>7907046.666666667</v>
      </c>
      <c r="CJ158" s="52">
        <f t="shared" si="208"/>
        <v>0</v>
      </c>
      <c r="CK158" s="52">
        <f t="shared" si="208"/>
        <v>11620000</v>
      </c>
      <c r="CL158" s="52">
        <f t="shared" si="208"/>
        <v>0</v>
      </c>
      <c r="CM158" s="52">
        <f t="shared" si="208"/>
        <v>5300669</v>
      </c>
      <c r="CN158" s="52">
        <f t="shared" si="208"/>
        <v>0</v>
      </c>
      <c r="CO158" s="52">
        <f t="shared" si="208"/>
        <v>2980372</v>
      </c>
      <c r="CP158" s="52">
        <f t="shared" si="208"/>
        <v>5500000</v>
      </c>
      <c r="CQ158" s="52">
        <f t="shared" si="208"/>
        <v>5500000</v>
      </c>
      <c r="CR158" s="52">
        <f t="shared" si="208"/>
        <v>0</v>
      </c>
      <c r="CS158" s="52"/>
      <c r="CT158" s="33" t="s">
        <v>112</v>
      </c>
    </row>
    <row r="159" spans="1:98" ht="15" customHeight="1">
      <c r="A159" s="18" t="s">
        <v>113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47000000</v>
      </c>
      <c r="I159" s="16">
        <v>0</v>
      </c>
      <c r="J159" s="16">
        <v>0</v>
      </c>
      <c r="K159" s="15">
        <v>0</v>
      </c>
      <c r="L159" s="15">
        <v>0</v>
      </c>
      <c r="M159" s="15">
        <v>32000000</v>
      </c>
      <c r="N159" s="56"/>
      <c r="O159" s="18" t="s">
        <v>113</v>
      </c>
      <c r="P159" s="30">
        <v>0</v>
      </c>
      <c r="Q159" s="30">
        <v>0</v>
      </c>
      <c r="R159" s="27">
        <v>9597000</v>
      </c>
      <c r="S159" s="31">
        <v>56970000</v>
      </c>
      <c r="T159" s="31">
        <v>47000000</v>
      </c>
      <c r="U159" s="31">
        <v>54975000</v>
      </c>
      <c r="V159" s="31">
        <v>0</v>
      </c>
      <c r="W159" s="31">
        <v>0</v>
      </c>
      <c r="X159" s="31">
        <v>0</v>
      </c>
      <c r="Y159" s="27">
        <v>0</v>
      </c>
      <c r="Z159" s="31">
        <v>319852000</v>
      </c>
      <c r="AA159" s="27">
        <v>6364035</v>
      </c>
      <c r="AB159" s="49"/>
      <c r="AC159" s="18" t="s">
        <v>113</v>
      </c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Q159" s="24">
        <f t="shared" si="154"/>
        <v>0</v>
      </c>
      <c r="CE159" s="80"/>
      <c r="CF159" s="18" t="s">
        <v>113</v>
      </c>
      <c r="CG159" s="52">
        <f t="shared" si="208"/>
        <v>0</v>
      </c>
      <c r="CH159" s="52">
        <f t="shared" si="208"/>
        <v>0</v>
      </c>
      <c r="CI159" s="52">
        <f t="shared" si="208"/>
        <v>3199000</v>
      </c>
      <c r="CJ159" s="52">
        <f t="shared" si="208"/>
        <v>18990000</v>
      </c>
      <c r="CK159" s="52">
        <f t="shared" si="208"/>
        <v>15666666.666666666</v>
      </c>
      <c r="CL159" s="52">
        <f t="shared" si="208"/>
        <v>18325000</v>
      </c>
      <c r="CM159" s="52">
        <f t="shared" si="208"/>
        <v>15666666.666666666</v>
      </c>
      <c r="CN159" s="52">
        <f t="shared" si="208"/>
        <v>0</v>
      </c>
      <c r="CO159" s="52">
        <f t="shared" si="208"/>
        <v>0</v>
      </c>
      <c r="CP159" s="52">
        <f t="shared" si="208"/>
        <v>0</v>
      </c>
      <c r="CQ159" s="52">
        <f t="shared" si="208"/>
        <v>106617333.33333333</v>
      </c>
      <c r="CR159" s="52">
        <f t="shared" si="208"/>
        <v>12788011.666666666</v>
      </c>
      <c r="CS159" s="52"/>
      <c r="CT159" s="18" t="s">
        <v>113</v>
      </c>
    </row>
    <row r="160" spans="1:98" ht="15" customHeight="1">
      <c r="A160" s="18" t="s">
        <v>114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21600000</v>
      </c>
      <c r="H160" s="16"/>
      <c r="I160" s="16">
        <v>0</v>
      </c>
      <c r="J160" s="16">
        <v>0</v>
      </c>
      <c r="K160" s="15">
        <v>37015000</v>
      </c>
      <c r="L160" s="15"/>
      <c r="M160" s="15"/>
      <c r="N160" s="56"/>
      <c r="O160" s="18" t="s">
        <v>114</v>
      </c>
      <c r="P160" s="30">
        <v>23750000</v>
      </c>
      <c r="Q160" s="30">
        <v>0</v>
      </c>
      <c r="R160" s="27">
        <v>0</v>
      </c>
      <c r="S160" s="31">
        <v>0</v>
      </c>
      <c r="T160" s="31">
        <v>45500380</v>
      </c>
      <c r="U160" s="31">
        <v>0</v>
      </c>
      <c r="V160" s="31">
        <v>0</v>
      </c>
      <c r="W160" s="31">
        <v>0</v>
      </c>
      <c r="X160" s="31">
        <v>0</v>
      </c>
      <c r="Y160" s="27">
        <v>0</v>
      </c>
      <c r="Z160" s="31">
        <v>0</v>
      </c>
      <c r="AA160" s="27">
        <v>0</v>
      </c>
      <c r="AB160" s="49"/>
      <c r="AC160" s="18" t="s">
        <v>114</v>
      </c>
      <c r="AD160" s="30"/>
      <c r="AE160" s="30"/>
      <c r="AF160" s="30">
        <f>4500000+21535000</f>
        <v>26035000</v>
      </c>
      <c r="AG160" s="30"/>
      <c r="AH160" s="30"/>
      <c r="AI160" s="30">
        <v>3750000</v>
      </c>
      <c r="AJ160" s="30"/>
      <c r="AK160" s="30">
        <v>16228065</v>
      </c>
      <c r="AL160" s="30"/>
      <c r="AM160" s="30">
        <v>4500000</v>
      </c>
      <c r="AN160" s="30"/>
      <c r="AO160" s="30">
        <v>26342101</v>
      </c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Q160" s="24">
        <f t="shared" si="154"/>
        <v>0</v>
      </c>
      <c r="CE160" s="80"/>
      <c r="CF160" s="18" t="s">
        <v>114</v>
      </c>
      <c r="CG160" s="52">
        <f t="shared" si="208"/>
        <v>7916666.666666667</v>
      </c>
      <c r="CH160" s="52">
        <f t="shared" si="208"/>
        <v>0</v>
      </c>
      <c r="CI160" s="52">
        <f t="shared" si="208"/>
        <v>8678333.333333334</v>
      </c>
      <c r="CJ160" s="52">
        <f t="shared" si="208"/>
        <v>0</v>
      </c>
      <c r="CK160" s="52">
        <f t="shared" si="208"/>
        <v>15166793.333333334</v>
      </c>
      <c r="CL160" s="52">
        <f t="shared" si="208"/>
        <v>8450000</v>
      </c>
      <c r="CM160" s="52">
        <f t="shared" si="208"/>
        <v>0</v>
      </c>
      <c r="CN160" s="52">
        <f t="shared" si="208"/>
        <v>5409355</v>
      </c>
      <c r="CO160" s="52">
        <f t="shared" si="208"/>
        <v>0</v>
      </c>
      <c r="CP160" s="52">
        <f t="shared" si="208"/>
        <v>13838333.333333334</v>
      </c>
      <c r="CQ160" s="52">
        <f t="shared" si="208"/>
        <v>0</v>
      </c>
      <c r="CR160" s="52">
        <f t="shared" si="208"/>
        <v>8780700.333333334</v>
      </c>
      <c r="CS160" s="52"/>
      <c r="CT160" s="18" t="s">
        <v>114</v>
      </c>
    </row>
    <row r="161" spans="1:124" ht="15" customHeight="1">
      <c r="A161" s="37" t="s">
        <v>194</v>
      </c>
      <c r="B161" s="73"/>
      <c r="C161" s="74"/>
      <c r="D161" s="74"/>
      <c r="E161" s="74"/>
      <c r="F161" s="74"/>
      <c r="G161" s="74"/>
      <c r="H161" s="74"/>
      <c r="I161" s="74"/>
      <c r="J161" s="74"/>
      <c r="K161" s="73"/>
      <c r="L161" s="73"/>
      <c r="M161" s="73"/>
      <c r="N161" s="56"/>
      <c r="O161" s="51"/>
      <c r="P161" s="50"/>
      <c r="Q161" s="50"/>
      <c r="R161" s="70"/>
      <c r="S161" s="50"/>
      <c r="T161" s="50"/>
      <c r="U161" s="50"/>
      <c r="V161" s="50"/>
      <c r="W161" s="50"/>
      <c r="X161" s="50"/>
      <c r="Y161" s="70"/>
      <c r="Z161" s="50"/>
      <c r="AA161" s="70"/>
      <c r="AB161" s="49"/>
      <c r="AC161" s="51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7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7"/>
      <c r="BE161" s="7">
        <v>0</v>
      </c>
      <c r="BF161" s="52">
        <v>0</v>
      </c>
      <c r="BG161" s="27">
        <v>0</v>
      </c>
      <c r="BH161" s="27">
        <v>0</v>
      </c>
      <c r="BI161" s="63">
        <v>0</v>
      </c>
      <c r="BJ161" s="27">
        <v>0</v>
      </c>
      <c r="BK161" s="64">
        <v>0</v>
      </c>
      <c r="BL161" s="65">
        <v>0</v>
      </c>
      <c r="BM161" s="66">
        <v>0</v>
      </c>
      <c r="BN161" s="65">
        <v>0</v>
      </c>
      <c r="BO161" s="64">
        <v>2000</v>
      </c>
      <c r="BP161" s="65">
        <v>0</v>
      </c>
      <c r="BQ161" s="24">
        <f t="shared" si="154"/>
        <v>2000</v>
      </c>
      <c r="CE161" s="59"/>
      <c r="CF161" s="51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1"/>
      <c r="DI161" s="7">
        <v>0</v>
      </c>
      <c r="DJ161" s="52">
        <v>0</v>
      </c>
      <c r="DK161" s="27">
        <v>0</v>
      </c>
      <c r="DL161" s="27">
        <v>0</v>
      </c>
      <c r="DM161" s="63">
        <v>0</v>
      </c>
      <c r="DN161" s="27">
        <v>0</v>
      </c>
      <c r="DO161" s="64">
        <v>0</v>
      </c>
      <c r="DP161" s="65">
        <v>0</v>
      </c>
      <c r="DQ161" s="66">
        <v>0</v>
      </c>
      <c r="DR161" s="65">
        <v>0</v>
      </c>
      <c r="DS161" s="64">
        <v>2000</v>
      </c>
      <c r="DT161" s="65">
        <v>0</v>
      </c>
    </row>
    <row r="162" spans="1:98" ht="15" customHeight="1">
      <c r="A162" s="37" t="s">
        <v>164</v>
      </c>
      <c r="B162" s="7">
        <v>0</v>
      </c>
      <c r="C162" s="52">
        <v>0</v>
      </c>
      <c r="D162" s="27">
        <v>0</v>
      </c>
      <c r="E162" s="27">
        <v>0</v>
      </c>
      <c r="F162" s="63">
        <v>0</v>
      </c>
      <c r="G162" s="27">
        <v>0</v>
      </c>
      <c r="H162" s="64">
        <v>0</v>
      </c>
      <c r="I162" s="65">
        <v>0</v>
      </c>
      <c r="J162" s="66">
        <v>0</v>
      </c>
      <c r="K162" s="65">
        <v>0</v>
      </c>
      <c r="L162" s="64">
        <v>100000</v>
      </c>
      <c r="M162" s="65">
        <v>0</v>
      </c>
      <c r="N162" s="56"/>
      <c r="O162" s="51"/>
      <c r="P162" s="50"/>
      <c r="Q162" s="50"/>
      <c r="R162" s="70"/>
      <c r="S162" s="50"/>
      <c r="T162" s="50"/>
      <c r="U162" s="50"/>
      <c r="V162" s="50"/>
      <c r="W162" s="50"/>
      <c r="X162" s="50"/>
      <c r="Y162" s="70"/>
      <c r="Z162" s="50"/>
      <c r="AA162" s="70"/>
      <c r="AB162" s="49"/>
      <c r="AC162" s="51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7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7"/>
      <c r="BQ162" s="24">
        <f t="shared" si="154"/>
        <v>0</v>
      </c>
      <c r="CE162" s="59"/>
      <c r="CF162" s="51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1"/>
    </row>
    <row r="163" spans="1:138" ht="15" customHeight="1">
      <c r="A163" s="37" t="s">
        <v>195</v>
      </c>
      <c r="B163" s="7">
        <v>0</v>
      </c>
      <c r="C163" s="52">
        <v>0</v>
      </c>
      <c r="D163" s="27">
        <v>0</v>
      </c>
      <c r="E163" s="27">
        <v>0</v>
      </c>
      <c r="F163" s="63">
        <v>0</v>
      </c>
      <c r="G163" s="27">
        <v>0</v>
      </c>
      <c r="H163" s="64">
        <v>0</v>
      </c>
      <c r="I163" s="65">
        <v>0</v>
      </c>
      <c r="J163" s="66">
        <v>0</v>
      </c>
      <c r="K163" s="65">
        <v>0</v>
      </c>
      <c r="L163" s="73">
        <v>0</v>
      </c>
      <c r="M163" s="73">
        <v>0</v>
      </c>
      <c r="N163" s="56">
        <v>0</v>
      </c>
      <c r="O163" s="51"/>
      <c r="P163" s="50"/>
      <c r="Q163" s="50"/>
      <c r="R163" s="70"/>
      <c r="S163" s="50"/>
      <c r="T163" s="50"/>
      <c r="U163" s="50"/>
      <c r="V163" s="50"/>
      <c r="W163" s="50"/>
      <c r="X163" s="50"/>
      <c r="Y163" s="70"/>
      <c r="Z163" s="50"/>
      <c r="AA163" s="70"/>
      <c r="AB163" s="49"/>
      <c r="AC163" s="51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7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7"/>
      <c r="BE163" s="7">
        <v>0</v>
      </c>
      <c r="BF163" s="52">
        <v>0</v>
      </c>
      <c r="BG163" s="27">
        <v>0</v>
      </c>
      <c r="BH163" s="27">
        <v>0</v>
      </c>
      <c r="BI163" s="63">
        <v>0</v>
      </c>
      <c r="BJ163" s="27">
        <v>0</v>
      </c>
      <c r="BK163" s="64">
        <v>0</v>
      </c>
      <c r="BL163" s="65">
        <v>0</v>
      </c>
      <c r="BM163" s="66">
        <v>0</v>
      </c>
      <c r="BN163" s="65">
        <v>1500</v>
      </c>
      <c r="BO163" s="64">
        <v>28000</v>
      </c>
      <c r="BP163" s="65">
        <v>22303</v>
      </c>
      <c r="BQ163" s="24">
        <f t="shared" si="154"/>
        <v>51803</v>
      </c>
      <c r="BR163" s="7" t="s">
        <v>257</v>
      </c>
      <c r="BS163" s="7">
        <v>0</v>
      </c>
      <c r="BT163" s="7">
        <v>0</v>
      </c>
      <c r="BU163" s="52">
        <v>2420</v>
      </c>
      <c r="BV163" s="7">
        <v>0</v>
      </c>
      <c r="BW163" s="7">
        <v>0</v>
      </c>
      <c r="BX163" s="52">
        <v>49016</v>
      </c>
      <c r="BY163" s="52">
        <v>9016</v>
      </c>
      <c r="BZ163" s="7">
        <v>0</v>
      </c>
      <c r="CA163" s="52">
        <v>9634</v>
      </c>
      <c r="CB163" s="52">
        <v>16594</v>
      </c>
      <c r="CC163" s="7">
        <v>40725</v>
      </c>
      <c r="CD163" s="60">
        <v>143872</v>
      </c>
      <c r="CE163" s="59"/>
      <c r="CF163" s="51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1"/>
      <c r="DI163" s="7">
        <v>0</v>
      </c>
      <c r="DJ163" s="52">
        <v>0</v>
      </c>
      <c r="DK163" s="27">
        <v>0</v>
      </c>
      <c r="DL163" s="27">
        <v>0</v>
      </c>
      <c r="DM163" s="63">
        <v>0</v>
      </c>
      <c r="DN163" s="27">
        <v>0</v>
      </c>
      <c r="DO163" s="64">
        <v>0</v>
      </c>
      <c r="DP163" s="65">
        <v>0</v>
      </c>
      <c r="DQ163" s="66">
        <v>0</v>
      </c>
      <c r="DR163" s="65">
        <v>1500</v>
      </c>
      <c r="DS163" s="64">
        <v>28000</v>
      </c>
      <c r="DT163" s="65">
        <v>22303</v>
      </c>
      <c r="DV163" s="7" t="s">
        <v>257</v>
      </c>
      <c r="DW163" s="7">
        <v>0</v>
      </c>
      <c r="DX163" s="7">
        <v>0</v>
      </c>
      <c r="DY163" s="52">
        <v>2420</v>
      </c>
      <c r="DZ163" s="7">
        <v>0</v>
      </c>
      <c r="EA163" s="7">
        <v>0</v>
      </c>
      <c r="EB163" s="52">
        <v>49016</v>
      </c>
      <c r="EC163" s="52">
        <v>9016</v>
      </c>
      <c r="ED163" s="7">
        <v>0</v>
      </c>
      <c r="EE163" s="52">
        <v>9634</v>
      </c>
      <c r="EF163" s="52">
        <v>16594</v>
      </c>
      <c r="EG163" s="7">
        <v>40725</v>
      </c>
      <c r="EH163" s="60">
        <v>143872</v>
      </c>
    </row>
    <row r="164" spans="1:124" ht="15" customHeight="1">
      <c r="A164" s="67" t="s">
        <v>196</v>
      </c>
      <c r="B164" s="7">
        <v>0</v>
      </c>
      <c r="C164" s="52">
        <v>0</v>
      </c>
      <c r="D164" s="27">
        <v>0</v>
      </c>
      <c r="E164" s="27">
        <v>0</v>
      </c>
      <c r="F164" s="63">
        <v>0</v>
      </c>
      <c r="G164" s="27">
        <v>0</v>
      </c>
      <c r="H164" s="64">
        <v>0</v>
      </c>
      <c r="I164" s="65">
        <v>0</v>
      </c>
      <c r="J164" s="66">
        <v>0</v>
      </c>
      <c r="K164" s="65">
        <v>0</v>
      </c>
      <c r="L164" s="73">
        <v>0</v>
      </c>
      <c r="M164" s="73">
        <v>0</v>
      </c>
      <c r="N164" s="56">
        <v>0</v>
      </c>
      <c r="O164" s="51"/>
      <c r="P164" s="50"/>
      <c r="Q164" s="50"/>
      <c r="R164" s="70"/>
      <c r="S164" s="50"/>
      <c r="T164" s="50"/>
      <c r="U164" s="50"/>
      <c r="V164" s="50"/>
      <c r="W164" s="50"/>
      <c r="X164" s="50"/>
      <c r="Y164" s="70"/>
      <c r="Z164" s="50"/>
      <c r="AA164" s="70"/>
      <c r="AB164" s="49"/>
      <c r="AC164" s="51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7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7"/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66">
        <v>19500</v>
      </c>
      <c r="BN164" s="65">
        <v>0</v>
      </c>
      <c r="BO164" s="64">
        <v>0</v>
      </c>
      <c r="BP164" s="65">
        <v>0</v>
      </c>
      <c r="BQ164" s="24">
        <f t="shared" si="154"/>
        <v>19500</v>
      </c>
      <c r="CE164" s="59"/>
      <c r="CF164" s="51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1"/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66">
        <v>19500</v>
      </c>
      <c r="DR164" s="65">
        <v>0</v>
      </c>
      <c r="DS164" s="64">
        <v>0</v>
      </c>
      <c r="DT164" s="65">
        <v>0</v>
      </c>
    </row>
    <row r="165" spans="1:124" ht="15" customHeight="1">
      <c r="A165" s="37" t="s">
        <v>189</v>
      </c>
      <c r="B165" s="7">
        <v>0</v>
      </c>
      <c r="C165" s="52">
        <v>0</v>
      </c>
      <c r="D165" s="27">
        <v>0</v>
      </c>
      <c r="E165" s="27">
        <v>0</v>
      </c>
      <c r="F165" s="63">
        <v>0</v>
      </c>
      <c r="G165" s="27">
        <v>0</v>
      </c>
      <c r="H165" s="64">
        <v>0</v>
      </c>
      <c r="I165" s="65">
        <v>0</v>
      </c>
      <c r="J165" s="66">
        <v>0</v>
      </c>
      <c r="K165" s="65">
        <v>0</v>
      </c>
      <c r="L165" s="73">
        <v>0</v>
      </c>
      <c r="M165" s="73">
        <v>0</v>
      </c>
      <c r="N165" s="56">
        <v>0</v>
      </c>
      <c r="O165" s="51"/>
      <c r="P165" s="50"/>
      <c r="Q165" s="50"/>
      <c r="R165" s="70"/>
      <c r="S165" s="50"/>
      <c r="T165" s="50"/>
      <c r="U165" s="50"/>
      <c r="V165" s="50"/>
      <c r="W165" s="50"/>
      <c r="X165" s="50"/>
      <c r="Y165" s="70"/>
      <c r="Z165" s="50"/>
      <c r="AA165" s="70"/>
      <c r="AB165" s="49"/>
      <c r="AC165" s="51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7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7"/>
      <c r="BE165" s="7">
        <v>30542</v>
      </c>
      <c r="BF165" s="52">
        <v>0</v>
      </c>
      <c r="BG165" s="27">
        <v>0</v>
      </c>
      <c r="BH165" s="27">
        <v>0</v>
      </c>
      <c r="BI165" s="63">
        <v>0</v>
      </c>
      <c r="BJ165" s="27">
        <v>0</v>
      </c>
      <c r="BK165" s="64">
        <v>0</v>
      </c>
      <c r="BL165" s="65">
        <v>0</v>
      </c>
      <c r="BM165" s="66">
        <v>0</v>
      </c>
      <c r="BN165" s="65">
        <v>0</v>
      </c>
      <c r="BO165" s="64">
        <v>0</v>
      </c>
      <c r="BP165" s="65">
        <v>0</v>
      </c>
      <c r="BQ165" s="24">
        <f t="shared" si="154"/>
        <v>30542</v>
      </c>
      <c r="CE165" s="59"/>
      <c r="CF165" s="51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1"/>
      <c r="DI165" s="7">
        <v>30542</v>
      </c>
      <c r="DJ165" s="52">
        <v>0</v>
      </c>
      <c r="DK165" s="27">
        <v>0</v>
      </c>
      <c r="DL165" s="27">
        <v>0</v>
      </c>
      <c r="DM165" s="63">
        <v>0</v>
      </c>
      <c r="DN165" s="27">
        <v>0</v>
      </c>
      <c r="DO165" s="64">
        <v>0</v>
      </c>
      <c r="DP165" s="65">
        <v>0</v>
      </c>
      <c r="DQ165" s="66">
        <v>0</v>
      </c>
      <c r="DR165" s="65">
        <v>0</v>
      </c>
      <c r="DS165" s="64">
        <v>0</v>
      </c>
      <c r="DT165" s="65">
        <v>0</v>
      </c>
    </row>
    <row r="166" spans="1:124" ht="15" customHeight="1">
      <c r="A166" s="37" t="s">
        <v>190</v>
      </c>
      <c r="B166" s="7">
        <v>0</v>
      </c>
      <c r="C166" s="52">
        <v>0</v>
      </c>
      <c r="D166" s="27">
        <v>0</v>
      </c>
      <c r="E166" s="27">
        <v>0</v>
      </c>
      <c r="F166" s="63">
        <v>0</v>
      </c>
      <c r="G166" s="27">
        <v>0</v>
      </c>
      <c r="H166" s="64">
        <v>0</v>
      </c>
      <c r="I166" s="65">
        <v>0</v>
      </c>
      <c r="J166" s="66">
        <v>0</v>
      </c>
      <c r="K166" s="65">
        <v>0</v>
      </c>
      <c r="L166" s="73">
        <v>0</v>
      </c>
      <c r="M166" s="73">
        <v>0</v>
      </c>
      <c r="N166" s="56">
        <v>0</v>
      </c>
      <c r="O166" s="51"/>
      <c r="P166" s="50"/>
      <c r="Q166" s="50"/>
      <c r="R166" s="70"/>
      <c r="S166" s="50"/>
      <c r="T166" s="50"/>
      <c r="U166" s="50"/>
      <c r="V166" s="50"/>
      <c r="W166" s="50"/>
      <c r="X166" s="50"/>
      <c r="Y166" s="70"/>
      <c r="Z166" s="50"/>
      <c r="AA166" s="70"/>
      <c r="AB166" s="49"/>
      <c r="AC166" s="51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7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7"/>
      <c r="BE166" s="7">
        <v>256800</v>
      </c>
      <c r="BF166" s="52">
        <v>0</v>
      </c>
      <c r="BG166" s="27">
        <v>0</v>
      </c>
      <c r="BH166" s="27">
        <v>0</v>
      </c>
      <c r="BI166" s="63">
        <v>0</v>
      </c>
      <c r="BJ166" s="27">
        <v>0</v>
      </c>
      <c r="BK166" s="64">
        <v>0</v>
      </c>
      <c r="BL166" s="65">
        <v>0</v>
      </c>
      <c r="BM166" s="66">
        <v>0</v>
      </c>
      <c r="BN166" s="65">
        <v>0</v>
      </c>
      <c r="BO166" s="64">
        <v>0</v>
      </c>
      <c r="BP166" s="65">
        <v>0</v>
      </c>
      <c r="BQ166" s="24">
        <f t="shared" si="154"/>
        <v>256800</v>
      </c>
      <c r="CE166" s="59"/>
      <c r="CF166" s="51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1"/>
      <c r="DI166" s="7">
        <v>256800</v>
      </c>
      <c r="DJ166" s="52">
        <v>0</v>
      </c>
      <c r="DK166" s="27">
        <v>0</v>
      </c>
      <c r="DL166" s="27">
        <v>0</v>
      </c>
      <c r="DM166" s="63">
        <v>0</v>
      </c>
      <c r="DN166" s="27">
        <v>0</v>
      </c>
      <c r="DO166" s="64">
        <v>0</v>
      </c>
      <c r="DP166" s="65">
        <v>0</v>
      </c>
      <c r="DQ166" s="66">
        <v>0</v>
      </c>
      <c r="DR166" s="65">
        <v>0</v>
      </c>
      <c r="DS166" s="64">
        <v>0</v>
      </c>
      <c r="DT166" s="65">
        <v>0</v>
      </c>
    </row>
    <row r="167" spans="1:124" ht="15" customHeight="1">
      <c r="A167" s="37" t="s">
        <v>191</v>
      </c>
      <c r="B167" s="7">
        <v>0</v>
      </c>
      <c r="C167" s="52">
        <v>0</v>
      </c>
      <c r="D167" s="27">
        <v>0</v>
      </c>
      <c r="E167" s="27">
        <v>0</v>
      </c>
      <c r="F167" s="63">
        <v>0</v>
      </c>
      <c r="G167" s="27">
        <v>0</v>
      </c>
      <c r="H167" s="64">
        <v>0</v>
      </c>
      <c r="I167" s="65">
        <v>0</v>
      </c>
      <c r="J167" s="66">
        <v>0</v>
      </c>
      <c r="K167" s="65">
        <v>0</v>
      </c>
      <c r="L167" s="73">
        <v>0</v>
      </c>
      <c r="M167" s="73"/>
      <c r="N167" s="56">
        <v>0</v>
      </c>
      <c r="O167" s="51"/>
      <c r="P167" s="50"/>
      <c r="Q167" s="50"/>
      <c r="R167" s="70"/>
      <c r="S167" s="50"/>
      <c r="T167" s="50"/>
      <c r="U167" s="50"/>
      <c r="V167" s="50"/>
      <c r="W167" s="50"/>
      <c r="X167" s="50"/>
      <c r="Y167" s="70"/>
      <c r="Z167" s="50"/>
      <c r="AA167" s="70"/>
      <c r="AB167" s="49"/>
      <c r="AC167" s="51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7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7"/>
      <c r="BE167" s="7">
        <v>0</v>
      </c>
      <c r="BF167" s="52">
        <v>0</v>
      </c>
      <c r="BG167" s="27">
        <v>0</v>
      </c>
      <c r="BH167" s="27">
        <v>0</v>
      </c>
      <c r="BI167" s="63">
        <v>0</v>
      </c>
      <c r="BJ167" s="27">
        <v>0</v>
      </c>
      <c r="BK167" s="64">
        <v>0</v>
      </c>
      <c r="BL167" s="65">
        <v>0</v>
      </c>
      <c r="BM167" s="66">
        <v>0</v>
      </c>
      <c r="BN167" s="65">
        <v>0</v>
      </c>
      <c r="BO167" s="64">
        <v>217640</v>
      </c>
      <c r="BP167" s="65">
        <v>0</v>
      </c>
      <c r="BQ167" s="24">
        <f t="shared" si="154"/>
        <v>217640</v>
      </c>
      <c r="CE167" s="59"/>
      <c r="CF167" s="51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1"/>
      <c r="DI167" s="7">
        <v>0</v>
      </c>
      <c r="DJ167" s="52">
        <v>0</v>
      </c>
      <c r="DK167" s="27">
        <v>0</v>
      </c>
      <c r="DL167" s="27">
        <v>0</v>
      </c>
      <c r="DM167" s="63">
        <v>0</v>
      </c>
      <c r="DN167" s="27">
        <v>0</v>
      </c>
      <c r="DO167" s="64">
        <v>0</v>
      </c>
      <c r="DP167" s="65">
        <v>0</v>
      </c>
      <c r="DQ167" s="66">
        <v>0</v>
      </c>
      <c r="DR167" s="65">
        <v>0</v>
      </c>
      <c r="DS167" s="64">
        <v>217640</v>
      </c>
      <c r="DT167" s="65">
        <v>0</v>
      </c>
    </row>
    <row r="168" spans="1:124" ht="15" customHeight="1">
      <c r="A168" s="37" t="s">
        <v>192</v>
      </c>
      <c r="B168" s="7">
        <v>0</v>
      </c>
      <c r="C168" s="52">
        <v>0</v>
      </c>
      <c r="D168" s="27">
        <v>0</v>
      </c>
      <c r="E168" s="27">
        <v>0</v>
      </c>
      <c r="F168" s="63">
        <v>0</v>
      </c>
      <c r="G168" s="27">
        <v>0</v>
      </c>
      <c r="H168" s="64">
        <v>0</v>
      </c>
      <c r="I168" s="65">
        <v>0</v>
      </c>
      <c r="J168" s="66">
        <v>0</v>
      </c>
      <c r="K168" s="65">
        <v>0</v>
      </c>
      <c r="L168" s="73">
        <v>0</v>
      </c>
      <c r="M168" s="73">
        <v>0</v>
      </c>
      <c r="N168" s="56">
        <v>0</v>
      </c>
      <c r="O168" s="51"/>
      <c r="P168" s="50"/>
      <c r="Q168" s="50"/>
      <c r="R168" s="70"/>
      <c r="S168" s="50"/>
      <c r="T168" s="50"/>
      <c r="U168" s="50"/>
      <c r="V168" s="50"/>
      <c r="W168" s="50"/>
      <c r="X168" s="50"/>
      <c r="Y168" s="70"/>
      <c r="Z168" s="50"/>
      <c r="AA168" s="70"/>
      <c r="AB168" s="49"/>
      <c r="AC168" s="51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7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7"/>
      <c r="BE168" s="7">
        <v>0</v>
      </c>
      <c r="BF168" s="52">
        <v>0</v>
      </c>
      <c r="BG168" s="27">
        <v>0</v>
      </c>
      <c r="BH168" s="27">
        <v>0</v>
      </c>
      <c r="BI168" s="63">
        <v>0</v>
      </c>
      <c r="BJ168" s="27">
        <v>0</v>
      </c>
      <c r="BK168" s="64">
        <v>0</v>
      </c>
      <c r="BL168" s="65">
        <v>0</v>
      </c>
      <c r="BM168" s="66">
        <v>0</v>
      </c>
      <c r="BN168" s="65">
        <v>0</v>
      </c>
      <c r="BO168" s="64">
        <v>68461</v>
      </c>
      <c r="BP168" s="65">
        <v>0</v>
      </c>
      <c r="BQ168" s="24">
        <f t="shared" si="154"/>
        <v>68461</v>
      </c>
      <c r="CE168" s="59"/>
      <c r="CF168" s="51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1"/>
      <c r="DI168" s="7">
        <v>0</v>
      </c>
      <c r="DJ168" s="52">
        <v>0</v>
      </c>
      <c r="DK168" s="27">
        <v>0</v>
      </c>
      <c r="DL168" s="27">
        <v>0</v>
      </c>
      <c r="DM168" s="63">
        <v>0</v>
      </c>
      <c r="DN168" s="27">
        <v>0</v>
      </c>
      <c r="DO168" s="64">
        <v>0</v>
      </c>
      <c r="DP168" s="65">
        <v>0</v>
      </c>
      <c r="DQ168" s="66">
        <v>0</v>
      </c>
      <c r="DR168" s="65">
        <v>0</v>
      </c>
      <c r="DS168" s="64">
        <v>68461</v>
      </c>
      <c r="DT168" s="65">
        <v>0</v>
      </c>
    </row>
    <row r="169" spans="1:124" ht="15" customHeight="1">
      <c r="A169" s="37" t="s">
        <v>187</v>
      </c>
      <c r="B169" s="7">
        <v>0</v>
      </c>
      <c r="C169" s="52">
        <v>0</v>
      </c>
      <c r="D169" s="27">
        <v>0</v>
      </c>
      <c r="E169" s="27">
        <v>0</v>
      </c>
      <c r="F169" s="63">
        <v>0</v>
      </c>
      <c r="G169" s="27">
        <v>0</v>
      </c>
      <c r="H169" s="64">
        <v>0</v>
      </c>
      <c r="I169" s="65">
        <v>0</v>
      </c>
      <c r="J169" s="66">
        <v>0</v>
      </c>
      <c r="K169" s="65">
        <v>0</v>
      </c>
      <c r="L169" s="73">
        <v>0</v>
      </c>
      <c r="M169" s="73">
        <v>0</v>
      </c>
      <c r="N169" s="56">
        <v>0</v>
      </c>
      <c r="O169" s="51"/>
      <c r="P169" s="50"/>
      <c r="Q169" s="50"/>
      <c r="R169" s="70"/>
      <c r="S169" s="50"/>
      <c r="T169" s="50"/>
      <c r="U169" s="50"/>
      <c r="V169" s="50"/>
      <c r="W169" s="50"/>
      <c r="X169" s="50"/>
      <c r="Y169" s="70"/>
      <c r="Z169" s="50"/>
      <c r="AA169" s="70"/>
      <c r="AB169" s="49"/>
      <c r="AC169" s="51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7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7"/>
      <c r="BE169" s="7">
        <v>0</v>
      </c>
      <c r="BF169" s="52">
        <v>0</v>
      </c>
      <c r="BG169" s="27">
        <v>0</v>
      </c>
      <c r="BH169" s="27">
        <v>0</v>
      </c>
      <c r="BI169" s="63">
        <v>0</v>
      </c>
      <c r="BJ169" s="27">
        <v>0</v>
      </c>
      <c r="BK169" s="64">
        <v>0</v>
      </c>
      <c r="BL169" s="65">
        <v>0</v>
      </c>
      <c r="BM169" s="66">
        <v>0</v>
      </c>
      <c r="BN169" s="65">
        <v>0</v>
      </c>
      <c r="BO169" s="64">
        <v>57917</v>
      </c>
      <c r="BP169" s="65">
        <v>0</v>
      </c>
      <c r="BQ169" s="24">
        <f t="shared" si="154"/>
        <v>57917</v>
      </c>
      <c r="CE169" s="59"/>
      <c r="CF169" s="51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1"/>
      <c r="DI169" s="7">
        <v>0</v>
      </c>
      <c r="DJ169" s="52">
        <v>0</v>
      </c>
      <c r="DK169" s="27">
        <v>0</v>
      </c>
      <c r="DL169" s="27">
        <v>0</v>
      </c>
      <c r="DM169" s="63">
        <v>0</v>
      </c>
      <c r="DN169" s="27">
        <v>0</v>
      </c>
      <c r="DO169" s="64">
        <v>0</v>
      </c>
      <c r="DP169" s="65">
        <v>0</v>
      </c>
      <c r="DQ169" s="66">
        <v>0</v>
      </c>
      <c r="DR169" s="65">
        <v>0</v>
      </c>
      <c r="DS169" s="64">
        <v>57917</v>
      </c>
      <c r="DT169" s="65">
        <v>0</v>
      </c>
    </row>
    <row r="170" spans="1:138" ht="15" customHeight="1">
      <c r="A170" s="67" t="s">
        <v>159</v>
      </c>
      <c r="B170" s="7">
        <v>0</v>
      </c>
      <c r="C170" s="52">
        <v>0</v>
      </c>
      <c r="D170" s="27">
        <v>0</v>
      </c>
      <c r="E170" s="27">
        <v>0</v>
      </c>
      <c r="F170" s="63">
        <v>0</v>
      </c>
      <c r="G170" s="27">
        <v>0</v>
      </c>
      <c r="H170" s="64">
        <v>0</v>
      </c>
      <c r="I170" s="65">
        <v>0</v>
      </c>
      <c r="J170" s="66">
        <v>0</v>
      </c>
      <c r="K170" s="65">
        <v>0</v>
      </c>
      <c r="L170" s="73">
        <v>0</v>
      </c>
      <c r="M170" s="73">
        <v>0</v>
      </c>
      <c r="N170" s="56">
        <v>0</v>
      </c>
      <c r="O170" s="51"/>
      <c r="P170" s="50"/>
      <c r="Q170" s="50"/>
      <c r="R170" s="70"/>
      <c r="S170" s="50"/>
      <c r="T170" s="50"/>
      <c r="U170" s="50"/>
      <c r="V170" s="50"/>
      <c r="W170" s="50"/>
      <c r="X170" s="50"/>
      <c r="Y170" s="70"/>
      <c r="Z170" s="50"/>
      <c r="AA170" s="70"/>
      <c r="AB170" s="49"/>
      <c r="AC170" s="51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7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7"/>
      <c r="BE170" s="7">
        <v>0</v>
      </c>
      <c r="BF170" s="52">
        <v>0</v>
      </c>
      <c r="BG170" s="27">
        <v>0</v>
      </c>
      <c r="BH170" s="27">
        <v>0</v>
      </c>
      <c r="BI170" s="63">
        <v>0</v>
      </c>
      <c r="BJ170" s="27">
        <v>0</v>
      </c>
      <c r="BK170" s="64">
        <v>0</v>
      </c>
      <c r="BL170" s="65">
        <v>0</v>
      </c>
      <c r="BM170" s="66">
        <v>0</v>
      </c>
      <c r="BN170" s="65">
        <v>0</v>
      </c>
      <c r="BO170" s="64">
        <v>1498</v>
      </c>
      <c r="BP170" s="65">
        <v>0</v>
      </c>
      <c r="BQ170" s="24">
        <f t="shared" si="154"/>
        <v>1498</v>
      </c>
      <c r="BR170" s="7" t="s">
        <v>241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52">
        <v>1133</v>
      </c>
      <c r="CC170" s="7">
        <v>0</v>
      </c>
      <c r="CD170" s="7" t="s">
        <v>201</v>
      </c>
      <c r="CE170" s="59"/>
      <c r="CF170" s="51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1"/>
      <c r="DI170" s="7">
        <v>0</v>
      </c>
      <c r="DJ170" s="52">
        <v>0</v>
      </c>
      <c r="DK170" s="27">
        <v>0</v>
      </c>
      <c r="DL170" s="27">
        <v>0</v>
      </c>
      <c r="DM170" s="63">
        <v>0</v>
      </c>
      <c r="DN170" s="27">
        <v>0</v>
      </c>
      <c r="DO170" s="64">
        <v>0</v>
      </c>
      <c r="DP170" s="65">
        <v>0</v>
      </c>
      <c r="DQ170" s="66">
        <v>0</v>
      </c>
      <c r="DR170" s="65">
        <v>0</v>
      </c>
      <c r="DS170" s="64">
        <v>1498</v>
      </c>
      <c r="DT170" s="65">
        <v>0</v>
      </c>
      <c r="DV170" s="7" t="s">
        <v>241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52">
        <v>1133</v>
      </c>
      <c r="EG170" s="7">
        <v>0</v>
      </c>
      <c r="EH170" s="7" t="s">
        <v>201</v>
      </c>
    </row>
    <row r="171" spans="1:138" ht="15" customHeight="1">
      <c r="A171" s="7" t="s">
        <v>258</v>
      </c>
      <c r="B171" s="73"/>
      <c r="C171" s="74"/>
      <c r="D171" s="74"/>
      <c r="E171" s="74"/>
      <c r="F171" s="74"/>
      <c r="G171" s="74"/>
      <c r="H171" s="74"/>
      <c r="I171" s="74"/>
      <c r="J171" s="74"/>
      <c r="K171" s="73"/>
      <c r="L171" s="73"/>
      <c r="M171" s="73"/>
      <c r="N171" s="56"/>
      <c r="O171" s="51"/>
      <c r="P171" s="50"/>
      <c r="Q171" s="50"/>
      <c r="R171" s="70"/>
      <c r="S171" s="50"/>
      <c r="T171" s="50"/>
      <c r="U171" s="50"/>
      <c r="V171" s="50"/>
      <c r="W171" s="50"/>
      <c r="X171" s="50"/>
      <c r="Y171" s="70"/>
      <c r="Z171" s="50"/>
      <c r="AA171" s="70"/>
      <c r="AB171" s="49"/>
      <c r="AC171" s="51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7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7"/>
      <c r="BQ171" s="24">
        <f t="shared" si="154"/>
        <v>0</v>
      </c>
      <c r="BR171" s="7" t="s">
        <v>258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52">
        <v>57600</v>
      </c>
      <c r="CB171" s="7">
        <v>0</v>
      </c>
      <c r="CC171" s="7">
        <v>0</v>
      </c>
      <c r="CD171" s="7" t="s">
        <v>201</v>
      </c>
      <c r="CE171" s="59"/>
      <c r="CF171" s="51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1"/>
      <c r="DV171" s="7" t="s">
        <v>258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52">
        <v>57600</v>
      </c>
      <c r="EF171" s="7">
        <v>0</v>
      </c>
      <c r="EG171" s="7">
        <v>0</v>
      </c>
      <c r="EH171" s="7" t="s">
        <v>201</v>
      </c>
    </row>
    <row r="172" spans="1:138" ht="15" customHeight="1">
      <c r="A172" s="7" t="s">
        <v>259</v>
      </c>
      <c r="B172" s="73"/>
      <c r="C172" s="74"/>
      <c r="D172" s="74"/>
      <c r="E172" s="74"/>
      <c r="F172" s="74"/>
      <c r="G172" s="74"/>
      <c r="H172" s="74"/>
      <c r="I172" s="74"/>
      <c r="J172" s="74"/>
      <c r="K172" s="73"/>
      <c r="L172" s="73"/>
      <c r="M172" s="73"/>
      <c r="N172" s="56"/>
      <c r="O172" s="51"/>
      <c r="P172" s="50"/>
      <c r="Q172" s="50"/>
      <c r="R172" s="70"/>
      <c r="S172" s="50"/>
      <c r="T172" s="50"/>
      <c r="U172" s="50"/>
      <c r="V172" s="50"/>
      <c r="W172" s="50"/>
      <c r="X172" s="50"/>
      <c r="Y172" s="70"/>
      <c r="Z172" s="50"/>
      <c r="AA172" s="70"/>
      <c r="AB172" s="49"/>
      <c r="AC172" s="51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7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7"/>
      <c r="BQ172" s="24">
        <f t="shared" si="154"/>
        <v>0</v>
      </c>
      <c r="BR172" s="7" t="s">
        <v>259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60">
        <v>15501</v>
      </c>
      <c r="CE172" s="59"/>
      <c r="CF172" s="51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1"/>
      <c r="DV172" s="7" t="s">
        <v>259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60">
        <v>15501</v>
      </c>
    </row>
    <row r="173" spans="1:138" ht="15" customHeight="1">
      <c r="A173" s="51"/>
      <c r="B173" s="73"/>
      <c r="C173" s="74"/>
      <c r="D173" s="74"/>
      <c r="E173" s="74"/>
      <c r="F173" s="74"/>
      <c r="G173" s="74"/>
      <c r="H173" s="74"/>
      <c r="I173" s="74"/>
      <c r="J173" s="74"/>
      <c r="K173" s="73"/>
      <c r="L173" s="73"/>
      <c r="M173" s="73"/>
      <c r="N173" s="56"/>
      <c r="O173" s="51"/>
      <c r="P173" s="50"/>
      <c r="Q173" s="50"/>
      <c r="R173" s="70"/>
      <c r="S173" s="50"/>
      <c r="T173" s="50"/>
      <c r="U173" s="50"/>
      <c r="V173" s="50"/>
      <c r="W173" s="50"/>
      <c r="X173" s="50"/>
      <c r="Y173" s="70"/>
      <c r="Z173" s="50"/>
      <c r="AA173" s="70"/>
      <c r="AB173" s="49"/>
      <c r="AC173" s="51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7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7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1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1"/>
      <c r="DY173" s="52"/>
      <c r="EA173" s="52"/>
      <c r="EB173" s="52"/>
      <c r="ED173" s="52"/>
      <c r="EE173" s="52"/>
      <c r="EF173" s="52"/>
      <c r="EH173" s="60"/>
    </row>
    <row r="174" spans="1:98" ht="15" customHeight="1">
      <c r="A174" s="51"/>
      <c r="B174" s="73"/>
      <c r="C174" s="74"/>
      <c r="D174" s="74"/>
      <c r="E174" s="74"/>
      <c r="F174" s="74"/>
      <c r="G174" s="74"/>
      <c r="H174" s="74"/>
      <c r="I174" s="74"/>
      <c r="J174" s="74"/>
      <c r="K174" s="73"/>
      <c r="L174" s="73"/>
      <c r="M174" s="73"/>
      <c r="N174" s="56"/>
      <c r="O174" s="51"/>
      <c r="P174" s="50"/>
      <c r="Q174" s="50"/>
      <c r="R174" s="70"/>
      <c r="S174" s="50"/>
      <c r="T174" s="50"/>
      <c r="U174" s="50"/>
      <c r="V174" s="50"/>
      <c r="W174" s="50"/>
      <c r="X174" s="50"/>
      <c r="Y174" s="70"/>
      <c r="Z174" s="50"/>
      <c r="AA174" s="70"/>
      <c r="AB174" s="49"/>
      <c r="AC174" s="51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7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7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1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1"/>
    </row>
    <row r="175" spans="1:98" ht="15" customHeight="1">
      <c r="A175" s="51"/>
      <c r="B175" s="73"/>
      <c r="C175" s="74"/>
      <c r="D175" s="74"/>
      <c r="E175" s="74"/>
      <c r="F175" s="74"/>
      <c r="G175" s="74"/>
      <c r="H175" s="74"/>
      <c r="I175" s="74"/>
      <c r="J175" s="74"/>
      <c r="K175" s="73"/>
      <c r="L175" s="73"/>
      <c r="M175" s="73"/>
      <c r="N175" s="56"/>
      <c r="O175" s="51"/>
      <c r="P175" s="50"/>
      <c r="Q175" s="50"/>
      <c r="R175" s="70"/>
      <c r="S175" s="50"/>
      <c r="T175" s="50"/>
      <c r="U175" s="50"/>
      <c r="V175" s="50"/>
      <c r="W175" s="50"/>
      <c r="X175" s="50"/>
      <c r="Y175" s="70"/>
      <c r="Z175" s="50"/>
      <c r="AA175" s="70"/>
      <c r="AB175" s="49"/>
      <c r="AC175" s="51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7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7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1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1"/>
    </row>
    <row r="176" spans="1:125" ht="15" customHeight="1">
      <c r="A176" s="51"/>
      <c r="B176" s="73"/>
      <c r="C176" s="74"/>
      <c r="D176" s="74"/>
      <c r="E176" s="74"/>
      <c r="F176" s="74"/>
      <c r="G176" s="74"/>
      <c r="H176" s="74"/>
      <c r="I176" s="74"/>
      <c r="J176" s="74"/>
      <c r="K176" s="73"/>
      <c r="L176" s="73"/>
      <c r="M176" s="73"/>
      <c r="N176" s="56"/>
      <c r="O176" s="51"/>
      <c r="P176" s="50"/>
      <c r="Q176" s="50"/>
      <c r="R176" s="70"/>
      <c r="S176" s="50"/>
      <c r="T176" s="50"/>
      <c r="U176" s="50"/>
      <c r="V176" s="50"/>
      <c r="W176" s="50"/>
      <c r="X176" s="50"/>
      <c r="Y176" s="70"/>
      <c r="Z176" s="50"/>
      <c r="AA176" s="70"/>
      <c r="AB176" s="49"/>
      <c r="AC176" s="51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7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7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1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1"/>
      <c r="DU176" s="7" t="s">
        <v>46</v>
      </c>
    </row>
    <row r="177" spans="1:139" ht="15" customHeight="1">
      <c r="A177" s="51"/>
      <c r="B177" s="73"/>
      <c r="C177" s="74"/>
      <c r="D177" s="74"/>
      <c r="E177" s="74"/>
      <c r="F177" s="74"/>
      <c r="G177" s="74"/>
      <c r="H177" s="74"/>
      <c r="I177" s="74"/>
      <c r="J177" s="74"/>
      <c r="K177" s="73"/>
      <c r="L177" s="73"/>
      <c r="M177" s="73"/>
      <c r="N177" s="56"/>
      <c r="O177" s="51"/>
      <c r="P177" s="50"/>
      <c r="Q177" s="50"/>
      <c r="R177" s="70"/>
      <c r="S177" s="50"/>
      <c r="T177" s="50"/>
      <c r="U177" s="50"/>
      <c r="V177" s="50"/>
      <c r="W177" s="50"/>
      <c r="X177" s="50"/>
      <c r="Y177" s="70"/>
      <c r="Z177" s="50"/>
      <c r="AA177" s="70"/>
      <c r="AB177" s="49"/>
      <c r="AC177" s="51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7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7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1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1"/>
      <c r="EI177" s="7" t="s">
        <v>46</v>
      </c>
    </row>
    <row r="178" spans="1:138" ht="15" customHeight="1">
      <c r="A178" s="51"/>
      <c r="B178" s="73"/>
      <c r="C178" s="74"/>
      <c r="D178" s="74"/>
      <c r="E178" s="74"/>
      <c r="F178" s="74"/>
      <c r="G178" s="74"/>
      <c r="H178" s="74"/>
      <c r="I178" s="74"/>
      <c r="J178" s="74"/>
      <c r="K178" s="73"/>
      <c r="L178" s="73"/>
      <c r="M178" s="73"/>
      <c r="N178" s="56"/>
      <c r="O178" s="51"/>
      <c r="P178" s="50"/>
      <c r="Q178" s="50"/>
      <c r="R178" s="70"/>
      <c r="S178" s="50"/>
      <c r="T178" s="50"/>
      <c r="U178" s="50"/>
      <c r="V178" s="50"/>
      <c r="W178" s="50"/>
      <c r="X178" s="50"/>
      <c r="Y178" s="70"/>
      <c r="Z178" s="50"/>
      <c r="AA178" s="70"/>
      <c r="AB178" s="49"/>
      <c r="AC178" s="51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7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7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1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1"/>
      <c r="DV178" s="7" t="s">
        <v>46</v>
      </c>
      <c r="DW178" s="7" t="s">
        <v>46</v>
      </c>
      <c r="DX178" s="7" t="s">
        <v>46</v>
      </c>
      <c r="DY178" s="52" t="s">
        <v>46</v>
      </c>
      <c r="DZ178" s="52" t="s">
        <v>46</v>
      </c>
      <c r="EA178" s="7" t="s">
        <v>46</v>
      </c>
      <c r="EB178" s="7" t="s">
        <v>46</v>
      </c>
      <c r="EC178" s="7" t="s">
        <v>46</v>
      </c>
      <c r="ED178" s="52" t="s">
        <v>46</v>
      </c>
      <c r="EE178" s="7" t="s">
        <v>46</v>
      </c>
      <c r="EF178" s="52" t="s">
        <v>46</v>
      </c>
      <c r="EG178" s="7" t="s">
        <v>46</v>
      </c>
      <c r="EH178" s="60" t="s">
        <v>46</v>
      </c>
    </row>
    <row r="179" spans="1:138" ht="15" customHeight="1">
      <c r="A179" s="51"/>
      <c r="B179" s="73"/>
      <c r="C179" s="74"/>
      <c r="D179" s="74"/>
      <c r="E179" s="74"/>
      <c r="F179" s="74"/>
      <c r="G179" s="74"/>
      <c r="H179" s="74"/>
      <c r="I179" s="74"/>
      <c r="J179" s="74"/>
      <c r="K179" s="73"/>
      <c r="L179" s="73"/>
      <c r="M179" s="73"/>
      <c r="N179" s="56"/>
      <c r="O179" s="51"/>
      <c r="P179" s="50"/>
      <c r="Q179" s="50"/>
      <c r="R179" s="70"/>
      <c r="S179" s="50"/>
      <c r="T179" s="50"/>
      <c r="U179" s="50"/>
      <c r="V179" s="50"/>
      <c r="W179" s="50"/>
      <c r="X179" s="50"/>
      <c r="Y179" s="70"/>
      <c r="Z179" s="50"/>
      <c r="AA179" s="70"/>
      <c r="AB179" s="49"/>
      <c r="AC179" s="51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7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7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1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1"/>
      <c r="DV179" s="7" t="s">
        <v>46</v>
      </c>
      <c r="DW179" s="7" t="s">
        <v>46</v>
      </c>
      <c r="DX179" s="52" t="s">
        <v>46</v>
      </c>
      <c r="DY179" s="52" t="s">
        <v>46</v>
      </c>
      <c r="DZ179" s="52" t="s">
        <v>46</v>
      </c>
      <c r="EA179" s="52" t="s">
        <v>46</v>
      </c>
      <c r="EB179" s="52" t="s">
        <v>46</v>
      </c>
      <c r="EC179" s="52" t="s">
        <v>46</v>
      </c>
      <c r="ED179" s="52" t="s">
        <v>46</v>
      </c>
      <c r="EE179" s="52" t="s">
        <v>46</v>
      </c>
      <c r="EF179" s="52" t="s">
        <v>46</v>
      </c>
      <c r="EG179" s="7" t="s">
        <v>46</v>
      </c>
      <c r="EH179" s="60" t="s">
        <v>46</v>
      </c>
    </row>
    <row r="180" spans="1:117" ht="15" customHeight="1">
      <c r="A180" s="7" t="s">
        <v>11</v>
      </c>
      <c r="B180" s="58">
        <f aca="true" t="shared" si="209" ref="B180:M180">SUM(B3:B148)</f>
        <v>572277100</v>
      </c>
      <c r="C180" s="58">
        <f t="shared" si="209"/>
        <v>1367594260</v>
      </c>
      <c r="D180" s="58">
        <f t="shared" si="209"/>
        <v>2008742803</v>
      </c>
      <c r="E180" s="58">
        <f t="shared" si="209"/>
        <v>414959081</v>
      </c>
      <c r="F180" s="58">
        <f t="shared" si="209"/>
        <v>687060875</v>
      </c>
      <c r="G180" s="58">
        <f t="shared" si="209"/>
        <v>1441716106</v>
      </c>
      <c r="H180" s="58">
        <f t="shared" si="209"/>
        <v>665331603</v>
      </c>
      <c r="I180" s="58">
        <f t="shared" si="209"/>
        <v>95599279</v>
      </c>
      <c r="J180" s="58">
        <f t="shared" si="209"/>
        <v>655266958</v>
      </c>
      <c r="K180" s="58">
        <f t="shared" si="209"/>
        <v>43716066</v>
      </c>
      <c r="L180" s="58">
        <f t="shared" si="209"/>
        <v>647619723</v>
      </c>
      <c r="M180" s="58">
        <f t="shared" si="209"/>
        <v>54362380</v>
      </c>
      <c r="N180" s="17">
        <f>SUM(B180:M180)</f>
        <v>8654246234</v>
      </c>
      <c r="O180" s="7" t="s">
        <v>11</v>
      </c>
      <c r="P180" s="52">
        <f aca="true" t="shared" si="210" ref="P180:AA180">SUM(P3:P148)</f>
        <v>1959601357</v>
      </c>
      <c r="Q180" s="52">
        <f t="shared" si="210"/>
        <v>145383752.38</v>
      </c>
      <c r="R180" s="52">
        <f t="shared" si="210"/>
        <v>1564126152.44</v>
      </c>
      <c r="S180" s="52">
        <f t="shared" si="210"/>
        <v>1157054286.74</v>
      </c>
      <c r="T180" s="52">
        <f t="shared" si="210"/>
        <v>1417123250.11</v>
      </c>
      <c r="U180" s="52">
        <f t="shared" si="210"/>
        <v>86323128.83</v>
      </c>
      <c r="V180" s="52">
        <f t="shared" si="210"/>
        <v>1429423858.8</v>
      </c>
      <c r="W180" s="52">
        <f t="shared" si="210"/>
        <v>190468258</v>
      </c>
      <c r="X180" s="52">
        <f t="shared" si="210"/>
        <v>2750695715.1499996</v>
      </c>
      <c r="Y180" s="52">
        <f t="shared" si="210"/>
        <v>1745355963.5</v>
      </c>
      <c r="Z180" s="52">
        <f t="shared" si="210"/>
        <v>3016054341.55</v>
      </c>
      <c r="AA180" s="52">
        <f t="shared" si="210"/>
        <v>1128656831.1999998</v>
      </c>
      <c r="AB180" s="22">
        <f>SUM(P180:AA180)</f>
        <v>16590266895.7</v>
      </c>
      <c r="AC180" s="7" t="s">
        <v>11</v>
      </c>
      <c r="AD180" s="52">
        <f aca="true" t="shared" si="211" ref="AD180:AO180">SUM(AD3:AD148)</f>
        <v>3562612576</v>
      </c>
      <c r="AE180" s="52">
        <f t="shared" si="211"/>
        <v>348731838</v>
      </c>
      <c r="AF180" s="52">
        <f t="shared" si="211"/>
        <v>1979230686.24</v>
      </c>
      <c r="AG180" s="52">
        <f t="shared" si="211"/>
        <v>800393525.69</v>
      </c>
      <c r="AH180" s="52">
        <f t="shared" si="211"/>
        <v>2280202718</v>
      </c>
      <c r="AI180" s="52">
        <f t="shared" si="211"/>
        <v>1694946433</v>
      </c>
      <c r="AJ180" s="52">
        <f t="shared" si="211"/>
        <v>2255213368</v>
      </c>
      <c r="AK180" s="52">
        <f t="shared" si="211"/>
        <v>1413833339</v>
      </c>
      <c r="AL180" s="52">
        <f t="shared" si="211"/>
        <v>1551165878</v>
      </c>
      <c r="AM180" s="52">
        <f t="shared" si="211"/>
        <v>729772165</v>
      </c>
      <c r="AN180" s="52">
        <f t="shared" si="211"/>
        <v>2286572871</v>
      </c>
      <c r="AO180" s="52">
        <f t="shared" si="211"/>
        <v>125342172</v>
      </c>
      <c r="AP180" s="24">
        <f>SUM(AD180:AO180)</f>
        <v>19028017569.93</v>
      </c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24">
        <f>SUM(AQ180:BB180)</f>
        <v>0</v>
      </c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DM180" s="76"/>
    </row>
    <row r="181" spans="2:14" ht="15" customHeight="1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2:138" ht="15" customHeight="1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DV182" s="7" t="s">
        <v>46</v>
      </c>
      <c r="DW182" s="52" t="s">
        <v>46</v>
      </c>
      <c r="DX182" s="52" t="s">
        <v>46</v>
      </c>
      <c r="DY182" s="7" t="s">
        <v>46</v>
      </c>
      <c r="DZ182" s="7" t="s">
        <v>46</v>
      </c>
      <c r="EA182" s="52" t="s">
        <v>46</v>
      </c>
      <c r="EB182" s="7" t="s">
        <v>46</v>
      </c>
      <c r="EC182" s="7" t="s">
        <v>46</v>
      </c>
      <c r="ED182" s="7" t="s">
        <v>46</v>
      </c>
      <c r="EE182" s="52" t="s">
        <v>46</v>
      </c>
      <c r="EF182" s="7" t="s">
        <v>46</v>
      </c>
      <c r="EG182" s="7" t="s">
        <v>46</v>
      </c>
      <c r="EH182" s="60" t="s">
        <v>46</v>
      </c>
    </row>
    <row r="183" spans="2:139" ht="15" customHeight="1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DV183" s="7" t="s">
        <v>46</v>
      </c>
      <c r="DW183" s="52" t="s">
        <v>46</v>
      </c>
      <c r="DX183" s="52" t="s">
        <v>46</v>
      </c>
      <c r="DY183" s="7" t="s">
        <v>46</v>
      </c>
      <c r="DZ183" s="7" t="s">
        <v>46</v>
      </c>
      <c r="EA183" s="7" t="s">
        <v>46</v>
      </c>
      <c r="EB183" s="7" t="s">
        <v>46</v>
      </c>
      <c r="EC183" s="7" t="s">
        <v>46</v>
      </c>
      <c r="ED183" s="7" t="s">
        <v>46</v>
      </c>
      <c r="EE183" s="7" t="s">
        <v>46</v>
      </c>
      <c r="EF183" s="7" t="s">
        <v>46</v>
      </c>
      <c r="EG183" s="7" t="s">
        <v>46</v>
      </c>
      <c r="EH183" s="7" t="s">
        <v>46</v>
      </c>
      <c r="EI183" s="7" t="s">
        <v>46</v>
      </c>
    </row>
    <row r="184" spans="2:14" ht="15" customHeight="1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2:138" ht="15" customHeight="1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DV185" s="7" t="s">
        <v>46</v>
      </c>
      <c r="DW185" s="7" t="s">
        <v>46</v>
      </c>
      <c r="DX185" s="7" t="s">
        <v>46</v>
      </c>
      <c r="DY185" s="7" t="s">
        <v>46</v>
      </c>
      <c r="DZ185" s="7" t="s">
        <v>46</v>
      </c>
      <c r="EA185" s="7" t="s">
        <v>46</v>
      </c>
      <c r="EB185" s="7" t="s">
        <v>46</v>
      </c>
      <c r="EC185" s="7" t="s">
        <v>46</v>
      </c>
      <c r="ED185" s="7" t="s">
        <v>46</v>
      </c>
      <c r="EE185" s="7" t="s">
        <v>46</v>
      </c>
      <c r="EF185" s="7" t="s">
        <v>46</v>
      </c>
      <c r="EG185" s="7" t="s">
        <v>46</v>
      </c>
      <c r="EH185" s="7" t="s">
        <v>46</v>
      </c>
    </row>
    <row r="186" spans="2:14" ht="15" customHeight="1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</row>
    <row r="187" spans="2:138" ht="15" customHeight="1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DW187" s="52" t="s">
        <v>46</v>
      </c>
      <c r="DX187" s="7" t="s">
        <v>46</v>
      </c>
      <c r="DY187" s="7" t="s">
        <v>46</v>
      </c>
      <c r="DZ187" s="7" t="s">
        <v>46</v>
      </c>
      <c r="EA187" s="52" t="s">
        <v>46</v>
      </c>
      <c r="EB187" s="7" t="s">
        <v>46</v>
      </c>
      <c r="EC187" s="7" t="s">
        <v>197</v>
      </c>
      <c r="ED187" s="7" t="s">
        <v>46</v>
      </c>
      <c r="EE187" s="52" t="s">
        <v>46</v>
      </c>
      <c r="EF187" s="7" t="s">
        <v>46</v>
      </c>
      <c r="EG187" s="7" t="s">
        <v>46</v>
      </c>
      <c r="EH187" s="7" t="s">
        <v>46</v>
      </c>
    </row>
    <row r="188" spans="2:14" ht="15" customHeight="1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2:138" ht="15" customHeight="1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DV189" s="7" t="s">
        <v>46</v>
      </c>
      <c r="DW189" s="52"/>
      <c r="EH189" s="60"/>
    </row>
    <row r="190" spans="2:14" ht="15" customHeight="1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</row>
    <row r="191" spans="2:14" ht="15" customHeight="1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2:124" ht="15" customHeight="1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DT192" s="52"/>
    </row>
    <row r="193" spans="2:138" ht="15" customHeight="1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DY193" s="52"/>
      <c r="EA193" s="52"/>
      <c r="EB193" s="52"/>
      <c r="ED193" s="52"/>
      <c r="EF193" s="52"/>
      <c r="EH193" s="60"/>
    </row>
    <row r="194" spans="2:128" ht="15" customHeight="1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DW194" s="52"/>
      <c r="DX194" s="52"/>
    </row>
    <row r="195" spans="2:138" ht="15" customHeight="1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DW195" s="52"/>
      <c r="DX195" s="52"/>
      <c r="DY195" s="52"/>
      <c r="DZ195" s="52"/>
      <c r="EA195" s="52"/>
      <c r="EB195" s="52"/>
      <c r="EC195" s="52"/>
      <c r="EE195" s="52"/>
      <c r="EF195" s="52"/>
      <c r="EH195" s="60"/>
    </row>
    <row r="196" spans="2:14" ht="15" customHeight="1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</row>
    <row r="197" spans="2:14" ht="15" customHeight="1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</row>
    <row r="198" spans="2:14" ht="15" customHeight="1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</row>
    <row r="199" spans="2:136" ht="15" customHeight="1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EF199" s="52"/>
    </row>
    <row r="200" spans="2:14" ht="15" customHeight="1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2:14" ht="15" customHeight="1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</row>
    <row r="202" spans="2:14" ht="15" customHeight="1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</sheetData>
  <mergeCells count="92">
    <mergeCell ref="DQ1:DQ2"/>
    <mergeCell ref="DR1:DR2"/>
    <mergeCell ref="DS1:DS2"/>
    <mergeCell ref="DT1:DT2"/>
    <mergeCell ref="DM1:DM2"/>
    <mergeCell ref="DN1:DN2"/>
    <mergeCell ref="DO1:DO2"/>
    <mergeCell ref="DP1:DP2"/>
    <mergeCell ref="DI1:DI2"/>
    <mergeCell ref="DJ1:DJ2"/>
    <mergeCell ref="DK1:DK2"/>
    <mergeCell ref="DL1:DL2"/>
    <mergeCell ref="BA1:BA2"/>
    <mergeCell ref="BB1:BB2"/>
    <mergeCell ref="BC1:BC2"/>
    <mergeCell ref="CF1:CF2"/>
    <mergeCell ref="BE1:BE2"/>
    <mergeCell ref="BF1:BF2"/>
    <mergeCell ref="BG1:BG2"/>
    <mergeCell ref="BH1:BH2"/>
    <mergeCell ref="BI1:BI2"/>
    <mergeCell ref="BJ1:BJ2"/>
    <mergeCell ref="AW1:AW2"/>
    <mergeCell ref="AX1:AX2"/>
    <mergeCell ref="AY1:AY2"/>
    <mergeCell ref="AZ1:AZ2"/>
    <mergeCell ref="AS1:AS2"/>
    <mergeCell ref="AT1:AT2"/>
    <mergeCell ref="AU1:AU2"/>
    <mergeCell ref="AV1:AV2"/>
    <mergeCell ref="AO1:AO2"/>
    <mergeCell ref="AP1:AP2"/>
    <mergeCell ref="AQ1:AQ2"/>
    <mergeCell ref="AR1:AR2"/>
    <mergeCell ref="AK1:AK2"/>
    <mergeCell ref="AL1:AL2"/>
    <mergeCell ref="AM1:AM2"/>
    <mergeCell ref="AN1:AN2"/>
    <mergeCell ref="AG1:AG2"/>
    <mergeCell ref="AH1:AH2"/>
    <mergeCell ref="AI1:AI2"/>
    <mergeCell ref="AJ1:AJ2"/>
    <mergeCell ref="AC1:AC2"/>
    <mergeCell ref="AD1:AD2"/>
    <mergeCell ref="AE1:AE2"/>
    <mergeCell ref="AF1:AF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A1:A2"/>
    <mergeCell ref="O1:O2"/>
    <mergeCell ref="P1:P2"/>
    <mergeCell ref="J1:J2"/>
    <mergeCell ref="K1:K2"/>
    <mergeCell ref="L1:L2"/>
    <mergeCell ref="M1:M2"/>
    <mergeCell ref="F1:F2"/>
    <mergeCell ref="G1:G2"/>
    <mergeCell ref="H1:H2"/>
    <mergeCell ref="I1:I2"/>
    <mergeCell ref="B1:B2"/>
    <mergeCell ref="C1:C2"/>
    <mergeCell ref="D1:D2"/>
    <mergeCell ref="E1:E2"/>
    <mergeCell ref="BK1:BK2"/>
    <mergeCell ref="BL1:BL2"/>
    <mergeCell ref="BM1:BM2"/>
    <mergeCell ref="BN1:BN2"/>
    <mergeCell ref="BO1:BO2"/>
    <mergeCell ref="BP1:BP2"/>
    <mergeCell ref="BS1:BS2"/>
    <mergeCell ref="BT1:BT2"/>
    <mergeCell ref="BU1:BU2"/>
    <mergeCell ref="BV1:BV2"/>
    <mergeCell ref="BW1:BW2"/>
    <mergeCell ref="BX1:BX2"/>
    <mergeCell ref="CC1:CC2"/>
    <mergeCell ref="CD1:CD2"/>
    <mergeCell ref="BY1:BY2"/>
    <mergeCell ref="BZ1:BZ2"/>
    <mergeCell ref="CA1:CA2"/>
    <mergeCell ref="CB1:CB2"/>
  </mergeCells>
  <printOptions/>
  <pageMargins left="0.75" right="0.75" top="1" bottom="1" header="0" footer="0"/>
  <pageSetup horizontalDpi="120" verticalDpi="12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143"/>
  <sheetViews>
    <sheetView defaultGridColor="0" zoomScale="87" zoomScaleNormal="87" colorId="17" workbookViewId="0" topLeftCell="A1">
      <selection activeCell="A36" sqref="A36"/>
    </sheetView>
  </sheetViews>
  <sheetFormatPr defaultColWidth="12.69921875" defaultRowHeight="15"/>
  <cols>
    <col min="1" max="1" width="26" style="83" customWidth="1"/>
    <col min="2" max="6" width="11.796875" style="83" customWidth="1"/>
    <col min="7" max="16384" width="12.69921875" style="83" customWidth="1"/>
  </cols>
  <sheetData>
    <row r="1" spans="1:6" s="169" customFormat="1" ht="15">
      <c r="A1" s="222" t="s">
        <v>353</v>
      </c>
      <c r="B1" s="222"/>
      <c r="C1" s="222"/>
      <c r="D1" s="222"/>
      <c r="E1" s="222"/>
      <c r="F1" s="222"/>
    </row>
    <row r="2" s="169" customFormat="1" ht="15" thickBot="1"/>
    <row r="3" spans="1:6" s="169" customFormat="1" ht="15" thickTop="1">
      <c r="A3" s="226" t="s">
        <v>5</v>
      </c>
      <c r="B3" s="217" t="s">
        <v>7</v>
      </c>
      <c r="C3" s="217" t="s">
        <v>8</v>
      </c>
      <c r="D3" s="217" t="s">
        <v>9</v>
      </c>
      <c r="E3" s="217" t="s">
        <v>266</v>
      </c>
      <c r="F3" s="224" t="s">
        <v>267</v>
      </c>
    </row>
    <row r="4" spans="1:113" s="170" customFormat="1" ht="14.25">
      <c r="A4" s="227"/>
      <c r="B4" s="218"/>
      <c r="C4" s="218"/>
      <c r="D4" s="218"/>
      <c r="E4" s="218"/>
      <c r="F4" s="225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</row>
    <row r="5" spans="1:7" ht="15">
      <c r="A5" s="171" t="s">
        <v>14</v>
      </c>
      <c r="B5" s="85">
        <v>250188277.53</v>
      </c>
      <c r="C5" s="86">
        <v>214630461</v>
      </c>
      <c r="D5" s="86">
        <v>215237100</v>
      </c>
      <c r="E5" s="86">
        <v>476049000</v>
      </c>
      <c r="F5" s="172">
        <v>289026209.6325</v>
      </c>
      <c r="G5" s="87"/>
    </row>
    <row r="6" spans="1:6" ht="15">
      <c r="A6" s="171" t="s">
        <v>15</v>
      </c>
      <c r="B6" s="85">
        <v>30003904</v>
      </c>
      <c r="C6" s="86">
        <v>19889042</v>
      </c>
      <c r="D6" s="86">
        <v>22904062</v>
      </c>
      <c r="E6" s="86">
        <v>25064000</v>
      </c>
      <c r="F6" s="172">
        <v>26630000</v>
      </c>
    </row>
    <row r="7" spans="1:6" ht="15">
      <c r="A7" s="171" t="s">
        <v>16</v>
      </c>
      <c r="B7" s="85">
        <v>69146996</v>
      </c>
      <c r="C7" s="86">
        <v>49135820</v>
      </c>
      <c r="D7" s="86">
        <v>65854808</v>
      </c>
      <c r="E7" s="86">
        <v>8945000</v>
      </c>
      <c r="F7" s="172">
        <v>24512000</v>
      </c>
    </row>
    <row r="8" spans="1:6" ht="15">
      <c r="A8" s="171" t="s">
        <v>17</v>
      </c>
      <c r="B8" s="85">
        <v>155980288</v>
      </c>
      <c r="C8" s="86">
        <v>97724268</v>
      </c>
      <c r="D8" s="86">
        <v>112885214</v>
      </c>
      <c r="E8" s="86">
        <v>124330000</v>
      </c>
      <c r="F8" s="172">
        <v>150814000</v>
      </c>
    </row>
    <row r="9" spans="1:6" ht="28.5">
      <c r="A9" s="171" t="s">
        <v>18</v>
      </c>
      <c r="B9" s="85">
        <v>29184681</v>
      </c>
      <c r="C9" s="86">
        <v>15317210</v>
      </c>
      <c r="D9" s="86">
        <v>7585766</v>
      </c>
      <c r="E9" s="86">
        <v>8112000</v>
      </c>
      <c r="F9" s="172">
        <v>10385000</v>
      </c>
    </row>
    <row r="10" spans="1:6" ht="15">
      <c r="A10" s="171" t="s">
        <v>19</v>
      </c>
      <c r="B10" s="85">
        <v>28680660</v>
      </c>
      <c r="C10" s="86">
        <v>17184342</v>
      </c>
      <c r="D10" s="86">
        <v>17479423</v>
      </c>
      <c r="E10" s="86">
        <v>17068000</v>
      </c>
      <c r="F10" s="172">
        <v>20796000</v>
      </c>
    </row>
    <row r="11" spans="1:6" ht="15">
      <c r="A11" s="171" t="s">
        <v>20</v>
      </c>
      <c r="B11" s="85">
        <v>3397350</v>
      </c>
      <c r="C11" s="86">
        <v>2620125</v>
      </c>
      <c r="D11" s="86">
        <v>7564900</v>
      </c>
      <c r="E11" s="86">
        <v>1582000</v>
      </c>
      <c r="F11" s="172">
        <v>2732000</v>
      </c>
    </row>
    <row r="12" spans="1:6" ht="15">
      <c r="A12" s="171" t="s">
        <v>21</v>
      </c>
      <c r="B12" s="85">
        <v>0</v>
      </c>
      <c r="C12" s="86">
        <v>0</v>
      </c>
      <c r="D12" s="86">
        <v>0</v>
      </c>
      <c r="E12" s="86">
        <v>0</v>
      </c>
      <c r="F12" s="172">
        <v>0</v>
      </c>
    </row>
    <row r="13" spans="1:6" ht="15">
      <c r="A13" s="171" t="s">
        <v>22</v>
      </c>
      <c r="B13" s="85">
        <v>0</v>
      </c>
      <c r="C13" s="86">
        <v>0</v>
      </c>
      <c r="D13" s="86">
        <v>0</v>
      </c>
      <c r="E13" s="86">
        <v>0</v>
      </c>
      <c r="F13" s="172">
        <v>3236000</v>
      </c>
    </row>
    <row r="14" spans="1:6" ht="28.5">
      <c r="A14" s="171" t="s">
        <v>23</v>
      </c>
      <c r="B14" s="85">
        <v>0</v>
      </c>
      <c r="C14" s="86">
        <v>1297173</v>
      </c>
      <c r="D14" s="86">
        <v>0</v>
      </c>
      <c r="E14" s="86">
        <v>0</v>
      </c>
      <c r="F14" s="172">
        <v>112000</v>
      </c>
    </row>
    <row r="15" spans="1:6" ht="28.5">
      <c r="A15" s="171" t="s">
        <v>24</v>
      </c>
      <c r="B15" s="85">
        <v>3458808.5</v>
      </c>
      <c r="C15" s="86">
        <v>165751</v>
      </c>
      <c r="D15" s="86">
        <v>674137</v>
      </c>
      <c r="E15" s="86">
        <v>272000</v>
      </c>
      <c r="F15" s="172">
        <v>370629.3333333333</v>
      </c>
    </row>
    <row r="16" spans="1:6" ht="15">
      <c r="A16" s="171" t="s">
        <v>25</v>
      </c>
      <c r="B16" s="85">
        <v>1382500</v>
      </c>
      <c r="C16" s="86">
        <v>1352860</v>
      </c>
      <c r="D16" s="86">
        <v>1353600</v>
      </c>
      <c r="E16" s="86">
        <v>958000</v>
      </c>
      <c r="F16" s="172">
        <v>1282000</v>
      </c>
    </row>
    <row r="17" spans="1:6" ht="15">
      <c r="A17" s="171" t="s">
        <v>26</v>
      </c>
      <c r="B17" s="85">
        <v>1290817</v>
      </c>
      <c r="C17" s="86">
        <v>4288166</v>
      </c>
      <c r="D17" s="86">
        <v>3161845</v>
      </c>
      <c r="E17" s="86">
        <v>1460000</v>
      </c>
      <c r="F17" s="172">
        <v>1375408.5</v>
      </c>
    </row>
    <row r="18" spans="1:6" ht="15">
      <c r="A18" s="171" t="s">
        <v>27</v>
      </c>
      <c r="B18" s="85">
        <v>17243114</v>
      </c>
      <c r="C18" s="86">
        <v>15882949</v>
      </c>
      <c r="D18" s="86">
        <v>7959189</v>
      </c>
      <c r="E18" s="86">
        <v>7550000</v>
      </c>
      <c r="F18" s="172">
        <v>14378000</v>
      </c>
    </row>
    <row r="19" spans="1:6" ht="15">
      <c r="A19" s="171" t="s">
        <v>28</v>
      </c>
      <c r="B19" s="85">
        <v>1468630.4</v>
      </c>
      <c r="C19" s="86">
        <v>234908</v>
      </c>
      <c r="D19" s="86">
        <v>334528</v>
      </c>
      <c r="E19" s="86">
        <v>536000</v>
      </c>
      <c r="F19" s="172">
        <v>284718</v>
      </c>
    </row>
    <row r="20" spans="1:6" ht="15">
      <c r="A20" s="171" t="s">
        <v>29</v>
      </c>
      <c r="B20" s="85">
        <v>0</v>
      </c>
      <c r="C20" s="86">
        <v>562453</v>
      </c>
      <c r="D20" s="86">
        <v>0</v>
      </c>
      <c r="E20" s="86">
        <v>0</v>
      </c>
      <c r="F20" s="172">
        <v>0</v>
      </c>
    </row>
    <row r="21" spans="1:6" ht="28.5">
      <c r="A21" s="171" t="s">
        <v>30</v>
      </c>
      <c r="B21" s="85">
        <v>3316876</v>
      </c>
      <c r="C21" s="86">
        <v>4770702</v>
      </c>
      <c r="D21" s="86">
        <v>1229470</v>
      </c>
      <c r="E21" s="86">
        <v>2055000</v>
      </c>
      <c r="F21" s="172">
        <v>0</v>
      </c>
    </row>
    <row r="22" spans="1:6" ht="15">
      <c r="A22" s="171" t="s">
        <v>31</v>
      </c>
      <c r="B22" s="85">
        <v>233950</v>
      </c>
      <c r="C22" s="86">
        <v>152775</v>
      </c>
      <c r="D22" s="86">
        <v>145900</v>
      </c>
      <c r="E22" s="86">
        <v>264000</v>
      </c>
      <c r="F22" s="172">
        <v>48000</v>
      </c>
    </row>
    <row r="23" spans="1:6" ht="28.5">
      <c r="A23" s="171" t="s">
        <v>32</v>
      </c>
      <c r="B23" s="85">
        <v>26715133</v>
      </c>
      <c r="C23" s="86">
        <v>31094996</v>
      </c>
      <c r="D23" s="86">
        <v>22042500</v>
      </c>
      <c r="E23" s="86">
        <v>25462000</v>
      </c>
      <c r="F23" s="172">
        <v>25705000</v>
      </c>
    </row>
    <row r="24" spans="1:6" ht="15">
      <c r="A24" s="171" t="s">
        <v>33</v>
      </c>
      <c r="B24" s="85">
        <v>2396748</v>
      </c>
      <c r="C24" s="86">
        <v>2664131</v>
      </c>
      <c r="D24" s="86">
        <v>6133004</v>
      </c>
      <c r="E24" s="86">
        <v>1939000</v>
      </c>
      <c r="F24" s="172">
        <v>0</v>
      </c>
    </row>
    <row r="25" spans="1:6" ht="15">
      <c r="A25" s="173" t="s">
        <v>207</v>
      </c>
      <c r="B25" s="85"/>
      <c r="C25" s="86"/>
      <c r="D25" s="86"/>
      <c r="E25" s="86">
        <v>0</v>
      </c>
      <c r="F25" s="172">
        <v>2000</v>
      </c>
    </row>
    <row r="26" spans="1:6" ht="15">
      <c r="A26" s="173" t="s">
        <v>208</v>
      </c>
      <c r="B26" s="85"/>
      <c r="C26" s="86"/>
      <c r="D26" s="86"/>
      <c r="E26" s="86">
        <v>0</v>
      </c>
      <c r="F26" s="172">
        <v>0</v>
      </c>
    </row>
    <row r="27" spans="1:6" ht="15">
      <c r="A27" s="171" t="s">
        <v>34</v>
      </c>
      <c r="B27" s="85">
        <v>57860363.57</v>
      </c>
      <c r="C27" s="86">
        <v>38122273</v>
      </c>
      <c r="D27" s="86">
        <v>7138310</v>
      </c>
      <c r="E27" s="86">
        <v>9434000</v>
      </c>
      <c r="F27" s="172">
        <v>23703000</v>
      </c>
    </row>
    <row r="28" spans="1:6" ht="15">
      <c r="A28" s="171" t="s">
        <v>35</v>
      </c>
      <c r="B28" s="85">
        <v>3941000</v>
      </c>
      <c r="C28" s="86">
        <v>3528900</v>
      </c>
      <c r="D28" s="86">
        <v>3719800</v>
      </c>
      <c r="E28" s="86">
        <v>5788000</v>
      </c>
      <c r="F28" s="172">
        <v>7035000</v>
      </c>
    </row>
    <row r="29" spans="1:6" ht="28.5">
      <c r="A29" s="174" t="s">
        <v>36</v>
      </c>
      <c r="B29" s="85">
        <v>1113746</v>
      </c>
      <c r="C29" s="86">
        <v>172500</v>
      </c>
      <c r="D29" s="86">
        <v>0</v>
      </c>
      <c r="E29" s="86">
        <v>830000</v>
      </c>
      <c r="F29" s="172">
        <v>0</v>
      </c>
    </row>
    <row r="30" spans="1:6" ht="15">
      <c r="A30" s="171" t="s">
        <v>37</v>
      </c>
      <c r="B30" s="85">
        <v>15026719.82</v>
      </c>
      <c r="C30" s="86">
        <v>7596317</v>
      </c>
      <c r="D30" s="86">
        <v>4968800</v>
      </c>
      <c r="E30" s="86">
        <v>5180000</v>
      </c>
      <c r="F30" s="172">
        <v>3841000</v>
      </c>
    </row>
    <row r="31" spans="1:6" ht="28.5">
      <c r="A31" s="171" t="s">
        <v>38</v>
      </c>
      <c r="B31" s="85">
        <v>246167378</v>
      </c>
      <c r="C31" s="86">
        <v>307019000</v>
      </c>
      <c r="D31" s="86">
        <v>343361894</v>
      </c>
      <c r="E31" s="86">
        <v>332080000</v>
      </c>
      <c r="F31" s="172">
        <v>392236000</v>
      </c>
    </row>
    <row r="32" spans="1:6" ht="28.5">
      <c r="A32" s="171" t="s">
        <v>39</v>
      </c>
      <c r="B32" s="85">
        <v>29682915</v>
      </c>
      <c r="C32" s="86">
        <v>3442610</v>
      </c>
      <c r="D32" s="86">
        <v>3744881</v>
      </c>
      <c r="E32" s="86">
        <v>5256000</v>
      </c>
      <c r="F32" s="172">
        <v>15126000</v>
      </c>
    </row>
    <row r="33" spans="1:6" ht="28.5">
      <c r="A33" s="171" t="s">
        <v>40</v>
      </c>
      <c r="B33" s="85">
        <v>18181471</v>
      </c>
      <c r="C33" s="86">
        <v>13095426</v>
      </c>
      <c r="D33" s="86">
        <v>8086424</v>
      </c>
      <c r="E33" s="86">
        <v>6316000</v>
      </c>
      <c r="F33" s="172">
        <v>11851000</v>
      </c>
    </row>
    <row r="34" spans="1:6" ht="15">
      <c r="A34" s="171" t="s">
        <v>41</v>
      </c>
      <c r="B34" s="85">
        <v>2937512</v>
      </c>
      <c r="C34" s="86">
        <v>0</v>
      </c>
      <c r="D34" s="86">
        <v>2469182</v>
      </c>
      <c r="E34" s="86">
        <v>2333000</v>
      </c>
      <c r="F34" s="172">
        <v>313000</v>
      </c>
    </row>
    <row r="35" spans="1:6" ht="15">
      <c r="A35" s="171" t="s">
        <v>42</v>
      </c>
      <c r="B35" s="85">
        <v>2724365.27</v>
      </c>
      <c r="C35" s="86">
        <v>3500000</v>
      </c>
      <c r="D35" s="86">
        <v>3000000</v>
      </c>
      <c r="E35" s="86">
        <v>4000000</v>
      </c>
      <c r="F35" s="172">
        <v>3790000</v>
      </c>
    </row>
    <row r="36" spans="1:6" ht="28.5">
      <c r="A36" s="171" t="s">
        <v>43</v>
      </c>
      <c r="B36" s="85">
        <v>54126615</v>
      </c>
      <c r="C36" s="86">
        <v>3693421</v>
      </c>
      <c r="D36" s="86">
        <v>5212379</v>
      </c>
      <c r="E36" s="86">
        <v>19398000</v>
      </c>
      <c r="F36" s="172">
        <v>4452900</v>
      </c>
    </row>
    <row r="37" spans="1:6" ht="15">
      <c r="A37" s="171" t="s">
        <v>44</v>
      </c>
      <c r="B37" s="85">
        <v>0</v>
      </c>
      <c r="C37" s="86">
        <v>0</v>
      </c>
      <c r="D37" s="86">
        <v>0</v>
      </c>
      <c r="E37" s="86">
        <v>0</v>
      </c>
      <c r="F37" s="172">
        <v>0</v>
      </c>
    </row>
    <row r="38" spans="1:6" ht="15">
      <c r="A38" s="171" t="s">
        <v>45</v>
      </c>
      <c r="B38" s="85">
        <v>0</v>
      </c>
      <c r="C38" s="86">
        <v>9310732</v>
      </c>
      <c r="D38" s="86">
        <v>0</v>
      </c>
      <c r="E38" s="86">
        <v>0</v>
      </c>
      <c r="F38" s="172">
        <v>776000</v>
      </c>
    </row>
    <row r="39" spans="1:6" ht="15">
      <c r="A39" s="173" t="s">
        <v>205</v>
      </c>
      <c r="B39" s="85"/>
      <c r="C39" s="86"/>
      <c r="D39" s="86"/>
      <c r="E39" s="86">
        <v>0</v>
      </c>
      <c r="F39" s="172">
        <v>0</v>
      </c>
    </row>
    <row r="40" spans="1:6" ht="15">
      <c r="A40" s="173" t="s">
        <v>210</v>
      </c>
      <c r="B40" s="85"/>
      <c r="C40" s="86"/>
      <c r="D40" s="86"/>
      <c r="E40" s="86">
        <v>0</v>
      </c>
      <c r="F40" s="172">
        <v>2197000</v>
      </c>
    </row>
    <row r="41" spans="1:6" ht="15">
      <c r="A41" s="173" t="s">
        <v>212</v>
      </c>
      <c r="B41" s="85"/>
      <c r="C41" s="86"/>
      <c r="D41" s="86"/>
      <c r="E41" s="86">
        <v>0</v>
      </c>
      <c r="F41" s="172">
        <v>0</v>
      </c>
    </row>
    <row r="42" spans="1:6" ht="15">
      <c r="A42" s="173" t="s">
        <v>219</v>
      </c>
      <c r="B42" s="85"/>
      <c r="C42" s="86"/>
      <c r="D42" s="86"/>
      <c r="E42" s="86">
        <v>0</v>
      </c>
      <c r="F42" s="172">
        <v>0</v>
      </c>
    </row>
    <row r="43" spans="1:6" ht="28.5">
      <c r="A43" s="173" t="s">
        <v>220</v>
      </c>
      <c r="B43" s="85"/>
      <c r="C43" s="86"/>
      <c r="D43" s="86"/>
      <c r="E43" s="86">
        <v>0</v>
      </c>
      <c r="F43" s="172">
        <v>17000</v>
      </c>
    </row>
    <row r="44" spans="1:6" ht="15">
      <c r="A44" s="173" t="s">
        <v>221</v>
      </c>
      <c r="B44" s="85"/>
      <c r="C44" s="86"/>
      <c r="D44" s="86"/>
      <c r="E44" s="86">
        <v>0</v>
      </c>
      <c r="F44" s="172">
        <v>17000</v>
      </c>
    </row>
    <row r="45" spans="1:6" ht="15">
      <c r="A45" s="173" t="s">
        <v>133</v>
      </c>
      <c r="B45" s="85"/>
      <c r="C45" s="86"/>
      <c r="D45" s="86"/>
      <c r="E45" s="86">
        <v>0</v>
      </c>
      <c r="F45" s="172">
        <v>12000</v>
      </c>
    </row>
    <row r="46" spans="1:6" ht="28.5">
      <c r="A46" s="171" t="s">
        <v>64</v>
      </c>
      <c r="B46" s="85">
        <v>17584923</v>
      </c>
      <c r="C46" s="86">
        <v>2018881</v>
      </c>
      <c r="D46" s="86">
        <v>0</v>
      </c>
      <c r="E46" s="86">
        <v>0</v>
      </c>
      <c r="F46" s="172">
        <v>0</v>
      </c>
    </row>
    <row r="47" spans="1:6" ht="15">
      <c r="A47" s="171" t="s">
        <v>65</v>
      </c>
      <c r="B47" s="85">
        <v>17584923</v>
      </c>
      <c r="C47" s="86">
        <v>2018881</v>
      </c>
      <c r="D47" s="86">
        <v>0</v>
      </c>
      <c r="E47" s="86">
        <v>1996000</v>
      </c>
      <c r="F47" s="172">
        <v>1034000</v>
      </c>
    </row>
    <row r="48" spans="1:6" ht="15">
      <c r="A48" s="173" t="s">
        <v>161</v>
      </c>
      <c r="B48" s="85">
        <v>0</v>
      </c>
      <c r="C48" s="86">
        <v>0</v>
      </c>
      <c r="D48" s="86">
        <v>0</v>
      </c>
      <c r="E48" s="86">
        <v>1996000</v>
      </c>
      <c r="F48" s="172">
        <v>1050000</v>
      </c>
    </row>
    <row r="49" spans="1:6" ht="15">
      <c r="A49" s="173" t="s">
        <v>157</v>
      </c>
      <c r="B49" s="85"/>
      <c r="C49" s="86"/>
      <c r="D49" s="86"/>
      <c r="E49" s="86">
        <v>10000000</v>
      </c>
      <c r="F49" s="172">
        <v>0</v>
      </c>
    </row>
    <row r="50" spans="1:6" ht="28.5">
      <c r="A50" s="173" t="s">
        <v>158</v>
      </c>
      <c r="B50" s="85"/>
      <c r="C50" s="86"/>
      <c r="D50" s="86"/>
      <c r="E50" s="86">
        <v>10567000</v>
      </c>
      <c r="F50" s="172">
        <v>20000000</v>
      </c>
    </row>
    <row r="51" spans="1:6" ht="15">
      <c r="A51" s="173" t="s">
        <v>355</v>
      </c>
      <c r="B51" s="85">
        <v>850830093</v>
      </c>
      <c r="C51" s="86">
        <v>662845200</v>
      </c>
      <c r="D51" s="86">
        <v>726055000</v>
      </c>
      <c r="E51" s="86">
        <v>529003000</v>
      </c>
      <c r="F51" s="172">
        <v>553345000</v>
      </c>
    </row>
    <row r="52" spans="1:6" ht="30">
      <c r="A52" s="175" t="s">
        <v>351</v>
      </c>
      <c r="B52" s="85">
        <f>SUM(B5:B51)</f>
        <v>1941850758.0900002</v>
      </c>
      <c r="C52" s="85">
        <f>SUM(C5:C51)</f>
        <v>1535332273</v>
      </c>
      <c r="D52" s="85">
        <f>SUM(D5:D51)</f>
        <v>1600302116</v>
      </c>
      <c r="E52" s="85">
        <f>SUM(E5:E51)</f>
        <v>1645823000</v>
      </c>
      <c r="F52" s="176">
        <f>SUM(F5:F51)</f>
        <v>1612484865.4658332</v>
      </c>
    </row>
    <row r="53" spans="1:6" ht="15">
      <c r="A53" s="175"/>
      <c r="B53" s="85"/>
      <c r="C53" s="85"/>
      <c r="D53" s="85"/>
      <c r="E53" s="85"/>
      <c r="F53" s="176"/>
    </row>
    <row r="54" spans="1:6" ht="15">
      <c r="A54" s="175" t="s">
        <v>359</v>
      </c>
      <c r="B54" s="85"/>
      <c r="C54" s="85"/>
      <c r="D54" s="85"/>
      <c r="E54" s="85"/>
      <c r="F54" s="176"/>
    </row>
    <row r="55" spans="1:6" ht="14.25">
      <c r="A55" s="223" t="s">
        <v>5</v>
      </c>
      <c r="B55" s="219" t="s">
        <v>7</v>
      </c>
      <c r="C55" s="219" t="s">
        <v>8</v>
      </c>
      <c r="D55" s="219" t="s">
        <v>9</v>
      </c>
      <c r="E55" s="219" t="s">
        <v>266</v>
      </c>
      <c r="F55" s="221" t="s">
        <v>267</v>
      </c>
    </row>
    <row r="56" spans="1:6" ht="14.25">
      <c r="A56" s="223"/>
      <c r="B56" s="220"/>
      <c r="C56" s="220"/>
      <c r="D56" s="220"/>
      <c r="E56" s="220"/>
      <c r="F56" s="133"/>
    </row>
    <row r="57" spans="1:6" ht="14.25">
      <c r="A57" s="177" t="s">
        <v>273</v>
      </c>
      <c r="B57" s="93">
        <v>408203704</v>
      </c>
      <c r="C57" s="93">
        <v>444148535</v>
      </c>
      <c r="D57" s="93">
        <v>463342985</v>
      </c>
      <c r="E57" s="93">
        <v>454341000</v>
      </c>
      <c r="F57" s="178">
        <v>358628000</v>
      </c>
    </row>
    <row r="58" spans="1:6" ht="14.25">
      <c r="A58" s="177" t="s">
        <v>274</v>
      </c>
      <c r="B58" s="93">
        <v>27895330</v>
      </c>
      <c r="C58" s="93">
        <v>13436750</v>
      </c>
      <c r="D58" s="93">
        <v>880100</v>
      </c>
      <c r="E58" s="93">
        <v>0</v>
      </c>
      <c r="F58" s="178">
        <v>0</v>
      </c>
    </row>
    <row r="59" spans="1:6" ht="14.25">
      <c r="A59" s="177" t="s">
        <v>275</v>
      </c>
      <c r="B59" s="93">
        <v>35537294</v>
      </c>
      <c r="C59" s="93">
        <v>40781729</v>
      </c>
      <c r="D59" s="93">
        <v>35657003</v>
      </c>
      <c r="E59" s="93">
        <v>36184000</v>
      </c>
      <c r="F59" s="178">
        <v>28117000</v>
      </c>
    </row>
    <row r="60" spans="1:6" ht="14.25">
      <c r="A60" s="177" t="s">
        <v>276</v>
      </c>
      <c r="B60" s="93">
        <v>9177982</v>
      </c>
      <c r="C60" s="93">
        <v>0</v>
      </c>
      <c r="D60" s="93">
        <v>0</v>
      </c>
      <c r="E60" s="93">
        <v>0</v>
      </c>
      <c r="F60" s="178">
        <v>0</v>
      </c>
    </row>
    <row r="61" spans="1:6" ht="14.25">
      <c r="A61" s="177" t="s">
        <v>326</v>
      </c>
      <c r="B61" s="93">
        <v>0</v>
      </c>
      <c r="C61" s="93">
        <v>0</v>
      </c>
      <c r="D61" s="93">
        <v>0</v>
      </c>
      <c r="E61" s="93">
        <v>8988000</v>
      </c>
      <c r="F61" s="178">
        <v>8988000</v>
      </c>
    </row>
    <row r="62" spans="1:6" ht="14.25">
      <c r="A62" s="177" t="s">
        <v>277</v>
      </c>
      <c r="B62" s="93">
        <v>10056194</v>
      </c>
      <c r="C62" s="93">
        <v>11042542</v>
      </c>
      <c r="D62" s="93">
        <v>19707169</v>
      </c>
      <c r="E62" s="93">
        <v>6025000</v>
      </c>
      <c r="F62" s="178">
        <v>4547000</v>
      </c>
    </row>
    <row r="63" spans="1:6" ht="14.25">
      <c r="A63" s="177" t="s">
        <v>278</v>
      </c>
      <c r="B63" s="93">
        <v>0</v>
      </c>
      <c r="C63" s="93">
        <v>0</v>
      </c>
      <c r="D63" s="93">
        <v>0</v>
      </c>
      <c r="E63" s="93">
        <v>1914000</v>
      </c>
      <c r="F63" s="178">
        <v>4286000</v>
      </c>
    </row>
    <row r="64" spans="1:6" ht="14.25">
      <c r="A64" s="177" t="s">
        <v>279</v>
      </c>
      <c r="B64" s="93">
        <v>0</v>
      </c>
      <c r="C64" s="93">
        <v>0</v>
      </c>
      <c r="D64" s="93">
        <v>0</v>
      </c>
      <c r="E64" s="93">
        <v>3191000</v>
      </c>
      <c r="F64" s="178">
        <v>1764000</v>
      </c>
    </row>
    <row r="65" spans="1:6" ht="14.25">
      <c r="A65" s="177" t="s">
        <v>280</v>
      </c>
      <c r="B65" s="93">
        <v>10596272</v>
      </c>
      <c r="C65" s="93">
        <v>17460996</v>
      </c>
      <c r="D65" s="93">
        <v>16828998</v>
      </c>
      <c r="E65" s="93">
        <v>10660000</v>
      </c>
      <c r="F65" s="178">
        <v>22591000</v>
      </c>
    </row>
    <row r="66" spans="1:6" ht="14.25">
      <c r="A66" s="177" t="s">
        <v>281</v>
      </c>
      <c r="B66" s="93">
        <v>8318559</v>
      </c>
      <c r="C66" s="93">
        <v>9746397</v>
      </c>
      <c r="D66" s="93">
        <v>11098510</v>
      </c>
      <c r="E66" s="93">
        <v>12836000</v>
      </c>
      <c r="F66" s="178">
        <v>23838000</v>
      </c>
    </row>
    <row r="67" spans="1:6" ht="14.25">
      <c r="A67" s="177" t="s">
        <v>282</v>
      </c>
      <c r="B67" s="93">
        <v>0</v>
      </c>
      <c r="C67" s="93">
        <v>0</v>
      </c>
      <c r="D67" s="93">
        <v>0</v>
      </c>
      <c r="E67" s="93">
        <v>0</v>
      </c>
      <c r="F67" s="178">
        <v>0</v>
      </c>
    </row>
    <row r="68" spans="1:6" ht="14.25">
      <c r="A68" s="177" t="s">
        <v>283</v>
      </c>
      <c r="B68" s="93">
        <v>136887296</v>
      </c>
      <c r="C68" s="93">
        <v>154864500</v>
      </c>
      <c r="D68" s="93">
        <v>179322911</v>
      </c>
      <c r="E68" s="93">
        <v>174990000</v>
      </c>
      <c r="F68" s="178">
        <v>157323000</v>
      </c>
    </row>
    <row r="69" spans="1:6" ht="14.25">
      <c r="A69" s="177" t="s">
        <v>284</v>
      </c>
      <c r="B69" s="93">
        <v>31977345</v>
      </c>
      <c r="C69" s="93">
        <v>42967434</v>
      </c>
      <c r="D69" s="93">
        <v>50253458</v>
      </c>
      <c r="E69" s="93">
        <v>14395000</v>
      </c>
      <c r="F69" s="178">
        <v>31901000</v>
      </c>
    </row>
    <row r="70" spans="1:6" ht="14.25">
      <c r="A70" s="177" t="s">
        <v>285</v>
      </c>
      <c r="B70" s="93">
        <v>22578189</v>
      </c>
      <c r="C70" s="93">
        <v>25374666</v>
      </c>
      <c r="D70" s="93">
        <v>27585629</v>
      </c>
      <c r="E70" s="93">
        <v>29165000</v>
      </c>
      <c r="F70" s="178">
        <v>31003000</v>
      </c>
    </row>
    <row r="71" spans="1:6" ht="14.25">
      <c r="A71" s="177" t="s">
        <v>325</v>
      </c>
      <c r="B71" s="93">
        <v>0</v>
      </c>
      <c r="C71" s="93">
        <v>0</v>
      </c>
      <c r="D71" s="93">
        <v>0</v>
      </c>
      <c r="E71" s="93">
        <v>0</v>
      </c>
      <c r="F71" s="178">
        <v>0</v>
      </c>
    </row>
    <row r="72" spans="1:6" ht="14.25">
      <c r="A72" s="177" t="s">
        <v>0</v>
      </c>
      <c r="B72" s="93">
        <v>0</v>
      </c>
      <c r="C72" s="93">
        <v>0</v>
      </c>
      <c r="D72" s="93">
        <v>0</v>
      </c>
      <c r="E72" s="93">
        <v>28413000</v>
      </c>
      <c r="F72" s="178">
        <v>29400000</v>
      </c>
    </row>
    <row r="73" spans="1:6" ht="14.25">
      <c r="A73" s="177" t="s">
        <v>286</v>
      </c>
      <c r="B73" s="93">
        <v>14840380</v>
      </c>
      <c r="C73" s="93">
        <v>17807800</v>
      </c>
      <c r="D73" s="93">
        <v>17263150</v>
      </c>
      <c r="E73" s="93">
        <v>20780000</v>
      </c>
      <c r="F73" s="178">
        <v>22283000</v>
      </c>
    </row>
    <row r="74" spans="1:6" ht="14.25">
      <c r="A74" s="177" t="s">
        <v>287</v>
      </c>
      <c r="B74" s="93">
        <v>0</v>
      </c>
      <c r="C74" s="93">
        <v>46374746</v>
      </c>
      <c r="D74" s="93">
        <v>31933333</v>
      </c>
      <c r="E74" s="93">
        <v>26640000</v>
      </c>
      <c r="F74" s="178">
        <v>24382000</v>
      </c>
    </row>
    <row r="75" spans="1:6" ht="14.25">
      <c r="A75" s="177" t="s">
        <v>288</v>
      </c>
      <c r="B75" s="93">
        <v>617714</v>
      </c>
      <c r="C75" s="93">
        <v>5003260</v>
      </c>
      <c r="D75" s="93">
        <v>0</v>
      </c>
      <c r="E75" s="93">
        <v>0</v>
      </c>
      <c r="F75" s="178">
        <v>0</v>
      </c>
    </row>
    <row r="76" spans="1:6" ht="14.25">
      <c r="A76" s="177" t="s">
        <v>289</v>
      </c>
      <c r="B76" s="93">
        <v>0</v>
      </c>
      <c r="C76" s="93">
        <v>2320343</v>
      </c>
      <c r="D76" s="93">
        <v>0</v>
      </c>
      <c r="E76" s="93">
        <v>0</v>
      </c>
      <c r="F76" s="178">
        <v>0</v>
      </c>
    </row>
    <row r="77" spans="1:6" ht="14.25">
      <c r="A77" s="177" t="s">
        <v>290</v>
      </c>
      <c r="B77" s="93">
        <v>142383649</v>
      </c>
      <c r="C77" s="93">
        <v>176222418</v>
      </c>
      <c r="D77" s="93">
        <v>199065710</v>
      </c>
      <c r="E77" s="93">
        <v>221517000</v>
      </c>
      <c r="F77" s="178">
        <v>215134000</v>
      </c>
    </row>
    <row r="78" spans="1:6" ht="14.25">
      <c r="A78" s="177" t="s">
        <v>291</v>
      </c>
      <c r="B78" s="93">
        <v>15068576</v>
      </c>
      <c r="C78" s="93">
        <v>19188802</v>
      </c>
      <c r="D78" s="93">
        <v>20987000</v>
      </c>
      <c r="E78" s="93">
        <v>23431000</v>
      </c>
      <c r="F78" s="178">
        <v>22932000</v>
      </c>
    </row>
    <row r="79" spans="1:6" ht="14.25">
      <c r="A79" s="177" t="s">
        <v>292</v>
      </c>
      <c r="B79" s="93">
        <v>9133372</v>
      </c>
      <c r="C79" s="93">
        <v>22240125</v>
      </c>
      <c r="D79" s="93">
        <v>7622032</v>
      </c>
      <c r="E79" s="93">
        <v>15690000</v>
      </c>
      <c r="F79" s="178">
        <v>17834000</v>
      </c>
    </row>
    <row r="80" spans="1:6" ht="28.5">
      <c r="A80" s="177" t="s">
        <v>1</v>
      </c>
      <c r="B80" s="93">
        <v>0</v>
      </c>
      <c r="C80" s="93">
        <v>0</v>
      </c>
      <c r="D80" s="93">
        <v>0</v>
      </c>
      <c r="E80" s="93">
        <v>1261000</v>
      </c>
      <c r="F80" s="178">
        <v>5286000</v>
      </c>
    </row>
    <row r="81" spans="1:6" ht="14.25">
      <c r="A81" s="177" t="s">
        <v>293</v>
      </c>
      <c r="B81" s="93">
        <v>7273237</v>
      </c>
      <c r="C81" s="93">
        <v>9109701</v>
      </c>
      <c r="D81" s="93">
        <v>10493619</v>
      </c>
      <c r="E81" s="93">
        <v>11465000</v>
      </c>
      <c r="F81" s="178">
        <v>11830000</v>
      </c>
    </row>
    <row r="82" spans="1:6" ht="14.25">
      <c r="A82" s="177" t="s">
        <v>294</v>
      </c>
      <c r="B82" s="93">
        <v>9495946</v>
      </c>
      <c r="C82" s="93">
        <v>10526460</v>
      </c>
      <c r="D82" s="93">
        <v>12524000</v>
      </c>
      <c r="E82" s="93">
        <v>14221000</v>
      </c>
      <c r="F82" s="178">
        <v>0</v>
      </c>
    </row>
    <row r="83" spans="1:6" ht="14.25">
      <c r="A83" s="177" t="s">
        <v>295</v>
      </c>
      <c r="B83" s="93">
        <v>9242640</v>
      </c>
      <c r="C83" s="93">
        <v>10362392</v>
      </c>
      <c r="D83" s="93">
        <v>11715491</v>
      </c>
      <c r="E83" s="93">
        <v>12818000</v>
      </c>
      <c r="F83" s="178">
        <v>12256000</v>
      </c>
    </row>
    <row r="84" spans="1:6" ht="14.25">
      <c r="A84" s="177" t="s">
        <v>296</v>
      </c>
      <c r="B84" s="93">
        <v>16651937</v>
      </c>
      <c r="C84" s="93">
        <v>23972251</v>
      </c>
      <c r="D84" s="93">
        <v>26124573</v>
      </c>
      <c r="E84" s="93">
        <v>29342000</v>
      </c>
      <c r="F84" s="178">
        <v>29691000</v>
      </c>
    </row>
    <row r="85" spans="1:6" ht="14.25">
      <c r="A85" s="177" t="s">
        <v>297</v>
      </c>
      <c r="B85" s="93">
        <v>5891969</v>
      </c>
      <c r="C85" s="93">
        <v>0</v>
      </c>
      <c r="D85" s="93">
        <v>0</v>
      </c>
      <c r="E85" s="93">
        <v>0</v>
      </c>
      <c r="F85" s="178">
        <v>0</v>
      </c>
    </row>
    <row r="86" spans="1:6" ht="28.5">
      <c r="A86" s="177" t="s">
        <v>2</v>
      </c>
      <c r="B86" s="93">
        <v>0</v>
      </c>
      <c r="C86" s="93">
        <v>0</v>
      </c>
      <c r="D86" s="93">
        <v>0</v>
      </c>
      <c r="E86" s="93">
        <v>5936000</v>
      </c>
      <c r="F86" s="178">
        <v>5640000</v>
      </c>
    </row>
    <row r="87" spans="1:6" ht="14.25">
      <c r="A87" s="177" t="s">
        <v>4</v>
      </c>
      <c r="B87" s="93">
        <v>0</v>
      </c>
      <c r="C87" s="93">
        <v>0</v>
      </c>
      <c r="D87" s="93">
        <v>0</v>
      </c>
      <c r="E87" s="93">
        <v>0</v>
      </c>
      <c r="F87" s="178">
        <v>10656000</v>
      </c>
    </row>
    <row r="88" spans="1:6" ht="28.5">
      <c r="A88" s="179" t="s">
        <v>327</v>
      </c>
      <c r="B88" s="93">
        <v>0</v>
      </c>
      <c r="C88" s="93">
        <v>0</v>
      </c>
      <c r="D88" s="93">
        <v>0</v>
      </c>
      <c r="E88" s="93">
        <v>0</v>
      </c>
      <c r="F88" s="178">
        <v>0</v>
      </c>
    </row>
    <row r="89" spans="1:6" ht="14.25">
      <c r="A89" s="179" t="s">
        <v>328</v>
      </c>
      <c r="B89" s="93">
        <v>0</v>
      </c>
      <c r="C89" s="93">
        <v>0</v>
      </c>
      <c r="D89" s="93">
        <v>0</v>
      </c>
      <c r="E89" s="93">
        <v>25527000</v>
      </c>
      <c r="F89" s="178">
        <v>23550000</v>
      </c>
    </row>
    <row r="90" spans="1:6" ht="14.25">
      <c r="A90" s="179" t="s">
        <v>329</v>
      </c>
      <c r="B90" s="93">
        <v>0</v>
      </c>
      <c r="C90" s="93">
        <v>0</v>
      </c>
      <c r="D90" s="93">
        <v>0</v>
      </c>
      <c r="E90" s="93">
        <v>36652000</v>
      </c>
      <c r="F90" s="178">
        <v>32643000</v>
      </c>
    </row>
    <row r="91" spans="1:6" ht="14.25">
      <c r="A91" s="179" t="s">
        <v>330</v>
      </c>
      <c r="B91" s="93">
        <v>0</v>
      </c>
      <c r="C91" s="93">
        <v>0</v>
      </c>
      <c r="D91" s="93">
        <v>0</v>
      </c>
      <c r="E91" s="93">
        <v>0</v>
      </c>
      <c r="F91" s="178">
        <v>0</v>
      </c>
    </row>
    <row r="92" spans="1:6" ht="14.25">
      <c r="A92" s="179" t="s">
        <v>331</v>
      </c>
      <c r="B92" s="93">
        <v>0</v>
      </c>
      <c r="C92" s="93">
        <v>0</v>
      </c>
      <c r="D92" s="93">
        <v>0</v>
      </c>
      <c r="E92" s="93">
        <v>0</v>
      </c>
      <c r="F92" s="178">
        <v>20978000</v>
      </c>
    </row>
    <row r="93" spans="1:6" ht="14.25">
      <c r="A93" s="179" t="s">
        <v>332</v>
      </c>
      <c r="B93" s="93">
        <v>0</v>
      </c>
      <c r="C93" s="93">
        <v>0</v>
      </c>
      <c r="D93" s="93">
        <v>0</v>
      </c>
      <c r="E93" s="93">
        <v>29002000</v>
      </c>
      <c r="F93" s="178">
        <v>39466000</v>
      </c>
    </row>
    <row r="94" spans="1:6" ht="28.5">
      <c r="A94" s="179" t="s">
        <v>333</v>
      </c>
      <c r="B94" s="93">
        <v>0</v>
      </c>
      <c r="C94" s="93">
        <v>0</v>
      </c>
      <c r="D94" s="93">
        <v>0</v>
      </c>
      <c r="E94" s="93">
        <v>0</v>
      </c>
      <c r="F94" s="178">
        <v>0</v>
      </c>
    </row>
    <row r="95" spans="1:6" ht="14.25">
      <c r="A95" s="179" t="s">
        <v>334</v>
      </c>
      <c r="B95" s="93">
        <v>0</v>
      </c>
      <c r="C95" s="93">
        <v>0</v>
      </c>
      <c r="D95" s="93">
        <v>0</v>
      </c>
      <c r="E95" s="93">
        <v>3191000</v>
      </c>
      <c r="F95" s="178">
        <v>2815000</v>
      </c>
    </row>
    <row r="96" spans="1:6" ht="14.25">
      <c r="A96" s="179" t="s">
        <v>335</v>
      </c>
      <c r="B96" s="93">
        <v>0</v>
      </c>
      <c r="C96" s="93">
        <v>0</v>
      </c>
      <c r="D96" s="93">
        <v>0</v>
      </c>
      <c r="E96" s="93">
        <v>19145000</v>
      </c>
      <c r="F96" s="178">
        <v>17662000</v>
      </c>
    </row>
    <row r="97" spans="1:6" ht="14.25">
      <c r="A97" s="179" t="s">
        <v>336</v>
      </c>
      <c r="B97" s="93">
        <v>0</v>
      </c>
      <c r="C97" s="93">
        <v>0</v>
      </c>
      <c r="D97" s="93">
        <v>0</v>
      </c>
      <c r="E97" s="93">
        <v>3191000</v>
      </c>
      <c r="F97" s="178">
        <v>2980000</v>
      </c>
    </row>
    <row r="98" spans="1:6" ht="28.5">
      <c r="A98" s="179" t="s">
        <v>337</v>
      </c>
      <c r="B98" s="93">
        <v>0</v>
      </c>
      <c r="C98" s="93">
        <v>0</v>
      </c>
      <c r="D98" s="93">
        <v>0</v>
      </c>
      <c r="E98" s="93">
        <v>6381000</v>
      </c>
      <c r="F98" s="178">
        <v>5958000</v>
      </c>
    </row>
    <row r="99" spans="1:6" ht="14.25">
      <c r="A99" s="179" t="s">
        <v>338</v>
      </c>
      <c r="B99" s="93">
        <v>0</v>
      </c>
      <c r="C99" s="93">
        <v>0</v>
      </c>
      <c r="D99" s="93">
        <v>0</v>
      </c>
      <c r="E99" s="93">
        <v>10991000</v>
      </c>
      <c r="F99" s="178">
        <v>12031000</v>
      </c>
    </row>
    <row r="100" spans="1:6" ht="28.5">
      <c r="A100" s="179" t="s">
        <v>339</v>
      </c>
      <c r="B100" s="93">
        <v>0</v>
      </c>
      <c r="C100" s="93">
        <v>0</v>
      </c>
      <c r="D100" s="93">
        <v>0</v>
      </c>
      <c r="E100" s="93">
        <v>18001000</v>
      </c>
      <c r="F100" s="178">
        <v>0</v>
      </c>
    </row>
    <row r="101" spans="1:6" ht="28.5">
      <c r="A101" s="179" t="s">
        <v>340</v>
      </c>
      <c r="B101" s="93">
        <v>0</v>
      </c>
      <c r="C101" s="93">
        <v>0</v>
      </c>
      <c r="D101" s="93">
        <v>0</v>
      </c>
      <c r="E101" s="93">
        <v>35400000</v>
      </c>
      <c r="F101" s="178">
        <v>18651000</v>
      </c>
    </row>
    <row r="102" spans="1:6" ht="14.25">
      <c r="A102" s="179" t="s">
        <v>341</v>
      </c>
      <c r="B102" s="93">
        <v>0</v>
      </c>
      <c r="C102" s="93">
        <v>0</v>
      </c>
      <c r="D102" s="93">
        <v>0</v>
      </c>
      <c r="E102" s="93">
        <v>14681000</v>
      </c>
      <c r="F102" s="178">
        <v>12341000</v>
      </c>
    </row>
    <row r="103" spans="1:6" ht="14.25">
      <c r="A103" s="177" t="s">
        <v>330</v>
      </c>
      <c r="B103" s="93">
        <v>0</v>
      </c>
      <c r="C103" s="93">
        <v>0</v>
      </c>
      <c r="D103" s="93">
        <v>0</v>
      </c>
      <c r="E103" s="93">
        <v>3345000</v>
      </c>
      <c r="F103" s="178">
        <v>2968000</v>
      </c>
    </row>
    <row r="104" spans="1:6" ht="28.5">
      <c r="A104" s="179" t="s">
        <v>348</v>
      </c>
      <c r="B104" s="93">
        <v>0</v>
      </c>
      <c r="C104" s="93">
        <v>0</v>
      </c>
      <c r="D104" s="93">
        <v>0</v>
      </c>
      <c r="E104" s="93">
        <v>0</v>
      </c>
      <c r="F104" s="178">
        <v>0</v>
      </c>
    </row>
    <row r="105" spans="1:6" ht="14.25">
      <c r="A105" s="177" t="s">
        <v>298</v>
      </c>
      <c r="B105" s="93">
        <v>36159421</v>
      </c>
      <c r="C105" s="93">
        <v>45543886</v>
      </c>
      <c r="D105" s="93">
        <v>10934423</v>
      </c>
      <c r="E105" s="93">
        <v>0</v>
      </c>
      <c r="F105" s="178">
        <v>0</v>
      </c>
    </row>
    <row r="106" spans="1:6" ht="14.25">
      <c r="A106" s="177" t="s">
        <v>299</v>
      </c>
      <c r="B106" s="93">
        <v>11870662</v>
      </c>
      <c r="C106" s="93">
        <v>30839696</v>
      </c>
      <c r="D106" s="93">
        <v>8866568</v>
      </c>
      <c r="E106" s="93">
        <v>0</v>
      </c>
      <c r="F106" s="178">
        <v>0</v>
      </c>
    </row>
    <row r="107" spans="1:6" ht="14.25">
      <c r="A107" s="177" t="s">
        <v>300</v>
      </c>
      <c r="B107" s="93">
        <v>9612500</v>
      </c>
      <c r="C107" s="93">
        <v>7872400</v>
      </c>
      <c r="D107" s="93">
        <v>426800</v>
      </c>
      <c r="E107" s="93">
        <v>230000</v>
      </c>
      <c r="F107" s="178">
        <v>581000</v>
      </c>
    </row>
    <row r="108" spans="1:6" ht="14.25">
      <c r="A108" s="177" t="s">
        <v>301</v>
      </c>
      <c r="B108" s="93">
        <v>33374525</v>
      </c>
      <c r="C108" s="93">
        <v>66485625</v>
      </c>
      <c r="D108" s="93">
        <v>24112461</v>
      </c>
      <c r="E108" s="93">
        <v>42820000</v>
      </c>
      <c r="F108" s="178">
        <v>33484000</v>
      </c>
    </row>
    <row r="109" spans="1:6" ht="14.25">
      <c r="A109" s="179" t="s">
        <v>343</v>
      </c>
      <c r="B109" s="93">
        <v>0</v>
      </c>
      <c r="C109" s="93">
        <v>0</v>
      </c>
      <c r="D109" s="93">
        <v>0</v>
      </c>
      <c r="E109" s="93">
        <v>0</v>
      </c>
      <c r="F109" s="178">
        <v>0</v>
      </c>
    </row>
    <row r="110" spans="1:6" ht="14.25">
      <c r="A110" s="179" t="s">
        <v>342</v>
      </c>
      <c r="B110" s="93">
        <v>0</v>
      </c>
      <c r="C110" s="93">
        <v>0</v>
      </c>
      <c r="D110" s="93">
        <v>0</v>
      </c>
      <c r="E110" s="93">
        <v>0</v>
      </c>
      <c r="F110" s="178">
        <v>0</v>
      </c>
    </row>
    <row r="111" spans="1:6" ht="14.25">
      <c r="A111" s="177" t="s">
        <v>302</v>
      </c>
      <c r="B111" s="93">
        <v>12325990</v>
      </c>
      <c r="C111" s="93">
        <v>30060714</v>
      </c>
      <c r="D111" s="93">
        <v>13730845</v>
      </c>
      <c r="E111" s="93">
        <v>12391000</v>
      </c>
      <c r="F111" s="178">
        <v>20164000</v>
      </c>
    </row>
    <row r="112" spans="1:6" ht="14.25">
      <c r="A112" s="179" t="s">
        <v>346</v>
      </c>
      <c r="B112" s="93">
        <v>0</v>
      </c>
      <c r="C112" s="93">
        <v>0</v>
      </c>
      <c r="D112" s="93">
        <v>0</v>
      </c>
      <c r="E112" s="93">
        <v>9964000</v>
      </c>
      <c r="F112" s="178">
        <v>15275000</v>
      </c>
    </row>
    <row r="113" spans="1:6" ht="14.25">
      <c r="A113" s="177" t="s">
        <v>303</v>
      </c>
      <c r="B113" s="93">
        <v>3991328</v>
      </c>
      <c r="C113" s="93">
        <v>11536655</v>
      </c>
      <c r="D113" s="93">
        <v>11721800</v>
      </c>
      <c r="E113" s="93">
        <v>0</v>
      </c>
      <c r="F113" s="178">
        <v>0</v>
      </c>
    </row>
    <row r="114" spans="1:6" ht="14.25">
      <c r="A114" s="177" t="s">
        <v>304</v>
      </c>
      <c r="B114" s="93">
        <v>2947800</v>
      </c>
      <c r="C114" s="93">
        <v>7893750</v>
      </c>
      <c r="D114" s="93">
        <v>4052336</v>
      </c>
      <c r="E114" s="93">
        <v>3854000</v>
      </c>
      <c r="F114" s="178">
        <v>4613000</v>
      </c>
    </row>
    <row r="115" spans="1:6" ht="14.25">
      <c r="A115" s="177" t="s">
        <v>305</v>
      </c>
      <c r="B115" s="93">
        <v>27176186</v>
      </c>
      <c r="C115" s="93">
        <v>37475603</v>
      </c>
      <c r="D115" s="93">
        <v>20486848</v>
      </c>
      <c r="E115" s="93">
        <v>33682000</v>
      </c>
      <c r="F115" s="178">
        <v>33718000</v>
      </c>
    </row>
    <row r="116" spans="1:6" ht="14.25">
      <c r="A116" s="177" t="s">
        <v>306</v>
      </c>
      <c r="B116" s="93">
        <v>0</v>
      </c>
      <c r="C116" s="93">
        <v>0</v>
      </c>
      <c r="D116" s="93">
        <v>0</v>
      </c>
      <c r="E116" s="93">
        <v>0</v>
      </c>
      <c r="F116" s="178">
        <v>185000</v>
      </c>
    </row>
    <row r="117" spans="1:6" ht="14.25">
      <c r="A117" s="177" t="s">
        <v>307</v>
      </c>
      <c r="B117" s="93">
        <v>0</v>
      </c>
      <c r="C117" s="93">
        <v>0</v>
      </c>
      <c r="D117" s="93">
        <v>0</v>
      </c>
      <c r="E117" s="93">
        <v>5089000</v>
      </c>
      <c r="F117" s="178">
        <v>21262000</v>
      </c>
    </row>
    <row r="118" spans="1:6" ht="14.25">
      <c r="A118" s="177" t="s">
        <v>308</v>
      </c>
      <c r="B118" s="93">
        <v>577400</v>
      </c>
      <c r="C118" s="93">
        <v>1452000</v>
      </c>
      <c r="D118" s="93">
        <v>1506000</v>
      </c>
      <c r="E118" s="93">
        <v>0</v>
      </c>
      <c r="F118" s="178">
        <v>0</v>
      </c>
    </row>
    <row r="119" spans="1:6" ht="14.25">
      <c r="A119" s="177" t="s">
        <v>309</v>
      </c>
      <c r="B119" s="93">
        <v>0</v>
      </c>
      <c r="C119" s="93">
        <v>1718600</v>
      </c>
      <c r="D119" s="93">
        <v>0</v>
      </c>
      <c r="E119" s="93">
        <v>3788000</v>
      </c>
      <c r="F119" s="178">
        <v>3511000</v>
      </c>
    </row>
    <row r="120" spans="1:6" ht="14.25">
      <c r="A120" s="177" t="s">
        <v>310</v>
      </c>
      <c r="B120" s="93">
        <v>0</v>
      </c>
      <c r="C120" s="93">
        <v>0</v>
      </c>
      <c r="D120" s="93">
        <v>0</v>
      </c>
      <c r="E120" s="93">
        <v>0</v>
      </c>
      <c r="F120" s="178">
        <v>0</v>
      </c>
    </row>
    <row r="121" spans="1:6" ht="14.25">
      <c r="A121" s="179" t="s">
        <v>349</v>
      </c>
      <c r="B121" s="93">
        <v>0</v>
      </c>
      <c r="C121" s="93">
        <v>0</v>
      </c>
      <c r="D121" s="93">
        <v>0</v>
      </c>
      <c r="E121" s="93">
        <v>6517000</v>
      </c>
      <c r="F121" s="178">
        <v>11515000</v>
      </c>
    </row>
    <row r="122" spans="1:6" ht="14.25">
      <c r="A122" s="177" t="s">
        <v>311</v>
      </c>
      <c r="B122" s="93">
        <v>0</v>
      </c>
      <c r="C122" s="93">
        <v>0</v>
      </c>
      <c r="D122" s="93">
        <v>0</v>
      </c>
      <c r="E122" s="93">
        <v>0</v>
      </c>
      <c r="F122" s="178">
        <v>0</v>
      </c>
    </row>
    <row r="123" spans="1:6" ht="28.5">
      <c r="A123" s="177" t="s">
        <v>312</v>
      </c>
      <c r="B123" s="93">
        <v>0</v>
      </c>
      <c r="C123" s="93">
        <v>157097551</v>
      </c>
      <c r="D123" s="93">
        <v>46333470</v>
      </c>
      <c r="E123" s="93">
        <v>23334000</v>
      </c>
      <c r="F123" s="178">
        <v>6481000</v>
      </c>
    </row>
    <row r="124" spans="1:6" ht="14.25">
      <c r="A124" s="177" t="s">
        <v>313</v>
      </c>
      <c r="B124" s="93">
        <v>1412068</v>
      </c>
      <c r="C124" s="93">
        <v>9008181</v>
      </c>
      <c r="D124" s="93">
        <v>27778191</v>
      </c>
      <c r="E124" s="93">
        <v>23719000</v>
      </c>
      <c r="F124" s="178">
        <v>23187000</v>
      </c>
    </row>
    <row r="125" spans="1:6" ht="14.25">
      <c r="A125" s="177" t="s">
        <v>314</v>
      </c>
      <c r="B125" s="93">
        <v>0</v>
      </c>
      <c r="C125" s="93">
        <v>450000</v>
      </c>
      <c r="D125" s="93">
        <v>0</v>
      </c>
      <c r="E125" s="93">
        <v>0</v>
      </c>
      <c r="F125" s="178">
        <v>200000</v>
      </c>
    </row>
    <row r="126" spans="1:6" ht="14.25">
      <c r="A126" s="177" t="s">
        <v>315</v>
      </c>
      <c r="B126" s="93">
        <v>35136</v>
      </c>
      <c r="C126" s="93">
        <v>0</v>
      </c>
      <c r="D126" s="93">
        <v>0</v>
      </c>
      <c r="E126" s="93">
        <v>0</v>
      </c>
      <c r="F126" s="178">
        <v>654000</v>
      </c>
    </row>
    <row r="127" spans="1:6" ht="28.5">
      <c r="A127" s="177" t="s">
        <v>316</v>
      </c>
      <c r="B127" s="93">
        <v>0</v>
      </c>
      <c r="C127" s="93">
        <v>0</v>
      </c>
      <c r="D127" s="93">
        <v>0</v>
      </c>
      <c r="E127" s="93">
        <v>2130000</v>
      </c>
      <c r="F127" s="178">
        <v>0</v>
      </c>
    </row>
    <row r="128" spans="1:6" ht="14.25">
      <c r="A128" s="177" t="s">
        <v>317</v>
      </c>
      <c r="B128" s="93">
        <v>0</v>
      </c>
      <c r="C128" s="93">
        <v>0</v>
      </c>
      <c r="D128" s="93">
        <v>0</v>
      </c>
      <c r="E128" s="93">
        <v>3052000</v>
      </c>
      <c r="F128" s="178">
        <v>0</v>
      </c>
    </row>
    <row r="129" spans="1:6" ht="14.25">
      <c r="A129" s="177" t="s">
        <v>318</v>
      </c>
      <c r="B129" s="93">
        <v>330000</v>
      </c>
      <c r="C129" s="93">
        <v>0</v>
      </c>
      <c r="D129" s="93">
        <v>150000</v>
      </c>
      <c r="E129" s="93">
        <v>0</v>
      </c>
      <c r="F129" s="178">
        <v>2735000</v>
      </c>
    </row>
    <row r="130" spans="1:6" ht="14.25">
      <c r="A130" s="177" t="s">
        <v>319</v>
      </c>
      <c r="B130" s="93">
        <v>593627</v>
      </c>
      <c r="C130" s="93">
        <v>1482550</v>
      </c>
      <c r="D130" s="93">
        <v>0</v>
      </c>
      <c r="E130" s="93">
        <v>976000</v>
      </c>
      <c r="F130" s="178">
        <v>483000</v>
      </c>
    </row>
    <row r="131" spans="1:6" ht="14.25">
      <c r="A131" s="177" t="s">
        <v>347</v>
      </c>
      <c r="B131" s="93">
        <v>0</v>
      </c>
      <c r="C131" s="93">
        <v>0</v>
      </c>
      <c r="D131" s="93">
        <v>0</v>
      </c>
      <c r="E131" s="93">
        <v>4496000</v>
      </c>
      <c r="F131" s="178">
        <v>612000</v>
      </c>
    </row>
    <row r="132" spans="1:6" ht="14.25">
      <c r="A132" s="179" t="s">
        <v>344</v>
      </c>
      <c r="B132" s="93">
        <v>0</v>
      </c>
      <c r="C132" s="93">
        <v>0</v>
      </c>
      <c r="D132" s="93">
        <v>0</v>
      </c>
      <c r="E132" s="93">
        <v>12333000</v>
      </c>
      <c r="F132" s="178">
        <v>13260000</v>
      </c>
    </row>
    <row r="133" spans="1:6" ht="14.25">
      <c r="A133" s="179" t="s">
        <v>345</v>
      </c>
      <c r="B133" s="93">
        <v>0</v>
      </c>
      <c r="C133" s="93">
        <v>0</v>
      </c>
      <c r="D133" s="93">
        <v>0</v>
      </c>
      <c r="E133" s="93">
        <v>24024000</v>
      </c>
      <c r="F133" s="178">
        <v>0</v>
      </c>
    </row>
    <row r="134" spans="1:6" ht="28.5">
      <c r="A134" s="177" t="s">
        <v>320</v>
      </c>
      <c r="B134" s="93">
        <v>0</v>
      </c>
      <c r="C134" s="93">
        <v>0</v>
      </c>
      <c r="D134" s="93">
        <v>0</v>
      </c>
      <c r="E134" s="93">
        <v>0</v>
      </c>
      <c r="F134" s="178">
        <v>0</v>
      </c>
    </row>
    <row r="135" spans="1:6" ht="14.25">
      <c r="A135" s="177" t="s">
        <v>321</v>
      </c>
      <c r="B135" s="93">
        <v>0</v>
      </c>
      <c r="C135" s="93">
        <v>5125031</v>
      </c>
      <c r="D135" s="93">
        <v>5567700</v>
      </c>
      <c r="E135" s="93">
        <v>0</v>
      </c>
      <c r="F135" s="178">
        <v>0</v>
      </c>
    </row>
    <row r="136" spans="1:6" ht="14.25">
      <c r="A136" s="177" t="s">
        <v>322</v>
      </c>
      <c r="B136" s="93">
        <v>0</v>
      </c>
      <c r="C136" s="93">
        <v>0</v>
      </c>
      <c r="D136" s="93">
        <v>0</v>
      </c>
      <c r="E136" s="93">
        <v>0</v>
      </c>
      <c r="F136" s="178">
        <v>0</v>
      </c>
    </row>
    <row r="137" spans="1:6" ht="14.25">
      <c r="A137" s="177" t="s">
        <v>323</v>
      </c>
      <c r="B137" s="93">
        <v>1009500</v>
      </c>
      <c r="C137" s="93">
        <v>1197000</v>
      </c>
      <c r="D137" s="93">
        <v>0</v>
      </c>
      <c r="E137" s="93">
        <v>0</v>
      </c>
      <c r="F137" s="178">
        <v>0</v>
      </c>
    </row>
    <row r="138" spans="1:6" ht="14.25">
      <c r="A138" s="177" t="s">
        <v>324</v>
      </c>
      <c r="B138" s="93">
        <v>1669689</v>
      </c>
      <c r="C138" s="93">
        <v>9640835</v>
      </c>
      <c r="D138" s="93">
        <v>2927500</v>
      </c>
      <c r="E138" s="93">
        <v>0</v>
      </c>
      <c r="F138" s="178">
        <v>0</v>
      </c>
    </row>
    <row r="139" spans="1:6" ht="14.25">
      <c r="A139" s="177" t="s">
        <v>319</v>
      </c>
      <c r="B139" s="93">
        <v>8381569</v>
      </c>
      <c r="C139" s="93">
        <v>628309</v>
      </c>
      <c r="D139" s="93">
        <v>1006156</v>
      </c>
      <c r="E139" s="93">
        <v>234000</v>
      </c>
      <c r="F139" s="178">
        <v>783000</v>
      </c>
    </row>
    <row r="140" spans="1:6" ht="15" thickBot="1">
      <c r="A140" s="189" t="s">
        <v>3</v>
      </c>
      <c r="B140" s="190">
        <v>0</v>
      </c>
      <c r="C140" s="190">
        <v>0</v>
      </c>
      <c r="D140" s="190">
        <v>1700000</v>
      </c>
      <c r="E140" s="190">
        <v>4545000</v>
      </c>
      <c r="F140" s="191">
        <v>1350000</v>
      </c>
    </row>
    <row r="141" spans="1:6" ht="15.75" thickTop="1">
      <c r="A141" s="186" t="s">
        <v>352</v>
      </c>
      <c r="B141" s="187">
        <f>SUM(B57:B140)</f>
        <v>1083294986</v>
      </c>
      <c r="C141" s="188">
        <f>SUM(C57:C140)</f>
        <v>1528460233</v>
      </c>
      <c r="D141" s="187">
        <f>SUM(D57:D140)</f>
        <v>1323706769</v>
      </c>
      <c r="E141" s="188">
        <f>SUM(E57:E140)</f>
        <v>1586888000</v>
      </c>
      <c r="F141" s="187">
        <f>SUM(F57:F140)</f>
        <v>1466406000</v>
      </c>
    </row>
    <row r="142" spans="1:6" ht="15">
      <c r="A142" s="180"/>
      <c r="B142" s="184"/>
      <c r="C142" s="181"/>
      <c r="D142" s="184"/>
      <c r="E142" s="181"/>
      <c r="F142" s="184"/>
    </row>
    <row r="143" spans="1:6" ht="15.75" thickBot="1">
      <c r="A143" s="182" t="s">
        <v>354</v>
      </c>
      <c r="B143" s="185">
        <f>SUM(B52-B141)</f>
        <v>858555772.0900002</v>
      </c>
      <c r="C143" s="183">
        <f>SUM(C52-C141)</f>
        <v>6872040</v>
      </c>
      <c r="D143" s="185">
        <f>SUM(D52-D141)</f>
        <v>276595347</v>
      </c>
      <c r="E143" s="183">
        <f>SUM(E52-E141)</f>
        <v>58935000</v>
      </c>
      <c r="F143" s="185">
        <f>SUM(F52-F141)</f>
        <v>146078865.4658332</v>
      </c>
    </row>
    <row r="144" ht="15" thickTop="1"/>
  </sheetData>
  <mergeCells count="13">
    <mergeCell ref="A1:F1"/>
    <mergeCell ref="A55:A56"/>
    <mergeCell ref="B55:B56"/>
    <mergeCell ref="C55:C56"/>
    <mergeCell ref="F3:F4"/>
    <mergeCell ref="E3:E4"/>
    <mergeCell ref="A3:A4"/>
    <mergeCell ref="B3:B4"/>
    <mergeCell ref="C3:C4"/>
    <mergeCell ref="D3:D4"/>
    <mergeCell ref="D55:D56"/>
    <mergeCell ref="E55:E56"/>
    <mergeCell ref="F55:F56"/>
  </mergeCells>
  <printOptions horizontalCentered="1"/>
  <pageMargins left="0.7874015748031497" right="0.7874015748031497" top="1.27" bottom="0.984251968503937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143"/>
  <sheetViews>
    <sheetView defaultGridColor="0" zoomScale="87" zoomScaleNormal="87" colorId="1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12.69921875" defaultRowHeight="15"/>
  <cols>
    <col min="1" max="1" width="21.3984375" style="141" customWidth="1"/>
    <col min="2" max="6" width="11.796875" style="141" customWidth="1"/>
    <col min="7" max="16384" width="12.69921875" style="141" customWidth="1"/>
  </cols>
  <sheetData>
    <row r="1" spans="1:6" s="134" customFormat="1" ht="12.75">
      <c r="A1" s="232" t="s">
        <v>353</v>
      </c>
      <c r="B1" s="232"/>
      <c r="C1" s="232"/>
      <c r="D1" s="232"/>
      <c r="E1" s="232"/>
      <c r="F1" s="232"/>
    </row>
    <row r="2" s="134" customFormat="1" ht="13.5" thickBot="1"/>
    <row r="3" spans="1:6" s="134" customFormat="1" ht="13.5" thickTop="1">
      <c r="A3" s="233" t="s">
        <v>5</v>
      </c>
      <c r="B3" s="230" t="s">
        <v>7</v>
      </c>
      <c r="C3" s="230" t="s">
        <v>8</v>
      </c>
      <c r="D3" s="230" t="s">
        <v>9</v>
      </c>
      <c r="E3" s="230" t="s">
        <v>266</v>
      </c>
      <c r="F3" s="228" t="s">
        <v>267</v>
      </c>
    </row>
    <row r="4" spans="1:113" s="135" customFormat="1" ht="13.5" thickBot="1">
      <c r="A4" s="234"/>
      <c r="B4" s="231"/>
      <c r="C4" s="231"/>
      <c r="D4" s="231"/>
      <c r="E4" s="231"/>
      <c r="F4" s="229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</row>
    <row r="5" spans="1:7" ht="12.75">
      <c r="A5" s="136" t="s">
        <v>14</v>
      </c>
      <c r="B5" s="137">
        <v>250188277.53</v>
      </c>
      <c r="C5" s="138">
        <v>214630461</v>
      </c>
      <c r="D5" s="138">
        <v>215237100</v>
      </c>
      <c r="E5" s="138">
        <v>476049000</v>
      </c>
      <c r="F5" s="139">
        <v>289026209.6325</v>
      </c>
      <c r="G5" s="140"/>
    </row>
    <row r="6" spans="1:6" ht="12.75">
      <c r="A6" s="142" t="s">
        <v>15</v>
      </c>
      <c r="B6" s="143">
        <v>30003904</v>
      </c>
      <c r="C6" s="144">
        <v>19889042</v>
      </c>
      <c r="D6" s="144">
        <v>22904062</v>
      </c>
      <c r="E6" s="144">
        <v>25064000</v>
      </c>
      <c r="F6" s="145">
        <v>26630000</v>
      </c>
    </row>
    <row r="7" spans="1:6" ht="12.75">
      <c r="A7" s="142" t="s">
        <v>16</v>
      </c>
      <c r="B7" s="143">
        <v>69146996</v>
      </c>
      <c r="C7" s="144">
        <v>49135820</v>
      </c>
      <c r="D7" s="144">
        <v>65854808</v>
      </c>
      <c r="E7" s="144">
        <v>8945000</v>
      </c>
      <c r="F7" s="145">
        <v>24512000</v>
      </c>
    </row>
    <row r="8" spans="1:6" ht="12.75">
      <c r="A8" s="142" t="s">
        <v>17</v>
      </c>
      <c r="B8" s="143">
        <v>155980288</v>
      </c>
      <c r="C8" s="144">
        <v>97724268</v>
      </c>
      <c r="D8" s="144">
        <v>112885214</v>
      </c>
      <c r="E8" s="144">
        <v>124330000</v>
      </c>
      <c r="F8" s="145">
        <v>150814000</v>
      </c>
    </row>
    <row r="9" spans="1:6" ht="25.5">
      <c r="A9" s="142" t="s">
        <v>18</v>
      </c>
      <c r="B9" s="143">
        <v>29184681</v>
      </c>
      <c r="C9" s="144">
        <v>15317210</v>
      </c>
      <c r="D9" s="144">
        <v>7585766</v>
      </c>
      <c r="E9" s="144">
        <v>8112000</v>
      </c>
      <c r="F9" s="145">
        <v>10385000</v>
      </c>
    </row>
    <row r="10" spans="1:6" ht="12.75">
      <c r="A10" s="142" t="s">
        <v>19</v>
      </c>
      <c r="B10" s="143">
        <v>28680660</v>
      </c>
      <c r="C10" s="144">
        <v>17184342</v>
      </c>
      <c r="D10" s="144">
        <v>17479423</v>
      </c>
      <c r="E10" s="144">
        <v>17068000</v>
      </c>
      <c r="F10" s="145">
        <v>20796000</v>
      </c>
    </row>
    <row r="11" spans="1:6" ht="12.75">
      <c r="A11" s="142" t="s">
        <v>20</v>
      </c>
      <c r="B11" s="143">
        <v>3397350</v>
      </c>
      <c r="C11" s="144">
        <v>2620125</v>
      </c>
      <c r="D11" s="144">
        <v>7564900</v>
      </c>
      <c r="E11" s="144">
        <v>1582000</v>
      </c>
      <c r="F11" s="145">
        <v>2732000</v>
      </c>
    </row>
    <row r="12" spans="1:6" ht="12.75">
      <c r="A12" s="142" t="s">
        <v>21</v>
      </c>
      <c r="B12" s="143">
        <v>0</v>
      </c>
      <c r="C12" s="144">
        <v>0</v>
      </c>
      <c r="D12" s="144">
        <v>0</v>
      </c>
      <c r="E12" s="144">
        <v>0</v>
      </c>
      <c r="F12" s="145">
        <v>0</v>
      </c>
    </row>
    <row r="13" spans="1:6" ht="12.75">
      <c r="A13" s="142" t="s">
        <v>22</v>
      </c>
      <c r="B13" s="143">
        <v>0</v>
      </c>
      <c r="C13" s="144">
        <v>0</v>
      </c>
      <c r="D13" s="144">
        <v>0</v>
      </c>
      <c r="E13" s="144">
        <v>0</v>
      </c>
      <c r="F13" s="145">
        <v>3236000</v>
      </c>
    </row>
    <row r="14" spans="1:6" ht="25.5">
      <c r="A14" s="142" t="s">
        <v>23</v>
      </c>
      <c r="B14" s="143">
        <v>0</v>
      </c>
      <c r="C14" s="144">
        <v>1297173</v>
      </c>
      <c r="D14" s="144">
        <v>0</v>
      </c>
      <c r="E14" s="144">
        <v>0</v>
      </c>
      <c r="F14" s="145">
        <v>112000</v>
      </c>
    </row>
    <row r="15" spans="1:6" ht="25.5">
      <c r="A15" s="142" t="s">
        <v>24</v>
      </c>
      <c r="B15" s="143">
        <v>3458808.5</v>
      </c>
      <c r="C15" s="144">
        <v>165751</v>
      </c>
      <c r="D15" s="144">
        <v>674137</v>
      </c>
      <c r="E15" s="144">
        <v>272000</v>
      </c>
      <c r="F15" s="145">
        <v>370629.3333333333</v>
      </c>
    </row>
    <row r="16" spans="1:6" ht="12.75">
      <c r="A16" s="142" t="s">
        <v>25</v>
      </c>
      <c r="B16" s="143">
        <v>1382500</v>
      </c>
      <c r="C16" s="144">
        <v>1352860</v>
      </c>
      <c r="D16" s="144">
        <v>1353600</v>
      </c>
      <c r="E16" s="144">
        <v>958000</v>
      </c>
      <c r="F16" s="145">
        <v>1282000</v>
      </c>
    </row>
    <row r="17" spans="1:6" ht="12.75">
      <c r="A17" s="142" t="s">
        <v>26</v>
      </c>
      <c r="B17" s="143">
        <v>1290817</v>
      </c>
      <c r="C17" s="144">
        <v>4288166</v>
      </c>
      <c r="D17" s="144">
        <v>3161845</v>
      </c>
      <c r="E17" s="144">
        <v>1460000</v>
      </c>
      <c r="F17" s="145">
        <v>1375408.5</v>
      </c>
    </row>
    <row r="18" spans="1:6" ht="12.75">
      <c r="A18" s="142" t="s">
        <v>27</v>
      </c>
      <c r="B18" s="143">
        <v>17243114</v>
      </c>
      <c r="C18" s="144">
        <v>15882949</v>
      </c>
      <c r="D18" s="144">
        <v>7959189</v>
      </c>
      <c r="E18" s="144">
        <v>7550000</v>
      </c>
      <c r="F18" s="145">
        <v>14378000</v>
      </c>
    </row>
    <row r="19" spans="1:6" ht="12.75">
      <c r="A19" s="142" t="s">
        <v>28</v>
      </c>
      <c r="B19" s="143">
        <v>1468630.4</v>
      </c>
      <c r="C19" s="144">
        <v>234908</v>
      </c>
      <c r="D19" s="144">
        <v>334528</v>
      </c>
      <c r="E19" s="144">
        <v>536000</v>
      </c>
      <c r="F19" s="145">
        <v>284718</v>
      </c>
    </row>
    <row r="20" spans="1:6" ht="12.75">
      <c r="A20" s="142" t="s">
        <v>29</v>
      </c>
      <c r="B20" s="143">
        <v>0</v>
      </c>
      <c r="C20" s="144">
        <v>562453</v>
      </c>
      <c r="D20" s="144">
        <v>0</v>
      </c>
      <c r="E20" s="144">
        <v>0</v>
      </c>
      <c r="F20" s="145">
        <v>0</v>
      </c>
    </row>
    <row r="21" spans="1:6" ht="25.5">
      <c r="A21" s="142" t="s">
        <v>30</v>
      </c>
      <c r="B21" s="143">
        <v>3316876</v>
      </c>
      <c r="C21" s="144">
        <v>4770702</v>
      </c>
      <c r="D21" s="144">
        <v>1229470</v>
      </c>
      <c r="E21" s="144">
        <v>2055000</v>
      </c>
      <c r="F21" s="145">
        <v>0</v>
      </c>
    </row>
    <row r="22" spans="1:6" ht="12.75">
      <c r="A22" s="142" t="s">
        <v>31</v>
      </c>
      <c r="B22" s="143">
        <v>233950</v>
      </c>
      <c r="C22" s="144">
        <v>152775</v>
      </c>
      <c r="D22" s="144">
        <v>145900</v>
      </c>
      <c r="E22" s="144">
        <v>264000</v>
      </c>
      <c r="F22" s="145">
        <v>48000</v>
      </c>
    </row>
    <row r="23" spans="1:6" ht="25.5">
      <c r="A23" s="142" t="s">
        <v>32</v>
      </c>
      <c r="B23" s="143">
        <v>26715133</v>
      </c>
      <c r="C23" s="144">
        <v>31094996</v>
      </c>
      <c r="D23" s="144">
        <v>22042500</v>
      </c>
      <c r="E23" s="144">
        <v>25462000</v>
      </c>
      <c r="F23" s="145">
        <v>25705000</v>
      </c>
    </row>
    <row r="24" spans="1:6" ht="12.75">
      <c r="A24" s="142" t="s">
        <v>33</v>
      </c>
      <c r="B24" s="143">
        <v>2396748</v>
      </c>
      <c r="C24" s="144">
        <v>2664131</v>
      </c>
      <c r="D24" s="144">
        <v>6133004</v>
      </c>
      <c r="E24" s="144">
        <v>1939000</v>
      </c>
      <c r="F24" s="145">
        <v>0</v>
      </c>
    </row>
    <row r="25" spans="1:6" ht="12.75">
      <c r="A25" s="146" t="s">
        <v>207</v>
      </c>
      <c r="B25" s="143"/>
      <c r="C25" s="144"/>
      <c r="D25" s="144"/>
      <c r="E25" s="144">
        <v>0</v>
      </c>
      <c r="F25" s="145">
        <v>2000</v>
      </c>
    </row>
    <row r="26" spans="1:6" ht="12.75">
      <c r="A26" s="146" t="s">
        <v>208</v>
      </c>
      <c r="B26" s="143"/>
      <c r="C26" s="144"/>
      <c r="D26" s="144"/>
      <c r="E26" s="144">
        <v>0</v>
      </c>
      <c r="F26" s="145">
        <v>0</v>
      </c>
    </row>
    <row r="27" spans="1:6" ht="12.75">
      <c r="A27" s="142" t="s">
        <v>34</v>
      </c>
      <c r="B27" s="143">
        <v>57860363.57</v>
      </c>
      <c r="C27" s="144">
        <v>38122273</v>
      </c>
      <c r="D27" s="144">
        <v>7138310</v>
      </c>
      <c r="E27" s="144">
        <v>9434000</v>
      </c>
      <c r="F27" s="145">
        <v>23703000</v>
      </c>
    </row>
    <row r="28" spans="1:6" ht="12.75">
      <c r="A28" s="142" t="s">
        <v>35</v>
      </c>
      <c r="B28" s="143">
        <v>3941000</v>
      </c>
      <c r="C28" s="144">
        <v>3528900</v>
      </c>
      <c r="D28" s="144">
        <v>3719800</v>
      </c>
      <c r="E28" s="144">
        <v>5788000</v>
      </c>
      <c r="F28" s="145">
        <v>7035000</v>
      </c>
    </row>
    <row r="29" spans="1:6" ht="25.5">
      <c r="A29" s="147" t="s">
        <v>36</v>
      </c>
      <c r="B29" s="143">
        <v>1113746</v>
      </c>
      <c r="C29" s="144">
        <v>172500</v>
      </c>
      <c r="D29" s="144">
        <v>0</v>
      </c>
      <c r="E29" s="144">
        <v>830000</v>
      </c>
      <c r="F29" s="145">
        <v>0</v>
      </c>
    </row>
    <row r="30" spans="1:6" ht="12.75">
      <c r="A30" s="142" t="s">
        <v>37</v>
      </c>
      <c r="B30" s="143">
        <v>15026719.82</v>
      </c>
      <c r="C30" s="144">
        <v>7596317</v>
      </c>
      <c r="D30" s="144">
        <v>4968800</v>
      </c>
      <c r="E30" s="144">
        <v>5180000</v>
      </c>
      <c r="F30" s="145">
        <v>3841000</v>
      </c>
    </row>
    <row r="31" spans="1:6" ht="25.5">
      <c r="A31" s="142" t="s">
        <v>38</v>
      </c>
      <c r="B31" s="143">
        <v>246167378</v>
      </c>
      <c r="C31" s="144">
        <v>307019000</v>
      </c>
      <c r="D31" s="144">
        <v>343361894</v>
      </c>
      <c r="E31" s="144">
        <v>332080000</v>
      </c>
      <c r="F31" s="145">
        <v>392236000</v>
      </c>
    </row>
    <row r="32" spans="1:6" ht="25.5">
      <c r="A32" s="142" t="s">
        <v>39</v>
      </c>
      <c r="B32" s="143">
        <v>29682915</v>
      </c>
      <c r="C32" s="144">
        <v>3442610</v>
      </c>
      <c r="D32" s="144">
        <v>3744881</v>
      </c>
      <c r="E32" s="144">
        <v>5256000</v>
      </c>
      <c r="F32" s="145">
        <v>15126000</v>
      </c>
    </row>
    <row r="33" spans="1:6" ht="25.5">
      <c r="A33" s="142" t="s">
        <v>40</v>
      </c>
      <c r="B33" s="143">
        <v>18181471</v>
      </c>
      <c r="C33" s="144">
        <v>13095426</v>
      </c>
      <c r="D33" s="144">
        <v>8086424</v>
      </c>
      <c r="E33" s="144">
        <v>6316000</v>
      </c>
      <c r="F33" s="145">
        <v>11851000</v>
      </c>
    </row>
    <row r="34" spans="1:6" ht="12.75">
      <c r="A34" s="142" t="s">
        <v>41</v>
      </c>
      <c r="B34" s="143">
        <v>2937512</v>
      </c>
      <c r="C34" s="144">
        <v>0</v>
      </c>
      <c r="D34" s="144">
        <v>2469182</v>
      </c>
      <c r="E34" s="144">
        <v>2333000</v>
      </c>
      <c r="F34" s="145">
        <v>313000</v>
      </c>
    </row>
    <row r="35" spans="1:6" ht="12.75">
      <c r="A35" s="142" t="s">
        <v>42</v>
      </c>
      <c r="B35" s="143">
        <v>2724365.27</v>
      </c>
      <c r="C35" s="144">
        <v>3500000</v>
      </c>
      <c r="D35" s="144">
        <v>3000000</v>
      </c>
      <c r="E35" s="144">
        <v>4000000</v>
      </c>
      <c r="F35" s="145">
        <v>3790000</v>
      </c>
    </row>
    <row r="36" spans="1:6" ht="25.5">
      <c r="A36" s="142" t="s">
        <v>43</v>
      </c>
      <c r="B36" s="143">
        <v>54126615</v>
      </c>
      <c r="C36" s="144">
        <v>3693421</v>
      </c>
      <c r="D36" s="144">
        <v>5212379</v>
      </c>
      <c r="E36" s="144">
        <v>19398000</v>
      </c>
      <c r="F36" s="145">
        <v>4452900</v>
      </c>
    </row>
    <row r="37" spans="1:6" ht="12.75">
      <c r="A37" s="142" t="s">
        <v>44</v>
      </c>
      <c r="B37" s="143">
        <v>0</v>
      </c>
      <c r="C37" s="144">
        <v>0</v>
      </c>
      <c r="D37" s="144">
        <v>0</v>
      </c>
      <c r="E37" s="144">
        <v>0</v>
      </c>
      <c r="F37" s="145">
        <v>0</v>
      </c>
    </row>
    <row r="38" spans="1:6" ht="12.75">
      <c r="A38" s="142" t="s">
        <v>45</v>
      </c>
      <c r="B38" s="143">
        <v>0</v>
      </c>
      <c r="C38" s="144">
        <v>9310732</v>
      </c>
      <c r="D38" s="144">
        <v>0</v>
      </c>
      <c r="E38" s="144">
        <v>0</v>
      </c>
      <c r="F38" s="145">
        <v>776000</v>
      </c>
    </row>
    <row r="39" spans="1:6" ht="12.75">
      <c r="A39" s="146" t="s">
        <v>205</v>
      </c>
      <c r="B39" s="143"/>
      <c r="C39" s="144"/>
      <c r="D39" s="144"/>
      <c r="E39" s="144">
        <v>0</v>
      </c>
      <c r="F39" s="145">
        <v>0</v>
      </c>
    </row>
    <row r="40" spans="1:6" ht="12.75">
      <c r="A40" s="146" t="s">
        <v>210</v>
      </c>
      <c r="B40" s="143"/>
      <c r="C40" s="144"/>
      <c r="D40" s="144"/>
      <c r="E40" s="144">
        <v>0</v>
      </c>
      <c r="F40" s="145">
        <v>2197000</v>
      </c>
    </row>
    <row r="41" spans="1:6" ht="12.75">
      <c r="A41" s="146" t="s">
        <v>212</v>
      </c>
      <c r="B41" s="143"/>
      <c r="C41" s="144"/>
      <c r="D41" s="144"/>
      <c r="E41" s="144">
        <v>0</v>
      </c>
      <c r="F41" s="145">
        <v>0</v>
      </c>
    </row>
    <row r="42" spans="1:6" ht="12.75">
      <c r="A42" s="146" t="s">
        <v>219</v>
      </c>
      <c r="B42" s="143"/>
      <c r="C42" s="144"/>
      <c r="D42" s="144"/>
      <c r="E42" s="144">
        <v>0</v>
      </c>
      <c r="F42" s="145">
        <v>0</v>
      </c>
    </row>
    <row r="43" spans="1:6" ht="25.5">
      <c r="A43" s="146" t="s">
        <v>220</v>
      </c>
      <c r="B43" s="143"/>
      <c r="C43" s="144"/>
      <c r="D43" s="144"/>
      <c r="E43" s="144">
        <v>0</v>
      </c>
      <c r="F43" s="145">
        <v>17000</v>
      </c>
    </row>
    <row r="44" spans="1:6" ht="12.75">
      <c r="A44" s="146" t="s">
        <v>221</v>
      </c>
      <c r="B44" s="143"/>
      <c r="C44" s="144"/>
      <c r="D44" s="144"/>
      <c r="E44" s="144">
        <v>0</v>
      </c>
      <c r="F44" s="145">
        <v>17000</v>
      </c>
    </row>
    <row r="45" spans="1:6" ht="12.75">
      <c r="A45" s="146" t="s">
        <v>133</v>
      </c>
      <c r="B45" s="143"/>
      <c r="C45" s="144"/>
      <c r="D45" s="144"/>
      <c r="E45" s="144">
        <v>0</v>
      </c>
      <c r="F45" s="145">
        <v>12000</v>
      </c>
    </row>
    <row r="46" spans="1:6" ht="12.75">
      <c r="A46" s="142"/>
      <c r="B46" s="143">
        <v>0</v>
      </c>
      <c r="C46" s="144">
        <v>0</v>
      </c>
      <c r="D46" s="144">
        <v>0</v>
      </c>
      <c r="E46" s="144">
        <v>0</v>
      </c>
      <c r="F46" s="145">
        <v>0</v>
      </c>
    </row>
    <row r="47" spans="1:6" ht="25.5">
      <c r="A47" s="142" t="s">
        <v>64</v>
      </c>
      <c r="B47" s="143">
        <v>17584923</v>
      </c>
      <c r="C47" s="144">
        <v>2018881</v>
      </c>
      <c r="D47" s="144">
        <v>0</v>
      </c>
      <c r="E47" s="144">
        <v>0</v>
      </c>
      <c r="F47" s="145">
        <v>0</v>
      </c>
    </row>
    <row r="48" spans="1:6" ht="12.75">
      <c r="A48" s="142" t="s">
        <v>65</v>
      </c>
      <c r="B48" s="143">
        <v>17584923</v>
      </c>
      <c r="C48" s="144">
        <v>2018881</v>
      </c>
      <c r="D48" s="144">
        <v>0</v>
      </c>
      <c r="E48" s="144">
        <v>1996000</v>
      </c>
      <c r="F48" s="145">
        <v>1034000</v>
      </c>
    </row>
    <row r="49" spans="1:6" ht="12.75">
      <c r="A49" s="146" t="s">
        <v>161</v>
      </c>
      <c r="B49" s="143">
        <v>0</v>
      </c>
      <c r="C49" s="144">
        <v>0</v>
      </c>
      <c r="D49" s="144">
        <v>0</v>
      </c>
      <c r="E49" s="144">
        <v>1996000</v>
      </c>
      <c r="F49" s="145">
        <v>1050000</v>
      </c>
    </row>
    <row r="50" spans="1:6" ht="12.75">
      <c r="A50" s="146"/>
      <c r="B50" s="143"/>
      <c r="C50" s="144"/>
      <c r="D50" s="144"/>
      <c r="E50" s="144">
        <v>0</v>
      </c>
      <c r="F50" s="145">
        <v>0</v>
      </c>
    </row>
    <row r="51" spans="1:6" ht="12.75">
      <c r="A51" s="146" t="s">
        <v>157</v>
      </c>
      <c r="B51" s="143"/>
      <c r="C51" s="144"/>
      <c r="D51" s="144"/>
      <c r="E51" s="144">
        <v>10000000</v>
      </c>
      <c r="F51" s="145">
        <v>0</v>
      </c>
    </row>
    <row r="52" spans="1:6" ht="25.5">
      <c r="A52" s="146" t="s">
        <v>158</v>
      </c>
      <c r="B52" s="143"/>
      <c r="C52" s="144"/>
      <c r="D52" s="144"/>
      <c r="E52" s="144">
        <v>10567000</v>
      </c>
      <c r="F52" s="145">
        <v>20000000</v>
      </c>
    </row>
    <row r="53" spans="1:6" ht="12.75">
      <c r="A53" s="146" t="s">
        <v>355</v>
      </c>
      <c r="B53" s="143">
        <v>850830093</v>
      </c>
      <c r="C53" s="144">
        <v>662845200</v>
      </c>
      <c r="D53" s="144">
        <v>726055000</v>
      </c>
      <c r="E53" s="144">
        <v>529003000</v>
      </c>
      <c r="F53" s="145">
        <v>553345000</v>
      </c>
    </row>
    <row r="54" spans="1:6" ht="12.75">
      <c r="A54" s="146"/>
      <c r="B54" s="143"/>
      <c r="C54" s="144"/>
      <c r="D54" s="144"/>
      <c r="E54" s="144"/>
      <c r="F54" s="145"/>
    </row>
    <row r="55" spans="1:6" ht="25.5">
      <c r="A55" s="148" t="s">
        <v>351</v>
      </c>
      <c r="B55" s="149">
        <f>SUM(B5:B53)</f>
        <v>1941850758.0900002</v>
      </c>
      <c r="C55" s="149">
        <f>SUM(C5:C53)</f>
        <v>1535332273</v>
      </c>
      <c r="D55" s="149">
        <f>SUM(D5:D53)</f>
        <v>1600302116</v>
      </c>
      <c r="E55" s="149">
        <f>SUM(E5:E53)</f>
        <v>1645823000</v>
      </c>
      <c r="F55" s="150">
        <f>SUM(F5:F53)</f>
        <v>1612484865.4658332</v>
      </c>
    </row>
    <row r="56" spans="1:6" ht="12.75">
      <c r="A56" s="146"/>
      <c r="B56" s="151"/>
      <c r="C56" s="151"/>
      <c r="D56" s="151"/>
      <c r="E56" s="151"/>
      <c r="F56" s="152"/>
    </row>
    <row r="57" spans="1:6" ht="12.75">
      <c r="A57" s="153" t="s">
        <v>273</v>
      </c>
      <c r="B57" s="154">
        <v>408203704</v>
      </c>
      <c r="C57" s="154">
        <v>444148535</v>
      </c>
      <c r="D57" s="154">
        <v>463342985</v>
      </c>
      <c r="E57" s="154">
        <v>454341000</v>
      </c>
      <c r="F57" s="155">
        <v>358628000</v>
      </c>
    </row>
    <row r="58" spans="1:6" ht="12.75">
      <c r="A58" s="153" t="s">
        <v>274</v>
      </c>
      <c r="B58" s="154">
        <v>27895330</v>
      </c>
      <c r="C58" s="154">
        <v>13436750</v>
      </c>
      <c r="D58" s="154">
        <v>880100</v>
      </c>
      <c r="E58" s="154">
        <v>0</v>
      </c>
      <c r="F58" s="155">
        <v>0</v>
      </c>
    </row>
    <row r="59" spans="1:6" ht="12.75">
      <c r="A59" s="153" t="s">
        <v>275</v>
      </c>
      <c r="B59" s="154">
        <v>35537294</v>
      </c>
      <c r="C59" s="154">
        <v>40781729</v>
      </c>
      <c r="D59" s="154">
        <v>35657003</v>
      </c>
      <c r="E59" s="154">
        <v>36184000</v>
      </c>
      <c r="F59" s="155">
        <v>28117000</v>
      </c>
    </row>
    <row r="60" spans="1:6" ht="12.75">
      <c r="A60" s="153" t="s">
        <v>276</v>
      </c>
      <c r="B60" s="154">
        <v>9177982</v>
      </c>
      <c r="C60" s="154">
        <v>0</v>
      </c>
      <c r="D60" s="154">
        <v>0</v>
      </c>
      <c r="E60" s="154">
        <v>0</v>
      </c>
      <c r="F60" s="155">
        <v>0</v>
      </c>
    </row>
    <row r="61" spans="1:6" ht="12.75">
      <c r="A61" s="153" t="s">
        <v>326</v>
      </c>
      <c r="B61" s="154">
        <v>0</v>
      </c>
      <c r="C61" s="154">
        <v>0</v>
      </c>
      <c r="D61" s="154">
        <v>0</v>
      </c>
      <c r="E61" s="154">
        <v>8988000</v>
      </c>
      <c r="F61" s="155">
        <v>8988000</v>
      </c>
    </row>
    <row r="62" spans="1:6" ht="12.75">
      <c r="A62" s="153" t="s">
        <v>277</v>
      </c>
      <c r="B62" s="154">
        <v>10056194</v>
      </c>
      <c r="C62" s="154">
        <v>11042542</v>
      </c>
      <c r="D62" s="154">
        <v>19707169</v>
      </c>
      <c r="E62" s="154">
        <v>6025000</v>
      </c>
      <c r="F62" s="155">
        <v>4547000</v>
      </c>
    </row>
    <row r="63" spans="1:6" ht="12.75">
      <c r="A63" s="153" t="s">
        <v>278</v>
      </c>
      <c r="B63" s="154">
        <v>0</v>
      </c>
      <c r="C63" s="154">
        <v>0</v>
      </c>
      <c r="D63" s="154">
        <v>0</v>
      </c>
      <c r="E63" s="154">
        <v>1914000</v>
      </c>
      <c r="F63" s="155">
        <v>4286000</v>
      </c>
    </row>
    <row r="64" spans="1:6" ht="12.75">
      <c r="A64" s="153" t="s">
        <v>279</v>
      </c>
      <c r="B64" s="154">
        <v>0</v>
      </c>
      <c r="C64" s="154">
        <v>0</v>
      </c>
      <c r="D64" s="154">
        <v>0</v>
      </c>
      <c r="E64" s="154">
        <v>3191000</v>
      </c>
      <c r="F64" s="155">
        <v>1764000</v>
      </c>
    </row>
    <row r="65" spans="1:6" ht="12.75">
      <c r="A65" s="153" t="s">
        <v>280</v>
      </c>
      <c r="B65" s="154">
        <v>10596272</v>
      </c>
      <c r="C65" s="154">
        <v>17460996</v>
      </c>
      <c r="D65" s="154">
        <v>16828998</v>
      </c>
      <c r="E65" s="154">
        <v>10660000</v>
      </c>
      <c r="F65" s="155">
        <v>22591000</v>
      </c>
    </row>
    <row r="66" spans="1:6" ht="12.75">
      <c r="A66" s="153" t="s">
        <v>281</v>
      </c>
      <c r="B66" s="154">
        <v>8318559</v>
      </c>
      <c r="C66" s="154">
        <v>9746397</v>
      </c>
      <c r="D66" s="154">
        <v>11098510</v>
      </c>
      <c r="E66" s="154">
        <v>12836000</v>
      </c>
      <c r="F66" s="155">
        <v>23838000</v>
      </c>
    </row>
    <row r="67" spans="1:6" ht="12.75">
      <c r="A67" s="153" t="s">
        <v>282</v>
      </c>
      <c r="B67" s="154">
        <v>0</v>
      </c>
      <c r="C67" s="154">
        <v>0</v>
      </c>
      <c r="D67" s="154">
        <v>0</v>
      </c>
      <c r="E67" s="154">
        <v>0</v>
      </c>
      <c r="F67" s="155">
        <v>0</v>
      </c>
    </row>
    <row r="68" spans="1:6" ht="12.75">
      <c r="A68" s="153" t="s">
        <v>283</v>
      </c>
      <c r="B68" s="154">
        <v>136887296</v>
      </c>
      <c r="C68" s="154">
        <v>154864500</v>
      </c>
      <c r="D68" s="154">
        <v>179322911</v>
      </c>
      <c r="E68" s="154">
        <v>174990000</v>
      </c>
      <c r="F68" s="155">
        <v>157323000</v>
      </c>
    </row>
    <row r="69" spans="1:6" ht="12.75">
      <c r="A69" s="153" t="s">
        <v>284</v>
      </c>
      <c r="B69" s="154">
        <v>31977345</v>
      </c>
      <c r="C69" s="154">
        <v>42967434</v>
      </c>
      <c r="D69" s="154">
        <v>50253458</v>
      </c>
      <c r="E69" s="154">
        <v>14395000</v>
      </c>
      <c r="F69" s="155">
        <v>31901000</v>
      </c>
    </row>
    <row r="70" spans="1:6" ht="12.75">
      <c r="A70" s="153" t="s">
        <v>285</v>
      </c>
      <c r="B70" s="154">
        <v>22578189</v>
      </c>
      <c r="C70" s="154">
        <v>25374666</v>
      </c>
      <c r="D70" s="154">
        <v>27585629</v>
      </c>
      <c r="E70" s="154">
        <v>29165000</v>
      </c>
      <c r="F70" s="155">
        <v>31003000</v>
      </c>
    </row>
    <row r="71" spans="1:6" ht="12.75">
      <c r="A71" s="153" t="s">
        <v>325</v>
      </c>
      <c r="B71" s="154">
        <v>0</v>
      </c>
      <c r="C71" s="154">
        <v>0</v>
      </c>
      <c r="D71" s="154">
        <v>0</v>
      </c>
      <c r="E71" s="154">
        <v>0</v>
      </c>
      <c r="F71" s="155">
        <v>0</v>
      </c>
    </row>
    <row r="72" spans="1:6" ht="25.5">
      <c r="A72" s="153" t="s">
        <v>0</v>
      </c>
      <c r="B72" s="154">
        <v>0</v>
      </c>
      <c r="C72" s="154">
        <v>0</v>
      </c>
      <c r="D72" s="154">
        <v>0</v>
      </c>
      <c r="E72" s="154">
        <v>28413000</v>
      </c>
      <c r="F72" s="155">
        <v>29400000</v>
      </c>
    </row>
    <row r="73" spans="1:6" ht="12.75">
      <c r="A73" s="153" t="s">
        <v>286</v>
      </c>
      <c r="B73" s="154">
        <v>14840380</v>
      </c>
      <c r="C73" s="154">
        <v>17807800</v>
      </c>
      <c r="D73" s="154">
        <v>17263150</v>
      </c>
      <c r="E73" s="154">
        <v>20780000</v>
      </c>
      <c r="F73" s="155">
        <v>22283000</v>
      </c>
    </row>
    <row r="74" spans="1:6" ht="12.75">
      <c r="A74" s="153" t="s">
        <v>287</v>
      </c>
      <c r="B74" s="154">
        <v>0</v>
      </c>
      <c r="C74" s="154">
        <v>46374746</v>
      </c>
      <c r="D74" s="154">
        <v>31933333</v>
      </c>
      <c r="E74" s="154">
        <v>26640000</v>
      </c>
      <c r="F74" s="155">
        <v>24382000</v>
      </c>
    </row>
    <row r="75" spans="1:6" ht="12.75">
      <c r="A75" s="153" t="s">
        <v>288</v>
      </c>
      <c r="B75" s="154">
        <v>617714</v>
      </c>
      <c r="C75" s="154">
        <v>5003260</v>
      </c>
      <c r="D75" s="154">
        <v>0</v>
      </c>
      <c r="E75" s="154">
        <v>0</v>
      </c>
      <c r="F75" s="155">
        <v>0</v>
      </c>
    </row>
    <row r="76" spans="1:6" ht="12.75">
      <c r="A76" s="153" t="s">
        <v>289</v>
      </c>
      <c r="B76" s="154">
        <v>0</v>
      </c>
      <c r="C76" s="154">
        <v>2320343</v>
      </c>
      <c r="D76" s="154">
        <v>0</v>
      </c>
      <c r="E76" s="154">
        <v>0</v>
      </c>
      <c r="F76" s="155">
        <v>0</v>
      </c>
    </row>
    <row r="77" spans="1:6" ht="12.75">
      <c r="A77" s="153" t="s">
        <v>290</v>
      </c>
      <c r="B77" s="154">
        <v>142383649</v>
      </c>
      <c r="C77" s="154">
        <v>176222418</v>
      </c>
      <c r="D77" s="154">
        <v>199065710</v>
      </c>
      <c r="E77" s="154">
        <v>221517000</v>
      </c>
      <c r="F77" s="155">
        <v>215134000</v>
      </c>
    </row>
    <row r="78" spans="1:6" ht="12.75">
      <c r="A78" s="153" t="s">
        <v>291</v>
      </c>
      <c r="B78" s="154">
        <v>15068576</v>
      </c>
      <c r="C78" s="154">
        <v>19188802</v>
      </c>
      <c r="D78" s="154">
        <v>20987000</v>
      </c>
      <c r="E78" s="154">
        <v>23431000</v>
      </c>
      <c r="F78" s="155">
        <v>22932000</v>
      </c>
    </row>
    <row r="79" spans="1:6" ht="12.75">
      <c r="A79" s="153" t="s">
        <v>292</v>
      </c>
      <c r="B79" s="154">
        <v>9133372</v>
      </c>
      <c r="C79" s="154">
        <v>22240125</v>
      </c>
      <c r="D79" s="154">
        <v>7622032</v>
      </c>
      <c r="E79" s="154">
        <v>15690000</v>
      </c>
      <c r="F79" s="155">
        <v>17834000</v>
      </c>
    </row>
    <row r="80" spans="1:6" ht="25.5">
      <c r="A80" s="153" t="s">
        <v>1</v>
      </c>
      <c r="B80" s="154">
        <v>0</v>
      </c>
      <c r="C80" s="154">
        <v>0</v>
      </c>
      <c r="D80" s="154">
        <v>0</v>
      </c>
      <c r="E80" s="154">
        <v>1261000</v>
      </c>
      <c r="F80" s="155">
        <v>5286000</v>
      </c>
    </row>
    <row r="81" spans="1:6" ht="12.75">
      <c r="A81" s="153" t="s">
        <v>293</v>
      </c>
      <c r="B81" s="154">
        <v>7273237</v>
      </c>
      <c r="C81" s="154">
        <v>9109701</v>
      </c>
      <c r="D81" s="154">
        <v>10493619</v>
      </c>
      <c r="E81" s="154">
        <v>11465000</v>
      </c>
      <c r="F81" s="155">
        <v>11830000</v>
      </c>
    </row>
    <row r="82" spans="1:6" ht="12.75">
      <c r="A82" s="153" t="s">
        <v>294</v>
      </c>
      <c r="B82" s="154">
        <v>9495946</v>
      </c>
      <c r="C82" s="154">
        <v>10526460</v>
      </c>
      <c r="D82" s="154">
        <v>12524000</v>
      </c>
      <c r="E82" s="154">
        <v>14221000</v>
      </c>
      <c r="F82" s="155">
        <v>0</v>
      </c>
    </row>
    <row r="83" spans="1:6" ht="12.75">
      <c r="A83" s="153" t="s">
        <v>295</v>
      </c>
      <c r="B83" s="154">
        <v>9242640</v>
      </c>
      <c r="C83" s="154">
        <v>10362392</v>
      </c>
      <c r="D83" s="154">
        <v>11715491</v>
      </c>
      <c r="E83" s="154">
        <v>12818000</v>
      </c>
      <c r="F83" s="155">
        <v>12256000</v>
      </c>
    </row>
    <row r="84" spans="1:6" ht="12.75">
      <c r="A84" s="153" t="s">
        <v>296</v>
      </c>
      <c r="B84" s="154">
        <v>16651937</v>
      </c>
      <c r="C84" s="154">
        <v>23972251</v>
      </c>
      <c r="D84" s="154">
        <v>26124573</v>
      </c>
      <c r="E84" s="154">
        <v>29342000</v>
      </c>
      <c r="F84" s="155">
        <v>29691000</v>
      </c>
    </row>
    <row r="85" spans="1:6" ht="25.5">
      <c r="A85" s="153" t="s">
        <v>297</v>
      </c>
      <c r="B85" s="154">
        <v>5891969</v>
      </c>
      <c r="C85" s="154">
        <v>0</v>
      </c>
      <c r="D85" s="154">
        <v>0</v>
      </c>
      <c r="E85" s="154">
        <v>0</v>
      </c>
      <c r="F85" s="155">
        <v>0</v>
      </c>
    </row>
    <row r="86" spans="1:6" ht="25.5">
      <c r="A86" s="153" t="s">
        <v>2</v>
      </c>
      <c r="B86" s="154">
        <v>0</v>
      </c>
      <c r="C86" s="154">
        <v>0</v>
      </c>
      <c r="D86" s="154">
        <v>0</v>
      </c>
      <c r="E86" s="154">
        <v>5936000</v>
      </c>
      <c r="F86" s="155">
        <v>5640000</v>
      </c>
    </row>
    <row r="87" spans="1:6" ht="12.75">
      <c r="A87" s="153" t="s">
        <v>4</v>
      </c>
      <c r="B87" s="154">
        <v>0</v>
      </c>
      <c r="C87" s="154">
        <v>0</v>
      </c>
      <c r="D87" s="154">
        <v>0</v>
      </c>
      <c r="E87" s="154">
        <v>0</v>
      </c>
      <c r="F87" s="155">
        <v>10656000</v>
      </c>
    </row>
    <row r="88" spans="1:6" ht="25.5">
      <c r="A88" s="156" t="s">
        <v>327</v>
      </c>
      <c r="B88" s="154">
        <v>0</v>
      </c>
      <c r="C88" s="154">
        <v>0</v>
      </c>
      <c r="D88" s="154">
        <v>0</v>
      </c>
      <c r="E88" s="154">
        <v>0</v>
      </c>
      <c r="F88" s="155">
        <v>0</v>
      </c>
    </row>
    <row r="89" spans="1:6" ht="12.75">
      <c r="A89" s="156" t="s">
        <v>328</v>
      </c>
      <c r="B89" s="154">
        <v>0</v>
      </c>
      <c r="C89" s="154">
        <v>0</v>
      </c>
      <c r="D89" s="154">
        <v>0</v>
      </c>
      <c r="E89" s="154">
        <v>25527000</v>
      </c>
      <c r="F89" s="155">
        <v>23550000</v>
      </c>
    </row>
    <row r="90" spans="1:6" ht="12.75">
      <c r="A90" s="156" t="s">
        <v>329</v>
      </c>
      <c r="B90" s="154">
        <v>0</v>
      </c>
      <c r="C90" s="154">
        <v>0</v>
      </c>
      <c r="D90" s="154">
        <v>0</v>
      </c>
      <c r="E90" s="154">
        <v>36652000</v>
      </c>
      <c r="F90" s="155">
        <v>32643000</v>
      </c>
    </row>
    <row r="91" spans="1:6" ht="12.75">
      <c r="A91" s="156" t="s">
        <v>330</v>
      </c>
      <c r="B91" s="154">
        <v>0</v>
      </c>
      <c r="C91" s="154">
        <v>0</v>
      </c>
      <c r="D91" s="154">
        <v>0</v>
      </c>
      <c r="E91" s="154">
        <v>0</v>
      </c>
      <c r="F91" s="155">
        <v>0</v>
      </c>
    </row>
    <row r="92" spans="1:6" ht="12.75">
      <c r="A92" s="156" t="s">
        <v>331</v>
      </c>
      <c r="B92" s="154">
        <v>0</v>
      </c>
      <c r="C92" s="154">
        <v>0</v>
      </c>
      <c r="D92" s="154">
        <v>0</v>
      </c>
      <c r="E92" s="154">
        <v>0</v>
      </c>
      <c r="F92" s="155">
        <v>20978000</v>
      </c>
    </row>
    <row r="93" spans="1:6" ht="25.5">
      <c r="A93" s="156" t="s">
        <v>332</v>
      </c>
      <c r="B93" s="154">
        <v>0</v>
      </c>
      <c r="C93" s="154">
        <v>0</v>
      </c>
      <c r="D93" s="154">
        <v>0</v>
      </c>
      <c r="E93" s="154">
        <v>29002000</v>
      </c>
      <c r="F93" s="155">
        <v>39466000</v>
      </c>
    </row>
    <row r="94" spans="1:6" ht="25.5">
      <c r="A94" s="156" t="s">
        <v>369</v>
      </c>
      <c r="B94" s="154">
        <v>0</v>
      </c>
      <c r="C94" s="154">
        <v>0</v>
      </c>
      <c r="D94" s="154">
        <v>0</v>
      </c>
      <c r="E94" s="154">
        <v>0</v>
      </c>
      <c r="F94" s="155">
        <v>0</v>
      </c>
    </row>
    <row r="95" spans="1:6" ht="12.75">
      <c r="A95" s="156" t="s">
        <v>334</v>
      </c>
      <c r="B95" s="154">
        <v>0</v>
      </c>
      <c r="C95" s="154">
        <v>0</v>
      </c>
      <c r="D95" s="154">
        <v>0</v>
      </c>
      <c r="E95" s="154">
        <v>3191000</v>
      </c>
      <c r="F95" s="155">
        <v>2815000</v>
      </c>
    </row>
    <row r="96" spans="1:6" ht="12.75">
      <c r="A96" s="156" t="s">
        <v>335</v>
      </c>
      <c r="B96" s="154">
        <v>0</v>
      </c>
      <c r="C96" s="154">
        <v>0</v>
      </c>
      <c r="D96" s="154">
        <v>0</v>
      </c>
      <c r="E96" s="154">
        <v>19145000</v>
      </c>
      <c r="F96" s="155">
        <v>17662000</v>
      </c>
    </row>
    <row r="97" spans="1:6" ht="12.75">
      <c r="A97" s="156" t="s">
        <v>336</v>
      </c>
      <c r="B97" s="154">
        <v>0</v>
      </c>
      <c r="C97" s="154">
        <v>0</v>
      </c>
      <c r="D97" s="154">
        <v>0</v>
      </c>
      <c r="E97" s="154">
        <v>3191000</v>
      </c>
      <c r="F97" s="155">
        <v>2980000</v>
      </c>
    </row>
    <row r="98" spans="1:6" ht="25.5">
      <c r="A98" s="156" t="s">
        <v>337</v>
      </c>
      <c r="B98" s="154">
        <v>0</v>
      </c>
      <c r="C98" s="154">
        <v>0</v>
      </c>
      <c r="D98" s="154">
        <v>0</v>
      </c>
      <c r="E98" s="154">
        <v>6381000</v>
      </c>
      <c r="F98" s="155">
        <v>5958000</v>
      </c>
    </row>
    <row r="99" spans="1:6" ht="12.75">
      <c r="A99" s="156" t="s">
        <v>338</v>
      </c>
      <c r="B99" s="154">
        <v>0</v>
      </c>
      <c r="C99" s="154">
        <v>0</v>
      </c>
      <c r="D99" s="154">
        <v>0</v>
      </c>
      <c r="E99" s="154">
        <v>10991000</v>
      </c>
      <c r="F99" s="155">
        <v>12031000</v>
      </c>
    </row>
    <row r="100" spans="1:6" ht="25.5">
      <c r="A100" s="156" t="s">
        <v>370</v>
      </c>
      <c r="B100" s="154">
        <v>0</v>
      </c>
      <c r="C100" s="154">
        <v>0</v>
      </c>
      <c r="D100" s="154">
        <v>0</v>
      </c>
      <c r="E100" s="154">
        <v>18001000</v>
      </c>
      <c r="F100" s="155">
        <v>0</v>
      </c>
    </row>
    <row r="101" spans="1:6" ht="25.5">
      <c r="A101" s="156" t="s">
        <v>340</v>
      </c>
      <c r="B101" s="154">
        <v>0</v>
      </c>
      <c r="C101" s="154">
        <v>0</v>
      </c>
      <c r="D101" s="154">
        <v>0</v>
      </c>
      <c r="E101" s="154">
        <v>35400000</v>
      </c>
      <c r="F101" s="155">
        <v>18651000</v>
      </c>
    </row>
    <row r="102" spans="1:6" ht="12.75">
      <c r="A102" s="156" t="s">
        <v>341</v>
      </c>
      <c r="B102" s="154">
        <v>0</v>
      </c>
      <c r="C102" s="154">
        <v>0</v>
      </c>
      <c r="D102" s="154">
        <v>0</v>
      </c>
      <c r="E102" s="154">
        <v>14681000</v>
      </c>
      <c r="F102" s="155">
        <v>12341000</v>
      </c>
    </row>
    <row r="103" spans="1:6" ht="12.75">
      <c r="A103" s="153" t="s">
        <v>330</v>
      </c>
      <c r="B103" s="154">
        <v>0</v>
      </c>
      <c r="C103" s="154">
        <v>0</v>
      </c>
      <c r="D103" s="154">
        <v>0</v>
      </c>
      <c r="E103" s="154">
        <v>3345000</v>
      </c>
      <c r="F103" s="155">
        <v>2968000</v>
      </c>
    </row>
    <row r="104" spans="1:6" ht="25.5">
      <c r="A104" s="156" t="s">
        <v>348</v>
      </c>
      <c r="B104" s="154">
        <v>0</v>
      </c>
      <c r="C104" s="154">
        <v>0</v>
      </c>
      <c r="D104" s="154">
        <v>0</v>
      </c>
      <c r="E104" s="154">
        <v>0</v>
      </c>
      <c r="F104" s="155">
        <v>0</v>
      </c>
    </row>
    <row r="105" spans="1:6" ht="25.5">
      <c r="A105" s="153" t="s">
        <v>298</v>
      </c>
      <c r="B105" s="154">
        <v>36159421</v>
      </c>
      <c r="C105" s="154">
        <v>45543886</v>
      </c>
      <c r="D105" s="154">
        <v>10934423</v>
      </c>
      <c r="E105" s="154">
        <v>0</v>
      </c>
      <c r="F105" s="155">
        <v>0</v>
      </c>
    </row>
    <row r="106" spans="1:6" ht="12.75">
      <c r="A106" s="153" t="s">
        <v>299</v>
      </c>
      <c r="B106" s="154">
        <v>11870662</v>
      </c>
      <c r="C106" s="154">
        <v>30839696</v>
      </c>
      <c r="D106" s="154">
        <v>8866568</v>
      </c>
      <c r="E106" s="154">
        <v>0</v>
      </c>
      <c r="F106" s="155">
        <v>0</v>
      </c>
    </row>
    <row r="107" spans="1:6" ht="12.75">
      <c r="A107" s="153" t="s">
        <v>300</v>
      </c>
      <c r="B107" s="154">
        <v>9612500</v>
      </c>
      <c r="C107" s="154">
        <v>7872400</v>
      </c>
      <c r="D107" s="154">
        <v>426800</v>
      </c>
      <c r="E107" s="154">
        <v>230000</v>
      </c>
      <c r="F107" s="155">
        <v>581000</v>
      </c>
    </row>
    <row r="108" spans="1:6" ht="12.75">
      <c r="A108" s="153" t="s">
        <v>301</v>
      </c>
      <c r="B108" s="154">
        <v>33374525</v>
      </c>
      <c r="C108" s="154">
        <v>66485625</v>
      </c>
      <c r="D108" s="154">
        <v>24112461</v>
      </c>
      <c r="E108" s="154">
        <v>42820000</v>
      </c>
      <c r="F108" s="155">
        <v>33484000</v>
      </c>
    </row>
    <row r="109" spans="1:6" ht="12.75">
      <c r="A109" s="156" t="s">
        <v>343</v>
      </c>
      <c r="B109" s="154">
        <v>0</v>
      </c>
      <c r="C109" s="154">
        <v>0</v>
      </c>
      <c r="D109" s="154">
        <v>0</v>
      </c>
      <c r="E109" s="154">
        <v>0</v>
      </c>
      <c r="F109" s="155">
        <v>0</v>
      </c>
    </row>
    <row r="110" spans="1:6" ht="12.75">
      <c r="A110" s="156" t="s">
        <v>342</v>
      </c>
      <c r="B110" s="154">
        <v>0</v>
      </c>
      <c r="C110" s="154">
        <v>0</v>
      </c>
      <c r="D110" s="154">
        <v>0</v>
      </c>
      <c r="E110" s="154">
        <v>0</v>
      </c>
      <c r="F110" s="155">
        <v>0</v>
      </c>
    </row>
    <row r="111" spans="1:6" ht="12.75">
      <c r="A111" s="153" t="s">
        <v>302</v>
      </c>
      <c r="B111" s="154">
        <v>12325990</v>
      </c>
      <c r="C111" s="154">
        <v>30060714</v>
      </c>
      <c r="D111" s="154">
        <v>13730845</v>
      </c>
      <c r="E111" s="154">
        <v>12391000</v>
      </c>
      <c r="F111" s="155">
        <v>20164000</v>
      </c>
    </row>
    <row r="112" spans="1:6" ht="12.75">
      <c r="A112" s="156" t="s">
        <v>346</v>
      </c>
      <c r="B112" s="154">
        <v>0</v>
      </c>
      <c r="C112" s="154">
        <v>0</v>
      </c>
      <c r="D112" s="154">
        <v>0</v>
      </c>
      <c r="E112" s="154">
        <v>9964000</v>
      </c>
      <c r="F112" s="155">
        <v>15275000</v>
      </c>
    </row>
    <row r="113" spans="1:6" ht="12.75">
      <c r="A113" s="153" t="s">
        <v>303</v>
      </c>
      <c r="B113" s="154">
        <v>3991328</v>
      </c>
      <c r="C113" s="154">
        <v>11536655</v>
      </c>
      <c r="D113" s="154">
        <v>11721800</v>
      </c>
      <c r="E113" s="154">
        <v>0</v>
      </c>
      <c r="F113" s="155">
        <v>0</v>
      </c>
    </row>
    <row r="114" spans="1:6" ht="25.5">
      <c r="A114" s="153" t="s">
        <v>304</v>
      </c>
      <c r="B114" s="154">
        <v>2947800</v>
      </c>
      <c r="C114" s="154">
        <v>7893750</v>
      </c>
      <c r="D114" s="154">
        <v>4052336</v>
      </c>
      <c r="E114" s="154">
        <v>3854000</v>
      </c>
      <c r="F114" s="155">
        <v>4613000</v>
      </c>
    </row>
    <row r="115" spans="1:6" ht="12.75">
      <c r="A115" s="153" t="s">
        <v>305</v>
      </c>
      <c r="B115" s="154">
        <v>27176186</v>
      </c>
      <c r="C115" s="154">
        <v>37475603</v>
      </c>
      <c r="D115" s="154">
        <v>20486848</v>
      </c>
      <c r="E115" s="154">
        <v>33682000</v>
      </c>
      <c r="F115" s="155">
        <v>33718000</v>
      </c>
    </row>
    <row r="116" spans="1:6" ht="12.75">
      <c r="A116" s="153" t="s">
        <v>306</v>
      </c>
      <c r="B116" s="154">
        <v>0</v>
      </c>
      <c r="C116" s="154">
        <v>0</v>
      </c>
      <c r="D116" s="154">
        <v>0</v>
      </c>
      <c r="E116" s="154">
        <v>0</v>
      </c>
      <c r="F116" s="155">
        <v>185000</v>
      </c>
    </row>
    <row r="117" spans="1:6" ht="12.75">
      <c r="A117" s="153" t="s">
        <v>307</v>
      </c>
      <c r="B117" s="154">
        <v>0</v>
      </c>
      <c r="C117" s="154">
        <v>0</v>
      </c>
      <c r="D117" s="154">
        <v>0</v>
      </c>
      <c r="E117" s="154">
        <v>5089000</v>
      </c>
      <c r="F117" s="155">
        <v>21262000</v>
      </c>
    </row>
    <row r="118" spans="1:6" ht="12.75">
      <c r="A118" s="153" t="s">
        <v>308</v>
      </c>
      <c r="B118" s="154">
        <v>577400</v>
      </c>
      <c r="C118" s="154">
        <v>1452000</v>
      </c>
      <c r="D118" s="154">
        <v>1506000</v>
      </c>
      <c r="E118" s="154">
        <v>0</v>
      </c>
      <c r="F118" s="155">
        <v>0</v>
      </c>
    </row>
    <row r="119" spans="1:6" ht="12.75">
      <c r="A119" s="153" t="s">
        <v>309</v>
      </c>
      <c r="B119" s="154">
        <v>0</v>
      </c>
      <c r="C119" s="154">
        <v>1718600</v>
      </c>
      <c r="D119" s="154">
        <v>0</v>
      </c>
      <c r="E119" s="154">
        <v>3788000</v>
      </c>
      <c r="F119" s="155">
        <v>3511000</v>
      </c>
    </row>
    <row r="120" spans="1:6" ht="12.75">
      <c r="A120" s="153" t="s">
        <v>310</v>
      </c>
      <c r="B120" s="154">
        <v>0</v>
      </c>
      <c r="C120" s="154">
        <v>0</v>
      </c>
      <c r="D120" s="154">
        <v>0</v>
      </c>
      <c r="E120" s="154">
        <v>0</v>
      </c>
      <c r="F120" s="155">
        <v>0</v>
      </c>
    </row>
    <row r="121" spans="1:6" ht="12.75">
      <c r="A121" s="156" t="s">
        <v>349</v>
      </c>
      <c r="B121" s="154">
        <v>0</v>
      </c>
      <c r="C121" s="154">
        <v>0</v>
      </c>
      <c r="D121" s="154">
        <v>0</v>
      </c>
      <c r="E121" s="154">
        <v>6517000</v>
      </c>
      <c r="F121" s="155">
        <v>11515000</v>
      </c>
    </row>
    <row r="122" spans="1:6" ht="12.75">
      <c r="A122" s="153" t="s">
        <v>311</v>
      </c>
      <c r="B122" s="154">
        <v>0</v>
      </c>
      <c r="C122" s="154">
        <v>0</v>
      </c>
      <c r="D122" s="154">
        <v>0</v>
      </c>
      <c r="E122" s="154">
        <v>0</v>
      </c>
      <c r="F122" s="155">
        <v>0</v>
      </c>
    </row>
    <row r="123" spans="1:6" ht="25.5">
      <c r="A123" s="153" t="s">
        <v>312</v>
      </c>
      <c r="B123" s="154">
        <v>0</v>
      </c>
      <c r="C123" s="154">
        <v>157097551</v>
      </c>
      <c r="D123" s="154">
        <v>46333470</v>
      </c>
      <c r="E123" s="154">
        <v>23334000</v>
      </c>
      <c r="F123" s="155">
        <v>6481000</v>
      </c>
    </row>
    <row r="124" spans="1:6" ht="12.75">
      <c r="A124" s="153" t="s">
        <v>313</v>
      </c>
      <c r="B124" s="154">
        <v>1412068</v>
      </c>
      <c r="C124" s="154">
        <v>9008181</v>
      </c>
      <c r="D124" s="154">
        <v>27778191</v>
      </c>
      <c r="E124" s="154">
        <v>23719000</v>
      </c>
      <c r="F124" s="155">
        <v>23187000</v>
      </c>
    </row>
    <row r="125" spans="1:6" ht="12.75">
      <c r="A125" s="153" t="s">
        <v>314</v>
      </c>
      <c r="B125" s="154">
        <v>0</v>
      </c>
      <c r="C125" s="154">
        <v>450000</v>
      </c>
      <c r="D125" s="154">
        <v>0</v>
      </c>
      <c r="E125" s="154">
        <v>0</v>
      </c>
      <c r="F125" s="155">
        <v>200000</v>
      </c>
    </row>
    <row r="126" spans="1:6" ht="12.75">
      <c r="A126" s="153" t="s">
        <v>315</v>
      </c>
      <c r="B126" s="154">
        <v>35136</v>
      </c>
      <c r="C126" s="154">
        <v>0</v>
      </c>
      <c r="D126" s="154">
        <v>0</v>
      </c>
      <c r="E126" s="154">
        <v>0</v>
      </c>
      <c r="F126" s="155">
        <v>654000</v>
      </c>
    </row>
    <row r="127" spans="1:6" ht="25.5">
      <c r="A127" s="153" t="s">
        <v>316</v>
      </c>
      <c r="B127" s="154">
        <v>0</v>
      </c>
      <c r="C127" s="154">
        <v>0</v>
      </c>
      <c r="D127" s="154">
        <v>0</v>
      </c>
      <c r="E127" s="154">
        <v>2130000</v>
      </c>
      <c r="F127" s="155">
        <v>0</v>
      </c>
    </row>
    <row r="128" spans="1:6" ht="12.75">
      <c r="A128" s="153" t="s">
        <v>317</v>
      </c>
      <c r="B128" s="154">
        <v>0</v>
      </c>
      <c r="C128" s="154">
        <v>0</v>
      </c>
      <c r="D128" s="154">
        <v>0</v>
      </c>
      <c r="E128" s="154">
        <v>3052000</v>
      </c>
      <c r="F128" s="155">
        <v>0</v>
      </c>
    </row>
    <row r="129" spans="1:6" ht="12.75">
      <c r="A129" s="153" t="s">
        <v>318</v>
      </c>
      <c r="B129" s="154">
        <v>330000</v>
      </c>
      <c r="C129" s="154">
        <v>0</v>
      </c>
      <c r="D129" s="154">
        <v>150000</v>
      </c>
      <c r="E129" s="154">
        <v>0</v>
      </c>
      <c r="F129" s="155">
        <v>2735000</v>
      </c>
    </row>
    <row r="130" spans="1:6" ht="12.75">
      <c r="A130" s="153" t="s">
        <v>319</v>
      </c>
      <c r="B130" s="154">
        <v>593627</v>
      </c>
      <c r="C130" s="154">
        <v>1482550</v>
      </c>
      <c r="D130" s="154">
        <v>0</v>
      </c>
      <c r="E130" s="154">
        <v>976000</v>
      </c>
      <c r="F130" s="155">
        <v>483000</v>
      </c>
    </row>
    <row r="131" spans="1:6" ht="12.75">
      <c r="A131" s="153" t="s">
        <v>347</v>
      </c>
      <c r="B131" s="154">
        <v>0</v>
      </c>
      <c r="C131" s="154">
        <v>0</v>
      </c>
      <c r="D131" s="154">
        <v>0</v>
      </c>
      <c r="E131" s="154">
        <v>4496000</v>
      </c>
      <c r="F131" s="155">
        <v>612000</v>
      </c>
    </row>
    <row r="132" spans="1:6" ht="12.75">
      <c r="A132" s="156" t="s">
        <v>344</v>
      </c>
      <c r="B132" s="154">
        <v>0</v>
      </c>
      <c r="C132" s="154">
        <v>0</v>
      </c>
      <c r="D132" s="154">
        <v>0</v>
      </c>
      <c r="E132" s="154">
        <v>12333000</v>
      </c>
      <c r="F132" s="155">
        <v>13260000</v>
      </c>
    </row>
    <row r="133" spans="1:6" ht="12.75">
      <c r="A133" s="156" t="s">
        <v>345</v>
      </c>
      <c r="B133" s="154">
        <v>0</v>
      </c>
      <c r="C133" s="154">
        <v>0</v>
      </c>
      <c r="D133" s="154">
        <v>0</v>
      </c>
      <c r="E133" s="154">
        <v>24024000</v>
      </c>
      <c r="F133" s="155">
        <v>0</v>
      </c>
    </row>
    <row r="134" spans="1:6" ht="25.5">
      <c r="A134" s="153" t="s">
        <v>320</v>
      </c>
      <c r="B134" s="154">
        <v>0</v>
      </c>
      <c r="C134" s="154">
        <v>0</v>
      </c>
      <c r="D134" s="154">
        <v>0</v>
      </c>
      <c r="E134" s="154">
        <v>0</v>
      </c>
      <c r="F134" s="155">
        <v>0</v>
      </c>
    </row>
    <row r="135" spans="1:6" ht="12.75">
      <c r="A135" s="153" t="s">
        <v>321</v>
      </c>
      <c r="B135" s="154">
        <v>0</v>
      </c>
      <c r="C135" s="154">
        <v>5125031</v>
      </c>
      <c r="D135" s="154">
        <v>5567700</v>
      </c>
      <c r="E135" s="154">
        <v>0</v>
      </c>
      <c r="F135" s="155">
        <v>0</v>
      </c>
    </row>
    <row r="136" spans="1:6" ht="12.75">
      <c r="A136" s="153" t="s">
        <v>322</v>
      </c>
      <c r="B136" s="154">
        <v>0</v>
      </c>
      <c r="C136" s="154">
        <v>0</v>
      </c>
      <c r="D136" s="154">
        <v>0</v>
      </c>
      <c r="E136" s="154">
        <v>0</v>
      </c>
      <c r="F136" s="155">
        <v>0</v>
      </c>
    </row>
    <row r="137" spans="1:6" ht="12.75">
      <c r="A137" s="153" t="s">
        <v>323</v>
      </c>
      <c r="B137" s="154">
        <v>1009500</v>
      </c>
      <c r="C137" s="154">
        <v>1197000</v>
      </c>
      <c r="D137" s="154">
        <v>0</v>
      </c>
      <c r="E137" s="154">
        <v>0</v>
      </c>
      <c r="F137" s="155">
        <v>0</v>
      </c>
    </row>
    <row r="138" spans="1:6" ht="12.75">
      <c r="A138" s="153" t="s">
        <v>324</v>
      </c>
      <c r="B138" s="154">
        <v>1669689</v>
      </c>
      <c r="C138" s="154">
        <v>9640835</v>
      </c>
      <c r="D138" s="154">
        <v>2927500</v>
      </c>
      <c r="E138" s="154">
        <v>0</v>
      </c>
      <c r="F138" s="155">
        <v>0</v>
      </c>
    </row>
    <row r="139" spans="1:6" ht="12.75">
      <c r="A139" s="153" t="s">
        <v>319</v>
      </c>
      <c r="B139" s="154">
        <v>8381569</v>
      </c>
      <c r="C139" s="154">
        <v>628309</v>
      </c>
      <c r="D139" s="154">
        <v>1006156</v>
      </c>
      <c r="E139" s="154">
        <v>234000</v>
      </c>
      <c r="F139" s="155">
        <v>783000</v>
      </c>
    </row>
    <row r="140" spans="1:6" ht="13.5" thickBot="1">
      <c r="A140" s="157" t="s">
        <v>3</v>
      </c>
      <c r="B140" s="158">
        <v>0</v>
      </c>
      <c r="C140" s="158">
        <v>0</v>
      </c>
      <c r="D140" s="158">
        <v>1700000</v>
      </c>
      <c r="E140" s="158">
        <v>4545000</v>
      </c>
      <c r="F140" s="159">
        <v>1350000</v>
      </c>
    </row>
    <row r="141" spans="1:6" ht="12.75">
      <c r="A141" s="160"/>
      <c r="B141" s="161"/>
      <c r="C141" s="161"/>
      <c r="D141" s="161"/>
      <c r="E141" s="161"/>
      <c r="F141" s="162"/>
    </row>
    <row r="142" spans="1:6" ht="12.75">
      <c r="A142" s="163" t="s">
        <v>352</v>
      </c>
      <c r="B142" s="164">
        <f>SUM(B57:B140)</f>
        <v>1083294986</v>
      </c>
      <c r="C142" s="164">
        <f>SUM(C57:C140)</f>
        <v>1528460233</v>
      </c>
      <c r="D142" s="164">
        <f>SUM(D57:D140)</f>
        <v>1323706769</v>
      </c>
      <c r="E142" s="164">
        <f>SUM(E57:E140)</f>
        <v>1586888000</v>
      </c>
      <c r="F142" s="165">
        <f>SUM(F57:F140)</f>
        <v>1466406000</v>
      </c>
    </row>
    <row r="143" spans="1:6" ht="13.5" thickBot="1">
      <c r="A143" s="166"/>
      <c r="B143" s="167"/>
      <c r="C143" s="167"/>
      <c r="D143" s="167"/>
      <c r="E143" s="167"/>
      <c r="F143" s="168"/>
    </row>
    <row r="144" ht="13.5" thickTop="1"/>
  </sheetData>
  <mergeCells count="7">
    <mergeCell ref="F3:F4"/>
    <mergeCell ref="E3:E4"/>
    <mergeCell ref="A1:F1"/>
    <mergeCell ref="A3:A4"/>
    <mergeCell ref="B3:B4"/>
    <mergeCell ref="C3:C4"/>
    <mergeCell ref="D3:D4"/>
  </mergeCells>
  <printOptions horizontalCentered="1"/>
  <pageMargins left="0.7874015748031497" right="0.7874015748031497" top="1.5748031496062993" bottom="0.984251968503937" header="0" footer="0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373"/>
  <sheetViews>
    <sheetView defaultGridColor="0" view="pageBreakPreview" zoomScale="90" zoomScaleNormal="87" zoomScaleSheetLayoutView="90" colorId="17" workbookViewId="0" topLeftCell="A1">
      <selection activeCell="A1" sqref="A1:F1"/>
    </sheetView>
  </sheetViews>
  <sheetFormatPr defaultColWidth="12.69921875" defaultRowHeight="15"/>
  <cols>
    <col min="1" max="1" width="24.19921875" style="96" customWidth="1"/>
    <col min="2" max="5" width="11.796875" style="96" customWidth="1"/>
    <col min="6" max="6" width="9.796875" style="96" customWidth="1"/>
    <col min="7" max="16384" width="12.69921875" style="96" customWidth="1"/>
  </cols>
  <sheetData>
    <row r="1" spans="1:6" s="192" customFormat="1" ht="16.5">
      <c r="A1" s="222" t="s">
        <v>356</v>
      </c>
      <c r="B1" s="222"/>
      <c r="C1" s="222"/>
      <c r="D1" s="222"/>
      <c r="E1" s="222"/>
      <c r="F1" s="222"/>
    </row>
    <row r="2" spans="1:6" s="192" customFormat="1" ht="17.25" thickBot="1">
      <c r="A2" s="193" t="s">
        <v>358</v>
      </c>
      <c r="B2" s="169"/>
      <c r="C2" s="169"/>
      <c r="D2" s="169"/>
      <c r="E2" s="169"/>
      <c r="F2" s="169"/>
    </row>
    <row r="3" spans="1:6" s="196" customFormat="1" ht="16.5">
      <c r="A3" s="235" t="s">
        <v>5</v>
      </c>
      <c r="B3" s="194" t="s">
        <v>268</v>
      </c>
      <c r="C3" s="194" t="s">
        <v>268</v>
      </c>
      <c r="D3" s="194" t="s">
        <v>268</v>
      </c>
      <c r="E3" s="194" t="s">
        <v>268</v>
      </c>
      <c r="F3" s="195" t="s">
        <v>350</v>
      </c>
    </row>
    <row r="4" spans="1:113" s="199" customFormat="1" ht="17.25" thickBot="1">
      <c r="A4" s="236"/>
      <c r="B4" s="197" t="s">
        <v>269</v>
      </c>
      <c r="C4" s="197" t="s">
        <v>270</v>
      </c>
      <c r="D4" s="197" t="s">
        <v>271</v>
      </c>
      <c r="E4" s="197" t="s">
        <v>272</v>
      </c>
      <c r="F4" s="198" t="s">
        <v>13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</row>
    <row r="5" spans="1:7" ht="16.5">
      <c r="A5" s="101" t="s">
        <v>14</v>
      </c>
      <c r="B5" s="102">
        <v>-0.14212423092339438</v>
      </c>
      <c r="C5" s="102">
        <v>0.0028184685632727815</v>
      </c>
      <c r="D5" s="102">
        <v>1.2117423065075676</v>
      </c>
      <c r="E5" s="102">
        <v>-0.39286457983842</v>
      </c>
      <c r="F5" s="103">
        <v>0.16989299107725647</v>
      </c>
      <c r="G5" s="104"/>
    </row>
    <row r="6" spans="1:6" ht="16.5">
      <c r="A6" s="84" t="s">
        <v>15</v>
      </c>
      <c r="B6" s="105">
        <v>-0.33711819635204804</v>
      </c>
      <c r="C6" s="105">
        <v>0.13163691226473279</v>
      </c>
      <c r="D6" s="105">
        <v>0.09430370909753912</v>
      </c>
      <c r="E6" s="105">
        <v>0.06248005106926269</v>
      </c>
      <c r="F6" s="106">
        <v>-0.012174380980128362</v>
      </c>
    </row>
    <row r="7" spans="1:6" ht="16.5">
      <c r="A7" s="84" t="s">
        <v>16</v>
      </c>
      <c r="B7" s="105">
        <v>-0.2894005113396394</v>
      </c>
      <c r="C7" s="105">
        <v>0.2538764975216388</v>
      </c>
      <c r="D7" s="105">
        <v>-0.8641708893904907</v>
      </c>
      <c r="E7" s="105">
        <v>1.740301844605925</v>
      </c>
      <c r="F7" s="106">
        <v>0.21015173534935844</v>
      </c>
    </row>
    <row r="8" spans="1:6" ht="16.5">
      <c r="A8" s="84" t="s">
        <v>17</v>
      </c>
      <c r="B8" s="105">
        <v>-0.3734832185974679</v>
      </c>
      <c r="C8" s="105">
        <v>0.1343040905250886</v>
      </c>
      <c r="D8" s="105">
        <v>0.10138427872404972</v>
      </c>
      <c r="E8" s="105">
        <v>0.21301375371993886</v>
      </c>
      <c r="F8" s="106">
        <v>0.01880472609290232</v>
      </c>
    </row>
    <row r="9" spans="1:6" ht="28.5">
      <c r="A9" s="84" t="s">
        <v>18</v>
      </c>
      <c r="B9" s="105">
        <v>-0.4751626718140246</v>
      </c>
      <c r="C9" s="105">
        <v>-1.019204125199749</v>
      </c>
      <c r="D9" s="105">
        <v>0.0693712408212961</v>
      </c>
      <c r="E9" s="105">
        <v>0.2802021696252465</v>
      </c>
      <c r="F9" s="106">
        <v>-0.2861983466418077</v>
      </c>
    </row>
    <row r="10" spans="1:6" ht="16.5">
      <c r="A10" s="84" t="s">
        <v>19</v>
      </c>
      <c r="B10" s="105">
        <v>-0.4008386836286194</v>
      </c>
      <c r="C10" s="105">
        <v>0.016881621321252996</v>
      </c>
      <c r="D10" s="105">
        <v>-0.02353756185201308</v>
      </c>
      <c r="E10" s="105">
        <v>0.21842043590344504</v>
      </c>
      <c r="F10" s="106">
        <v>-0.04726854706398361</v>
      </c>
    </row>
    <row r="11" spans="1:6" ht="16.5">
      <c r="A11" s="84" t="s">
        <v>20</v>
      </c>
      <c r="B11" s="105">
        <v>-0.22877389730230915</v>
      </c>
      <c r="C11" s="105">
        <v>0.6536471070338008</v>
      </c>
      <c r="D11" s="105">
        <v>-0.7908762838900713</v>
      </c>
      <c r="E11" s="105">
        <v>0.7269279393173198</v>
      </c>
      <c r="F11" s="106">
        <v>0.09023121628968506</v>
      </c>
    </row>
    <row r="12" spans="1:6" ht="16.5">
      <c r="A12" s="84" t="s">
        <v>21</v>
      </c>
      <c r="B12" s="107">
        <v>0</v>
      </c>
      <c r="C12" s="107">
        <v>0</v>
      </c>
      <c r="D12" s="107">
        <v>0</v>
      </c>
      <c r="E12" s="107">
        <v>0</v>
      </c>
      <c r="F12" s="106">
        <v>0</v>
      </c>
    </row>
    <row r="13" spans="1:6" ht="16.5">
      <c r="A13" s="84" t="s">
        <v>22</v>
      </c>
      <c r="B13" s="107">
        <v>0</v>
      </c>
      <c r="C13" s="107">
        <v>0</v>
      </c>
      <c r="D13" s="107">
        <v>0</v>
      </c>
      <c r="E13" s="107">
        <v>0</v>
      </c>
      <c r="F13" s="106">
        <v>0</v>
      </c>
    </row>
    <row r="14" spans="1:6" ht="28.5">
      <c r="A14" s="84" t="s">
        <v>23</v>
      </c>
      <c r="B14" s="107">
        <v>0</v>
      </c>
      <c r="C14" s="107">
        <v>0</v>
      </c>
      <c r="D14" s="107">
        <v>0</v>
      </c>
      <c r="E14" s="107">
        <v>0</v>
      </c>
      <c r="F14" s="106">
        <v>0</v>
      </c>
    </row>
    <row r="15" spans="1:6" ht="28.5">
      <c r="A15" s="84" t="s">
        <v>24</v>
      </c>
      <c r="B15" s="105">
        <v>-0.9520785842870456</v>
      </c>
      <c r="C15" s="105">
        <v>0.7541286118400266</v>
      </c>
      <c r="D15" s="105">
        <v>-0.5965211818962615</v>
      </c>
      <c r="E15" s="105">
        <v>0.3626078431372548</v>
      </c>
      <c r="F15" s="106">
        <v>-0.10796582780150643</v>
      </c>
    </row>
    <row r="16" spans="1:6" ht="16.5">
      <c r="A16" s="84" t="s">
        <v>25</v>
      </c>
      <c r="B16" s="105">
        <v>-0.021439421338155514</v>
      </c>
      <c r="C16" s="105">
        <v>0.0005466903073286052</v>
      </c>
      <c r="D16" s="105">
        <v>-0.29225768321513</v>
      </c>
      <c r="E16" s="105">
        <v>0.33820459290187893</v>
      </c>
      <c r="F16" s="106">
        <v>0.006263544663980505</v>
      </c>
    </row>
    <row r="17" spans="1:6" ht="16.5">
      <c r="A17" s="84" t="s">
        <v>26</v>
      </c>
      <c r="B17" s="105">
        <v>2.3220557212989914</v>
      </c>
      <c r="C17" s="105">
        <v>-0.35622271173950654</v>
      </c>
      <c r="D17" s="105">
        <v>-0.5382442845870054</v>
      </c>
      <c r="E17" s="105">
        <v>-0.05793938356164383</v>
      </c>
      <c r="F17" s="106">
        <v>0.34241233535270893</v>
      </c>
    </row>
    <row r="18" spans="1:6" ht="16.5">
      <c r="A18" s="84" t="s">
        <v>27</v>
      </c>
      <c r="B18" s="105">
        <v>-0.07888163356108416</v>
      </c>
      <c r="C18" s="105">
        <v>-0.995548667081533</v>
      </c>
      <c r="D18" s="105">
        <v>-0.051410891235275355</v>
      </c>
      <c r="E18" s="105">
        <v>0.9043708609271524</v>
      </c>
      <c r="F18" s="106">
        <v>-0.05536758273768505</v>
      </c>
    </row>
    <row r="19" spans="1:6" ht="16.5">
      <c r="A19" s="84" t="s">
        <v>28</v>
      </c>
      <c r="B19" s="105">
        <v>-0.8400496135719375</v>
      </c>
      <c r="C19" s="105">
        <v>0.2977927109240482</v>
      </c>
      <c r="D19" s="105">
        <v>0.6022575090874307</v>
      </c>
      <c r="E19" s="105">
        <v>-0.4688097014925373</v>
      </c>
      <c r="F19" s="106">
        <v>-0.102202273763249</v>
      </c>
    </row>
    <row r="20" spans="1:6" ht="16.5">
      <c r="A20" s="84" t="s">
        <v>29</v>
      </c>
      <c r="B20" s="107">
        <v>0</v>
      </c>
      <c r="C20" s="107">
        <v>0</v>
      </c>
      <c r="D20" s="107">
        <v>0</v>
      </c>
      <c r="E20" s="107">
        <v>0</v>
      </c>
      <c r="F20" s="106">
        <v>0</v>
      </c>
    </row>
    <row r="21" spans="1:6" ht="28.5">
      <c r="A21" s="84" t="s">
        <v>30</v>
      </c>
      <c r="B21" s="105">
        <v>0.43831183318279004</v>
      </c>
      <c r="C21" s="105">
        <v>-2.88029150772284</v>
      </c>
      <c r="D21" s="105">
        <v>0.6714519264398481</v>
      </c>
      <c r="E21" s="105">
        <v>-1</v>
      </c>
      <c r="F21" s="106">
        <v>-0.6926319370250504</v>
      </c>
    </row>
    <row r="22" spans="1:6" ht="16.5">
      <c r="A22" s="84" t="s">
        <v>31</v>
      </c>
      <c r="B22" s="105">
        <v>-0.3469758495405001</v>
      </c>
      <c r="C22" s="105">
        <v>-0.047121315969842356</v>
      </c>
      <c r="D22" s="105">
        <v>0.8094585332419465</v>
      </c>
      <c r="E22" s="105">
        <v>-0.8181818181818182</v>
      </c>
      <c r="F22" s="106">
        <v>-0.10070511261255355</v>
      </c>
    </row>
    <row r="23" spans="1:6" ht="28.5">
      <c r="A23" s="84" t="s">
        <v>32</v>
      </c>
      <c r="B23" s="105">
        <v>0.16394689107480767</v>
      </c>
      <c r="C23" s="105">
        <v>-0.4106837246228876</v>
      </c>
      <c r="D23" s="105">
        <v>0.155132131110355</v>
      </c>
      <c r="E23" s="105">
        <v>0.009543633650145315</v>
      </c>
      <c r="F23" s="106">
        <v>-0.0205152671968949</v>
      </c>
    </row>
    <row r="24" spans="1:6" ht="16.5">
      <c r="A24" s="84" t="s">
        <v>33</v>
      </c>
      <c r="B24" s="105">
        <v>0.11156074814707262</v>
      </c>
      <c r="C24" s="105">
        <v>0.5656074902282796</v>
      </c>
      <c r="D24" s="105">
        <v>-0.683841719327103</v>
      </c>
      <c r="E24" s="105">
        <v>-1</v>
      </c>
      <c r="F24" s="106">
        <v>-0.2516683702379377</v>
      </c>
    </row>
    <row r="25" spans="1:6" ht="16.5">
      <c r="A25" s="88" t="s">
        <v>207</v>
      </c>
      <c r="B25" s="107">
        <v>0</v>
      </c>
      <c r="C25" s="107">
        <v>0</v>
      </c>
      <c r="D25" s="107">
        <v>0</v>
      </c>
      <c r="E25" s="107">
        <v>0</v>
      </c>
      <c r="F25" s="106">
        <v>0</v>
      </c>
    </row>
    <row r="26" spans="1:6" ht="16.5">
      <c r="A26" s="88" t="s">
        <v>208</v>
      </c>
      <c r="B26" s="107">
        <v>0</v>
      </c>
      <c r="C26" s="107">
        <v>0</v>
      </c>
      <c r="D26" s="107">
        <v>0</v>
      </c>
      <c r="E26" s="107">
        <v>0</v>
      </c>
      <c r="F26" s="106">
        <v>0</v>
      </c>
    </row>
    <row r="27" spans="1:6" ht="16.5">
      <c r="A27" s="84" t="s">
        <v>34</v>
      </c>
      <c r="B27" s="105">
        <v>-0.3411331929520401</v>
      </c>
      <c r="C27" s="105">
        <v>-4.340517993754824</v>
      </c>
      <c r="D27" s="105">
        <v>0.3216013314075741</v>
      </c>
      <c r="E27" s="105">
        <v>1.5125079499682001</v>
      </c>
      <c r="F27" s="106">
        <v>-0.7118854763327727</v>
      </c>
    </row>
    <row r="28" spans="1:6" ht="16.5">
      <c r="A28" s="84" t="s">
        <v>35</v>
      </c>
      <c r="B28" s="105">
        <v>-0.10456736868815021</v>
      </c>
      <c r="C28" s="105">
        <v>0.05131996343889456</v>
      </c>
      <c r="D28" s="105">
        <v>0.555997634281413</v>
      </c>
      <c r="E28" s="105">
        <v>0.21544574982722875</v>
      </c>
      <c r="F28" s="106">
        <v>0.17954899471484653</v>
      </c>
    </row>
    <row r="29" spans="1:6" ht="28.5">
      <c r="A29" s="89" t="s">
        <v>36</v>
      </c>
      <c r="B29" s="105">
        <v>-0.8451172888611945</v>
      </c>
      <c r="C29" s="107">
        <v>0</v>
      </c>
      <c r="D29" s="107">
        <v>0</v>
      </c>
      <c r="E29" s="105">
        <v>-1</v>
      </c>
      <c r="F29" s="106">
        <v>-0.46127932221529866</v>
      </c>
    </row>
    <row r="30" spans="1:6" ht="16.5">
      <c r="A30" s="84" t="s">
        <v>37</v>
      </c>
      <c r="B30" s="105">
        <v>-0.494479361364708</v>
      </c>
      <c r="C30" s="105">
        <v>-0.5288031315408147</v>
      </c>
      <c r="D30" s="105">
        <v>0.0425052326517469</v>
      </c>
      <c r="E30" s="105">
        <v>-0.2584942084942085</v>
      </c>
      <c r="F30" s="106">
        <v>-0.30981786718699605</v>
      </c>
    </row>
    <row r="31" spans="1:6" ht="28.5">
      <c r="A31" s="84" t="s">
        <v>38</v>
      </c>
      <c r="B31" s="105">
        <v>0.24719612523150813</v>
      </c>
      <c r="C31" s="105">
        <v>0.10584428451457692</v>
      </c>
      <c r="D31" s="105">
        <v>-0.03285715216843486</v>
      </c>
      <c r="E31" s="105">
        <v>0.18114912069380873</v>
      </c>
      <c r="F31" s="106">
        <v>0.12533309456786473</v>
      </c>
    </row>
    <row r="32" spans="1:6" ht="28.5">
      <c r="A32" s="84" t="s">
        <v>39</v>
      </c>
      <c r="B32" s="105">
        <v>-0.8840204878799808</v>
      </c>
      <c r="C32" s="105">
        <v>0.08071578242406101</v>
      </c>
      <c r="D32" s="105">
        <v>0.4035158927613454</v>
      </c>
      <c r="E32" s="105">
        <v>1.8778538812785388</v>
      </c>
      <c r="F32" s="106">
        <v>0.3695162671459911</v>
      </c>
    </row>
    <row r="33" spans="1:6" ht="28.5">
      <c r="A33" s="84" t="s">
        <v>40</v>
      </c>
      <c r="B33" s="105">
        <v>-0.27973781659360786</v>
      </c>
      <c r="C33" s="105">
        <v>-0.6194335097936987</v>
      </c>
      <c r="D33" s="105">
        <v>-0.2189378147868576</v>
      </c>
      <c r="E33" s="105">
        <v>0.8763457884737176</v>
      </c>
      <c r="F33" s="106">
        <v>-0.060440838175111644</v>
      </c>
    </row>
    <row r="34" spans="1:6" ht="16.5">
      <c r="A34" s="84" t="s">
        <v>41</v>
      </c>
      <c r="B34" s="105">
        <v>-1</v>
      </c>
      <c r="C34" s="105">
        <v>1</v>
      </c>
      <c r="D34" s="105">
        <v>-0.05515267809339287</v>
      </c>
      <c r="E34" s="105">
        <v>-0.8658379768538362</v>
      </c>
      <c r="F34" s="106">
        <v>-0.23024766373680727</v>
      </c>
    </row>
    <row r="35" spans="1:6" ht="16.5">
      <c r="A35" s="84" t="s">
        <v>42</v>
      </c>
      <c r="B35" s="105">
        <v>0.28470291357076355</v>
      </c>
      <c r="C35" s="105">
        <v>-0.16666666666666666</v>
      </c>
      <c r="D35" s="105">
        <v>0.3333333333333333</v>
      </c>
      <c r="E35" s="105">
        <v>-0.0525</v>
      </c>
      <c r="F35" s="106">
        <v>0.09971739505935756</v>
      </c>
    </row>
    <row r="36" spans="1:6" ht="28.5">
      <c r="A36" s="84" t="s">
        <v>43</v>
      </c>
      <c r="B36" s="105">
        <v>-0.9317633108961275</v>
      </c>
      <c r="C36" s="105">
        <v>0.29141357525997247</v>
      </c>
      <c r="D36" s="105">
        <v>2.721525238283709</v>
      </c>
      <c r="E36" s="105">
        <v>-0.7704454067429632</v>
      </c>
      <c r="F36" s="106">
        <v>0.3276825239761476</v>
      </c>
    </row>
    <row r="37" spans="1:6" ht="16.5">
      <c r="A37" s="84" t="s">
        <v>44</v>
      </c>
      <c r="B37" s="107">
        <v>0</v>
      </c>
      <c r="C37" s="107">
        <v>0</v>
      </c>
      <c r="D37" s="107">
        <v>0</v>
      </c>
      <c r="E37" s="107">
        <v>0</v>
      </c>
      <c r="F37" s="106">
        <v>0</v>
      </c>
    </row>
    <row r="38" spans="1:6" ht="16.5">
      <c r="A38" s="84" t="s">
        <v>45</v>
      </c>
      <c r="B38" s="107">
        <v>0</v>
      </c>
      <c r="C38" s="107">
        <v>0</v>
      </c>
      <c r="D38" s="107">
        <v>0</v>
      </c>
      <c r="E38" s="107">
        <v>0</v>
      </c>
      <c r="F38" s="106">
        <v>0</v>
      </c>
    </row>
    <row r="39" spans="1:6" ht="16.5">
      <c r="A39" s="88" t="s">
        <v>205</v>
      </c>
      <c r="B39" s="107">
        <v>0</v>
      </c>
      <c r="C39" s="107">
        <v>0</v>
      </c>
      <c r="D39" s="107">
        <v>0</v>
      </c>
      <c r="E39" s="107">
        <v>0</v>
      </c>
      <c r="F39" s="106">
        <v>0</v>
      </c>
    </row>
    <row r="40" spans="1:6" ht="16.5">
      <c r="A40" s="88" t="s">
        <v>210</v>
      </c>
      <c r="B40" s="107">
        <v>0</v>
      </c>
      <c r="C40" s="107">
        <v>0</v>
      </c>
      <c r="D40" s="107">
        <v>0</v>
      </c>
      <c r="E40" s="107">
        <v>0</v>
      </c>
      <c r="F40" s="106">
        <v>0</v>
      </c>
    </row>
    <row r="41" spans="1:6" ht="16.5">
      <c r="A41" s="88" t="s">
        <v>212</v>
      </c>
      <c r="B41" s="107">
        <v>0</v>
      </c>
      <c r="C41" s="107">
        <v>0</v>
      </c>
      <c r="D41" s="107">
        <v>0</v>
      </c>
      <c r="E41" s="107">
        <v>0</v>
      </c>
      <c r="F41" s="106">
        <v>0</v>
      </c>
    </row>
    <row r="42" spans="1:6" ht="16.5">
      <c r="A42" s="88" t="s">
        <v>219</v>
      </c>
      <c r="B42" s="107">
        <v>0</v>
      </c>
      <c r="C42" s="107">
        <v>0</v>
      </c>
      <c r="D42" s="107">
        <v>0</v>
      </c>
      <c r="E42" s="107">
        <v>0</v>
      </c>
      <c r="F42" s="106">
        <v>0</v>
      </c>
    </row>
    <row r="43" spans="1:6" ht="28.5">
      <c r="A43" s="88" t="s">
        <v>220</v>
      </c>
      <c r="B43" s="107">
        <v>0</v>
      </c>
      <c r="C43" s="107">
        <v>0</v>
      </c>
      <c r="D43" s="107">
        <v>0</v>
      </c>
      <c r="E43" s="107">
        <v>0</v>
      </c>
      <c r="F43" s="106">
        <v>0</v>
      </c>
    </row>
    <row r="44" spans="1:6" ht="16.5">
      <c r="A44" s="88" t="s">
        <v>221</v>
      </c>
      <c r="B44" s="107">
        <v>0</v>
      </c>
      <c r="C44" s="107">
        <v>0</v>
      </c>
      <c r="D44" s="107">
        <v>0</v>
      </c>
      <c r="E44" s="107">
        <v>0</v>
      </c>
      <c r="F44" s="106">
        <v>0</v>
      </c>
    </row>
    <row r="45" spans="1:6" ht="16.5">
      <c r="A45" s="88" t="s">
        <v>133</v>
      </c>
      <c r="B45" s="107">
        <v>0</v>
      </c>
      <c r="C45" s="107">
        <v>0</v>
      </c>
      <c r="D45" s="107">
        <v>0</v>
      </c>
      <c r="E45" s="107">
        <v>0</v>
      </c>
      <c r="F45" s="106">
        <v>0</v>
      </c>
    </row>
    <row r="46" spans="1:6" ht="28.5">
      <c r="A46" s="84" t="s">
        <v>64</v>
      </c>
      <c r="B46" s="105">
        <v>-0.8851925026910837</v>
      </c>
      <c r="C46" s="107">
        <v>0</v>
      </c>
      <c r="D46" s="107">
        <v>0</v>
      </c>
      <c r="E46" s="107">
        <v>0</v>
      </c>
      <c r="F46" s="106">
        <v>-0.22129812567277093</v>
      </c>
    </row>
    <row r="47" spans="1:6" ht="16.5">
      <c r="A47" s="84" t="s">
        <v>65</v>
      </c>
      <c r="B47" s="105">
        <v>-0.8851925026910837</v>
      </c>
      <c r="C47" s="107">
        <v>0</v>
      </c>
      <c r="D47" s="107">
        <v>0</v>
      </c>
      <c r="E47" s="105">
        <v>-0.4819639278557114</v>
      </c>
      <c r="F47" s="106">
        <v>-0.3417891076366988</v>
      </c>
    </row>
    <row r="48" spans="1:6" ht="16.5">
      <c r="A48" s="88" t="s">
        <v>161</v>
      </c>
      <c r="B48" s="107">
        <v>0</v>
      </c>
      <c r="C48" s="107">
        <v>0</v>
      </c>
      <c r="D48" s="107">
        <v>0</v>
      </c>
      <c r="E48" s="105">
        <v>-0.47394789579158314</v>
      </c>
      <c r="F48" s="106">
        <v>-0.11848697394789579</v>
      </c>
    </row>
    <row r="49" spans="1:6" ht="16.5">
      <c r="A49" s="88"/>
      <c r="B49" s="107">
        <v>0</v>
      </c>
      <c r="C49" s="107">
        <v>0</v>
      </c>
      <c r="D49" s="107">
        <v>0</v>
      </c>
      <c r="E49" s="107">
        <v>0</v>
      </c>
      <c r="F49" s="106">
        <v>0</v>
      </c>
    </row>
    <row r="50" spans="1:6" ht="16.5">
      <c r="A50" s="88" t="s">
        <v>157</v>
      </c>
      <c r="B50" s="107">
        <v>0</v>
      </c>
      <c r="C50" s="107">
        <v>0</v>
      </c>
      <c r="D50" s="107">
        <v>0</v>
      </c>
      <c r="E50" s="105">
        <v>-1</v>
      </c>
      <c r="F50" s="106">
        <v>-0.25</v>
      </c>
    </row>
    <row r="51" spans="1:6" ht="28.5">
      <c r="A51" s="88" t="s">
        <v>158</v>
      </c>
      <c r="B51" s="107">
        <v>0</v>
      </c>
      <c r="C51" s="107">
        <v>0</v>
      </c>
      <c r="D51" s="107">
        <v>0</v>
      </c>
      <c r="E51" s="105">
        <v>0.8926847733509984</v>
      </c>
      <c r="F51" s="106">
        <v>0.2231711933377496</v>
      </c>
    </row>
    <row r="52" spans="1:6" ht="16.5">
      <c r="A52" s="88"/>
      <c r="B52" s="108"/>
      <c r="C52" s="108"/>
      <c r="D52" s="108"/>
      <c r="E52" s="108"/>
      <c r="F52" s="109"/>
    </row>
    <row r="53" spans="1:6" ht="16.5">
      <c r="A53" s="84" t="s">
        <v>93</v>
      </c>
      <c r="B53" s="105"/>
      <c r="C53" s="107" t="s">
        <v>46</v>
      </c>
      <c r="D53" s="107" t="s">
        <v>46</v>
      </c>
      <c r="E53" s="105" t="s">
        <v>46</v>
      </c>
      <c r="F53" s="109"/>
    </row>
    <row r="54" spans="1:6" ht="28.5">
      <c r="A54" s="84" t="s">
        <v>94</v>
      </c>
      <c r="B54" s="105">
        <v>-0.19625280638161774</v>
      </c>
      <c r="C54" s="105">
        <v>0.04945120391006553</v>
      </c>
      <c r="D54" s="105">
        <v>0.0899530154303705</v>
      </c>
      <c r="E54" s="105">
        <v>-0.7016875340228633</v>
      </c>
      <c r="F54" s="110">
        <v>-0.18963403026601125</v>
      </c>
    </row>
    <row r="55" spans="1:6" ht="16.5">
      <c r="A55" s="84"/>
      <c r="B55" s="105"/>
      <c r="C55" s="105"/>
      <c r="D55" s="105"/>
      <c r="E55" s="105"/>
      <c r="F55" s="110"/>
    </row>
    <row r="56" spans="1:6" ht="16.5">
      <c r="A56" s="84" t="s">
        <v>355</v>
      </c>
      <c r="B56" s="105"/>
      <c r="C56" s="105"/>
      <c r="D56" s="105"/>
      <c r="E56" s="105"/>
      <c r="F56" s="110"/>
    </row>
    <row r="57" spans="1:6" ht="16.5">
      <c r="A57" s="88"/>
      <c r="B57" s="108"/>
      <c r="C57" s="108"/>
      <c r="D57" s="108"/>
      <c r="E57" s="108"/>
      <c r="F57" s="109"/>
    </row>
    <row r="58" spans="1:6" ht="16.5">
      <c r="A58" s="90" t="s">
        <v>359</v>
      </c>
      <c r="B58" s="108"/>
      <c r="C58" s="108"/>
      <c r="D58" s="108"/>
      <c r="E58" s="108"/>
      <c r="F58" s="109"/>
    </row>
    <row r="59" spans="1:6" ht="16.5">
      <c r="A59" s="92" t="s">
        <v>273</v>
      </c>
      <c r="B59" s="111">
        <v>0.08805611180833381</v>
      </c>
      <c r="C59" s="111">
        <v>0.04321628574098527</v>
      </c>
      <c r="D59" s="111">
        <v>-0.01942833989382617</v>
      </c>
      <c r="E59" s="111">
        <v>-0.2106633563776987</v>
      </c>
      <c r="F59" s="106">
        <v>-0.02470482468055145</v>
      </c>
    </row>
    <row r="60" spans="1:6" ht="16.5">
      <c r="A60" s="92" t="s">
        <v>274</v>
      </c>
      <c r="B60" s="111">
        <v>-0.5183154312926214</v>
      </c>
      <c r="C60" s="111">
        <v>-0.9345005302621542</v>
      </c>
      <c r="D60" s="111">
        <v>-1</v>
      </c>
      <c r="E60" s="111">
        <v>0</v>
      </c>
      <c r="F60" s="106">
        <v>-0.6132039903886939</v>
      </c>
    </row>
    <row r="61" spans="1:6" ht="16.5">
      <c r="A61" s="92" t="s">
        <v>275</v>
      </c>
      <c r="B61" s="111">
        <v>0.1475755300896011</v>
      </c>
      <c r="C61" s="111">
        <v>-0.12566230333196515</v>
      </c>
      <c r="D61" s="111">
        <v>0.014779621271030547</v>
      </c>
      <c r="E61" s="111">
        <v>-0.22294384258235683</v>
      </c>
      <c r="F61" s="106">
        <v>-0.04656274863842259</v>
      </c>
    </row>
    <row r="62" spans="1:6" ht="16.5">
      <c r="A62" s="92" t="s">
        <v>276</v>
      </c>
      <c r="B62" s="111">
        <v>-1</v>
      </c>
      <c r="C62" s="111">
        <v>0</v>
      </c>
      <c r="D62" s="111">
        <v>0</v>
      </c>
      <c r="E62" s="111">
        <v>0</v>
      </c>
      <c r="F62" s="106">
        <v>-0.25</v>
      </c>
    </row>
    <row r="63" spans="1:6" ht="16.5">
      <c r="A63" s="92" t="s">
        <v>326</v>
      </c>
      <c r="B63" s="111">
        <v>0</v>
      </c>
      <c r="C63" s="111">
        <v>0</v>
      </c>
      <c r="D63" s="111">
        <v>0</v>
      </c>
      <c r="E63" s="111">
        <v>0</v>
      </c>
      <c r="F63" s="106">
        <v>0</v>
      </c>
    </row>
    <row r="64" spans="1:6" ht="16.5">
      <c r="A64" s="92" t="s">
        <v>277</v>
      </c>
      <c r="B64" s="111">
        <v>0.09808362885600656</v>
      </c>
      <c r="C64" s="111">
        <v>0.7846587316579824</v>
      </c>
      <c r="D64" s="111">
        <v>-0.6942736929895917</v>
      </c>
      <c r="E64" s="111">
        <v>-0.24531120331950207</v>
      </c>
      <c r="F64" s="106">
        <v>-0.014210633948776225</v>
      </c>
    </row>
    <row r="65" spans="1:6" ht="16.5">
      <c r="A65" s="92" t="s">
        <v>278</v>
      </c>
      <c r="B65" s="111">
        <v>0</v>
      </c>
      <c r="C65" s="111">
        <v>0</v>
      </c>
      <c r="D65" s="111">
        <v>0</v>
      </c>
      <c r="E65" s="111">
        <v>1.239289446185998</v>
      </c>
      <c r="F65" s="106">
        <v>0.3098223615464995</v>
      </c>
    </row>
    <row r="66" spans="1:6" ht="16.5">
      <c r="A66" s="92" t="s">
        <v>279</v>
      </c>
      <c r="B66" s="111">
        <v>0</v>
      </c>
      <c r="C66" s="111">
        <v>0</v>
      </c>
      <c r="D66" s="111">
        <v>0</v>
      </c>
      <c r="E66" s="111">
        <v>-0.4471952366029458</v>
      </c>
      <c r="F66" s="106">
        <v>-0.11179880915073645</v>
      </c>
    </row>
    <row r="67" spans="1:6" ht="16.5">
      <c r="A67" s="92" t="s">
        <v>280</v>
      </c>
      <c r="B67" s="111">
        <v>0.6478433169703458</v>
      </c>
      <c r="C67" s="111">
        <v>-0.036194842493520986</v>
      </c>
      <c r="D67" s="111">
        <v>-0.36656953670087783</v>
      </c>
      <c r="E67" s="111">
        <v>1.1192307692307693</v>
      </c>
      <c r="F67" s="106">
        <v>0.34107742675167907</v>
      </c>
    </row>
    <row r="68" spans="1:6" ht="16.5">
      <c r="A68" s="92" t="s">
        <v>281</v>
      </c>
      <c r="B68" s="111">
        <v>0.17164487262757888</v>
      </c>
      <c r="C68" s="111">
        <v>0.13872952230449878</v>
      </c>
      <c r="D68" s="111">
        <v>0.15655164522084497</v>
      </c>
      <c r="E68" s="111">
        <v>0.8571205983172328</v>
      </c>
      <c r="F68" s="106">
        <v>0.33101165961753887</v>
      </c>
    </row>
    <row r="69" spans="1:6" ht="16.5">
      <c r="A69" s="92" t="s">
        <v>282</v>
      </c>
      <c r="B69" s="111">
        <v>0</v>
      </c>
      <c r="C69" s="111">
        <v>0</v>
      </c>
      <c r="D69" s="111">
        <v>0</v>
      </c>
      <c r="E69" s="111">
        <v>0</v>
      </c>
      <c r="F69" s="106">
        <v>0</v>
      </c>
    </row>
    <row r="70" spans="1:6" ht="16.5">
      <c r="A70" s="92" t="s">
        <v>283</v>
      </c>
      <c r="B70" s="111">
        <v>0.13132850545897262</v>
      </c>
      <c r="C70" s="111">
        <v>0.15793426511563335</v>
      </c>
      <c r="D70" s="111">
        <v>-0.024162618015943316</v>
      </c>
      <c r="E70" s="111">
        <v>-0.10096005486027773</v>
      </c>
      <c r="F70" s="106">
        <v>0.04103502442459623</v>
      </c>
    </row>
    <row r="71" spans="1:6" ht="16.5">
      <c r="A71" s="92" t="s">
        <v>284</v>
      </c>
      <c r="B71" s="111">
        <v>0.34368359849762387</v>
      </c>
      <c r="C71" s="111">
        <v>0.16957084288533497</v>
      </c>
      <c r="D71" s="111">
        <v>-0.7135520504877495</v>
      </c>
      <c r="E71" s="111">
        <v>1.2161167071899965</v>
      </c>
      <c r="F71" s="106">
        <v>0.25395477452130144</v>
      </c>
    </row>
    <row r="72" spans="1:6" ht="16.5">
      <c r="A72" s="92" t="s">
        <v>285</v>
      </c>
      <c r="B72" s="111">
        <v>0.1238574537576951</v>
      </c>
      <c r="C72" s="111">
        <v>0.08713269368747553</v>
      </c>
      <c r="D72" s="111">
        <v>0.057253398137124226</v>
      </c>
      <c r="E72" s="111">
        <v>0.06302074404251672</v>
      </c>
      <c r="F72" s="106">
        <v>0.0828160724062029</v>
      </c>
    </row>
    <row r="73" spans="1:6" ht="16.5">
      <c r="A73" s="92" t="s">
        <v>325</v>
      </c>
      <c r="B73" s="111">
        <v>0</v>
      </c>
      <c r="C73" s="111">
        <v>0</v>
      </c>
      <c r="D73" s="111">
        <v>0</v>
      </c>
      <c r="E73" s="111">
        <v>-1</v>
      </c>
      <c r="F73" s="106">
        <v>-0.25</v>
      </c>
    </row>
    <row r="74" spans="1:6" ht="28.5">
      <c r="A74" s="92" t="s">
        <v>0</v>
      </c>
      <c r="B74" s="111">
        <v>0</v>
      </c>
      <c r="C74" s="111">
        <v>0</v>
      </c>
      <c r="D74" s="111">
        <v>0</v>
      </c>
      <c r="E74" s="111">
        <v>0.03473762010347376</v>
      </c>
      <c r="F74" s="106">
        <v>0.00868440502586844</v>
      </c>
    </row>
    <row r="75" spans="1:6" ht="16.5">
      <c r="A75" s="92" t="s">
        <v>286</v>
      </c>
      <c r="B75" s="111">
        <v>0.19995579628014917</v>
      </c>
      <c r="C75" s="111">
        <v>-0.030584912229472478</v>
      </c>
      <c r="D75" s="111">
        <v>0.20372006267685794</v>
      </c>
      <c r="E75" s="111">
        <v>0.07232916265640038</v>
      </c>
      <c r="F75" s="106">
        <v>0.11135502734598375</v>
      </c>
    </row>
    <row r="76" spans="1:6" ht="16.5">
      <c r="A76" s="92" t="s">
        <v>287</v>
      </c>
      <c r="B76" s="111">
        <v>0</v>
      </c>
      <c r="C76" s="111">
        <v>-0.3114068376784209</v>
      </c>
      <c r="D76" s="111">
        <v>-0.1657619954672442</v>
      </c>
      <c r="E76" s="111">
        <v>-0.08475975975975976</v>
      </c>
      <c r="F76" s="106">
        <v>-0.14048214822635624</v>
      </c>
    </row>
    <row r="77" spans="1:6" ht="16.5">
      <c r="A77" s="92" t="s">
        <v>288</v>
      </c>
      <c r="B77" s="111">
        <v>7.099638343958531</v>
      </c>
      <c r="C77" s="111">
        <v>-1</v>
      </c>
      <c r="D77" s="111">
        <v>0</v>
      </c>
      <c r="E77" s="111">
        <v>0</v>
      </c>
      <c r="F77" s="106">
        <v>1.5249095859896327</v>
      </c>
    </row>
    <row r="78" spans="1:6" ht="16.5">
      <c r="A78" s="92" t="s">
        <v>289</v>
      </c>
      <c r="B78" s="111">
        <v>0</v>
      </c>
      <c r="C78" s="111">
        <v>-1</v>
      </c>
      <c r="D78" s="111">
        <v>0</v>
      </c>
      <c r="E78" s="111">
        <v>0</v>
      </c>
      <c r="F78" s="106">
        <v>-0.25</v>
      </c>
    </row>
    <row r="79" spans="1:6" ht="16.5">
      <c r="A79" s="92" t="s">
        <v>290</v>
      </c>
      <c r="B79" s="111">
        <v>0.23765909384721556</v>
      </c>
      <c r="C79" s="111">
        <v>0.12962761639100878</v>
      </c>
      <c r="D79" s="111">
        <v>0.11278331160097839</v>
      </c>
      <c r="E79" s="111">
        <v>-0.028814944225499625</v>
      </c>
      <c r="F79" s="106">
        <v>0.11281376940342577</v>
      </c>
    </row>
    <row r="80" spans="1:6" ht="16.5">
      <c r="A80" s="92" t="s">
        <v>291</v>
      </c>
      <c r="B80" s="111">
        <v>0.27343167662292706</v>
      </c>
      <c r="C80" s="111">
        <v>0.09371080070553649</v>
      </c>
      <c r="D80" s="111">
        <v>0.11645304235955592</v>
      </c>
      <c r="E80" s="111">
        <v>-0.021296572916222098</v>
      </c>
      <c r="F80" s="106">
        <v>0.11557473669294935</v>
      </c>
    </row>
    <row r="81" spans="1:6" ht="16.5">
      <c r="A81" s="92" t="s">
        <v>292</v>
      </c>
      <c r="B81" s="111">
        <v>1.43503987355382</v>
      </c>
      <c r="C81" s="111">
        <v>-0.6572846600457506</v>
      </c>
      <c r="D81" s="111">
        <v>1.0585061831280687</v>
      </c>
      <c r="E81" s="111">
        <v>0.13664754620777567</v>
      </c>
      <c r="F81" s="106">
        <v>0.49322723571097843</v>
      </c>
    </row>
    <row r="82" spans="1:6" ht="28.5">
      <c r="A82" s="92" t="s">
        <v>1</v>
      </c>
      <c r="B82" s="111">
        <v>0</v>
      </c>
      <c r="C82" s="111">
        <v>0</v>
      </c>
      <c r="D82" s="111">
        <v>0</v>
      </c>
      <c r="E82" s="111">
        <v>3.1919111816019035</v>
      </c>
      <c r="F82" s="106">
        <v>0.7979777954004759</v>
      </c>
    </row>
    <row r="83" spans="1:6" ht="16.5">
      <c r="A83" s="92" t="s">
        <v>293</v>
      </c>
      <c r="B83" s="111">
        <v>0.25249610317936844</v>
      </c>
      <c r="C83" s="111">
        <v>0.1519169509515186</v>
      </c>
      <c r="D83" s="111">
        <v>0.09256873153103805</v>
      </c>
      <c r="E83" s="111">
        <v>0.031836022677714786</v>
      </c>
      <c r="F83" s="106">
        <v>0.13220445208490997</v>
      </c>
    </row>
    <row r="84" spans="1:6" ht="16.5">
      <c r="A84" s="92" t="s">
        <v>294</v>
      </c>
      <c r="B84" s="111">
        <v>0.1085214680032932</v>
      </c>
      <c r="C84" s="111">
        <v>0.18976370023730674</v>
      </c>
      <c r="D84" s="111">
        <v>0.1354998403066113</v>
      </c>
      <c r="E84" s="111">
        <v>-1</v>
      </c>
      <c r="F84" s="106">
        <v>-0.1415537478631972</v>
      </c>
    </row>
    <row r="85" spans="1:6" ht="16.5">
      <c r="A85" s="92" t="s">
        <v>295</v>
      </c>
      <c r="B85" s="111">
        <v>0.12115066690902167</v>
      </c>
      <c r="C85" s="111">
        <v>0.1305778627174112</v>
      </c>
      <c r="D85" s="111">
        <v>0.0941069392652856</v>
      </c>
      <c r="E85" s="111">
        <v>-0.043844593540333904</v>
      </c>
      <c r="F85" s="106">
        <v>0.07549771883784615</v>
      </c>
    </row>
    <row r="86" spans="1:6" ht="16.5">
      <c r="A86" s="92" t="s">
        <v>296</v>
      </c>
      <c r="B86" s="111">
        <v>0.43960735618925295</v>
      </c>
      <c r="C86" s="111">
        <v>0.08978389221771456</v>
      </c>
      <c r="D86" s="111">
        <v>0.12315711341961455</v>
      </c>
      <c r="E86" s="111">
        <v>0.01189421307341013</v>
      </c>
      <c r="F86" s="106">
        <v>0.16611064372499804</v>
      </c>
    </row>
    <row r="87" spans="1:6" ht="28.5">
      <c r="A87" s="92" t="s">
        <v>297</v>
      </c>
      <c r="B87" s="111">
        <v>-1</v>
      </c>
      <c r="C87" s="111">
        <v>0</v>
      </c>
      <c r="D87" s="111">
        <v>0</v>
      </c>
      <c r="E87" s="111">
        <v>0</v>
      </c>
      <c r="F87" s="106">
        <v>-0.25</v>
      </c>
    </row>
    <row r="88" spans="1:6" ht="28.5">
      <c r="A88" s="92" t="s">
        <v>2</v>
      </c>
      <c r="B88" s="111">
        <v>0</v>
      </c>
      <c r="C88" s="111">
        <v>0</v>
      </c>
      <c r="D88" s="111">
        <v>0</v>
      </c>
      <c r="E88" s="111">
        <v>-0.04986522911051213</v>
      </c>
      <c r="F88" s="106">
        <v>-0.012466307277628033</v>
      </c>
    </row>
    <row r="89" spans="1:6" ht="16.5">
      <c r="A89" s="92" t="s">
        <v>4</v>
      </c>
      <c r="B89" s="111">
        <v>0</v>
      </c>
      <c r="C89" s="111">
        <v>0</v>
      </c>
      <c r="D89" s="111">
        <v>0</v>
      </c>
      <c r="E89" s="111">
        <v>0</v>
      </c>
      <c r="F89" s="106">
        <v>0</v>
      </c>
    </row>
    <row r="90" spans="1:6" ht="28.5">
      <c r="A90" s="94" t="s">
        <v>327</v>
      </c>
      <c r="B90" s="111">
        <v>0</v>
      </c>
      <c r="C90" s="111">
        <v>0</v>
      </c>
      <c r="D90" s="111">
        <v>0</v>
      </c>
      <c r="E90" s="111">
        <v>-1</v>
      </c>
      <c r="F90" s="106">
        <v>-0.25</v>
      </c>
    </row>
    <row r="91" spans="1:6" ht="16.5">
      <c r="A91" s="94" t="s">
        <v>328</v>
      </c>
      <c r="B91" s="111">
        <v>0</v>
      </c>
      <c r="C91" s="111">
        <v>0</v>
      </c>
      <c r="D91" s="111">
        <v>0</v>
      </c>
      <c r="E91" s="111">
        <v>-0.07744740862616054</v>
      </c>
      <c r="F91" s="106">
        <v>-0.019361852156540134</v>
      </c>
    </row>
    <row r="92" spans="1:6" ht="16.5">
      <c r="A92" s="94" t="s">
        <v>329</v>
      </c>
      <c r="B92" s="111">
        <v>0</v>
      </c>
      <c r="C92" s="111">
        <v>0</v>
      </c>
      <c r="D92" s="111">
        <v>0</v>
      </c>
      <c r="E92" s="111">
        <v>-0.1093801156826367</v>
      </c>
      <c r="F92" s="106">
        <v>-0.027345028920659174</v>
      </c>
    </row>
    <row r="93" spans="1:6" ht="16.5">
      <c r="A93" s="94" t="s">
        <v>330</v>
      </c>
      <c r="B93" s="111">
        <v>0</v>
      </c>
      <c r="C93" s="111">
        <v>0</v>
      </c>
      <c r="D93" s="111">
        <v>0</v>
      </c>
      <c r="E93" s="111">
        <v>0</v>
      </c>
      <c r="F93" s="106">
        <v>0</v>
      </c>
    </row>
    <row r="94" spans="1:6" ht="16.5">
      <c r="A94" s="94" t="s">
        <v>331</v>
      </c>
      <c r="B94" s="111">
        <v>0</v>
      </c>
      <c r="C94" s="111">
        <v>0</v>
      </c>
      <c r="D94" s="111">
        <v>0</v>
      </c>
      <c r="E94" s="111">
        <v>0</v>
      </c>
      <c r="F94" s="106">
        <v>0</v>
      </c>
    </row>
    <row r="95" spans="1:6" ht="16.5">
      <c r="A95" s="94" t="s">
        <v>332</v>
      </c>
      <c r="B95" s="111">
        <v>0</v>
      </c>
      <c r="C95" s="111">
        <v>0</v>
      </c>
      <c r="D95" s="111">
        <v>0</v>
      </c>
      <c r="E95" s="111">
        <v>0.360802703261844</v>
      </c>
      <c r="F95" s="106">
        <v>0.090200675815461</v>
      </c>
    </row>
    <row r="96" spans="1:6" ht="28.5">
      <c r="A96" s="94" t="s">
        <v>333</v>
      </c>
      <c r="B96" s="111">
        <v>0</v>
      </c>
      <c r="C96" s="111">
        <v>0</v>
      </c>
      <c r="D96" s="111">
        <v>0</v>
      </c>
      <c r="E96" s="111">
        <v>-1</v>
      </c>
      <c r="F96" s="106">
        <v>-0.25</v>
      </c>
    </row>
    <row r="97" spans="1:6" ht="16.5">
      <c r="A97" s="94" t="s">
        <v>334</v>
      </c>
      <c r="B97" s="111">
        <v>0</v>
      </c>
      <c r="C97" s="111">
        <v>0</v>
      </c>
      <c r="D97" s="111">
        <v>0</v>
      </c>
      <c r="E97" s="111">
        <v>-0.1178314008147916</v>
      </c>
      <c r="F97" s="106">
        <v>-0.0294578502036979</v>
      </c>
    </row>
    <row r="98" spans="1:6" ht="16.5">
      <c r="A98" s="94" t="s">
        <v>335</v>
      </c>
      <c r="B98" s="111">
        <v>0</v>
      </c>
      <c r="C98" s="111">
        <v>0</v>
      </c>
      <c r="D98" s="111">
        <v>0</v>
      </c>
      <c r="E98" s="111">
        <v>-0.07746147819273962</v>
      </c>
      <c r="F98" s="106">
        <v>-0.019365369548184904</v>
      </c>
    </row>
    <row r="99" spans="1:6" ht="16.5">
      <c r="A99" s="94" t="s">
        <v>336</v>
      </c>
      <c r="B99" s="111">
        <v>0</v>
      </c>
      <c r="C99" s="111">
        <v>0</v>
      </c>
      <c r="D99" s="111">
        <v>0</v>
      </c>
      <c r="E99" s="111">
        <v>-0.06612347226574741</v>
      </c>
      <c r="F99" s="106">
        <v>-0.016530868066436853</v>
      </c>
    </row>
    <row r="100" spans="1:6" ht="28.5">
      <c r="A100" s="94" t="s">
        <v>337</v>
      </c>
      <c r="B100" s="111">
        <v>0</v>
      </c>
      <c r="C100" s="111">
        <v>0</v>
      </c>
      <c r="D100" s="111">
        <v>0</v>
      </c>
      <c r="E100" s="111">
        <v>-0.06629055007052186</v>
      </c>
      <c r="F100" s="106">
        <v>-0.016572637517630464</v>
      </c>
    </row>
    <row r="101" spans="1:6" ht="16.5">
      <c r="A101" s="94" t="s">
        <v>338</v>
      </c>
      <c r="B101" s="111">
        <v>0</v>
      </c>
      <c r="C101" s="111">
        <v>0</v>
      </c>
      <c r="D101" s="111">
        <v>0</v>
      </c>
      <c r="E101" s="111">
        <v>0.09462287325993995</v>
      </c>
      <c r="F101" s="106">
        <v>0.02365571831498499</v>
      </c>
    </row>
    <row r="102" spans="1:6" ht="28.5">
      <c r="A102" s="94" t="s">
        <v>339</v>
      </c>
      <c r="B102" s="111">
        <v>0</v>
      </c>
      <c r="C102" s="111">
        <v>0</v>
      </c>
      <c r="D102" s="111">
        <v>0</v>
      </c>
      <c r="E102" s="111">
        <v>-1</v>
      </c>
      <c r="F102" s="106">
        <v>-0.25</v>
      </c>
    </row>
    <row r="103" spans="1:6" ht="28.5">
      <c r="A103" s="94" t="s">
        <v>340</v>
      </c>
      <c r="B103" s="111">
        <v>0</v>
      </c>
      <c r="C103" s="111">
        <v>0</v>
      </c>
      <c r="D103" s="111">
        <v>0</v>
      </c>
      <c r="E103" s="111">
        <v>-0.473135593220339</v>
      </c>
      <c r="F103" s="106">
        <v>-0.11828389830508475</v>
      </c>
    </row>
    <row r="104" spans="1:6" ht="16.5">
      <c r="A104" s="94" t="s">
        <v>341</v>
      </c>
      <c r="B104" s="111">
        <v>0</v>
      </c>
      <c r="C104" s="111">
        <v>0</v>
      </c>
      <c r="D104" s="111">
        <v>0</v>
      </c>
      <c r="E104" s="111">
        <v>-0.1593896873509979</v>
      </c>
      <c r="F104" s="106">
        <v>-0.039847421837749475</v>
      </c>
    </row>
    <row r="105" spans="1:6" ht="16.5">
      <c r="A105" s="92" t="s">
        <v>330</v>
      </c>
      <c r="B105" s="111">
        <v>0</v>
      </c>
      <c r="C105" s="111">
        <v>0</v>
      </c>
      <c r="D105" s="111">
        <v>0</v>
      </c>
      <c r="E105" s="111">
        <v>-0.11270553064275038</v>
      </c>
      <c r="F105" s="106">
        <v>-0.028176382660687595</v>
      </c>
    </row>
    <row r="106" spans="1:6" ht="28.5">
      <c r="A106" s="94" t="s">
        <v>348</v>
      </c>
      <c r="B106" s="111">
        <v>0</v>
      </c>
      <c r="C106" s="111">
        <v>0</v>
      </c>
      <c r="D106" s="111">
        <v>0</v>
      </c>
      <c r="E106" s="111">
        <v>-1</v>
      </c>
      <c r="F106" s="106">
        <v>-0.25</v>
      </c>
    </row>
    <row r="107" spans="1:6" ht="28.5">
      <c r="A107" s="92" t="s">
        <v>298</v>
      </c>
      <c r="B107" s="111">
        <v>0.2595302894921907</v>
      </c>
      <c r="C107" s="111">
        <v>-0.7599145799723809</v>
      </c>
      <c r="D107" s="111">
        <v>-1</v>
      </c>
      <c r="E107" s="111">
        <v>0</v>
      </c>
      <c r="F107" s="106">
        <v>-0.3750960726200475</v>
      </c>
    </row>
    <row r="108" spans="1:6" ht="16.5">
      <c r="A108" s="92" t="s">
        <v>299</v>
      </c>
      <c r="B108" s="111">
        <v>1.5979760859166912</v>
      </c>
      <c r="C108" s="111">
        <v>-0.7124949610398235</v>
      </c>
      <c r="D108" s="111">
        <v>-1</v>
      </c>
      <c r="E108" s="111">
        <v>0</v>
      </c>
      <c r="F108" s="106">
        <v>-0.028629718780783076</v>
      </c>
    </row>
    <row r="109" spans="1:6" ht="16.5">
      <c r="A109" s="92" t="s">
        <v>300</v>
      </c>
      <c r="B109" s="111">
        <v>-0.18102470741222368</v>
      </c>
      <c r="C109" s="111">
        <v>-0.9457852751384584</v>
      </c>
      <c r="D109" s="111">
        <v>-0.4611059044048735</v>
      </c>
      <c r="E109" s="111">
        <v>1.5260869565217392</v>
      </c>
      <c r="F109" s="106">
        <v>-0.015457232608454108</v>
      </c>
    </row>
    <row r="110" spans="1:6" ht="16.5">
      <c r="A110" s="92" t="s">
        <v>301</v>
      </c>
      <c r="B110" s="111">
        <v>0.9921070037700911</v>
      </c>
      <c r="C110" s="111">
        <v>-0.6373282044050875</v>
      </c>
      <c r="D110" s="111">
        <v>0.775845277676136</v>
      </c>
      <c r="E110" s="111">
        <v>-0.21802895843063988</v>
      </c>
      <c r="F110" s="106">
        <v>0.22814877965262492</v>
      </c>
    </row>
    <row r="111" spans="1:6" ht="16.5">
      <c r="A111" s="94" t="s">
        <v>343</v>
      </c>
      <c r="B111" s="111">
        <v>0</v>
      </c>
      <c r="C111" s="111">
        <v>0</v>
      </c>
      <c r="D111" s="111">
        <v>0</v>
      </c>
      <c r="E111" s="111">
        <v>-1</v>
      </c>
      <c r="F111" s="106">
        <v>-0.25</v>
      </c>
    </row>
    <row r="112" spans="1:6" ht="16.5">
      <c r="A112" s="94" t="s">
        <v>342</v>
      </c>
      <c r="B112" s="111">
        <v>0</v>
      </c>
      <c r="C112" s="111">
        <v>0</v>
      </c>
      <c r="D112" s="111">
        <v>0</v>
      </c>
      <c r="E112" s="111">
        <v>-1</v>
      </c>
      <c r="F112" s="106">
        <v>-0.25</v>
      </c>
    </row>
    <row r="113" spans="1:6" ht="16.5">
      <c r="A113" s="92" t="s">
        <v>302</v>
      </c>
      <c r="B113" s="111">
        <v>1.438807268219429</v>
      </c>
      <c r="C113" s="111">
        <v>-0.5432295786454041</v>
      </c>
      <c r="D113" s="111">
        <v>-0.09757920943685548</v>
      </c>
      <c r="E113" s="111">
        <v>0.6273101444596885</v>
      </c>
      <c r="F113" s="106">
        <v>0.3563271561492145</v>
      </c>
    </row>
    <row r="114" spans="1:6" ht="16.5">
      <c r="A114" s="94" t="s">
        <v>346</v>
      </c>
      <c r="B114" s="111">
        <v>0</v>
      </c>
      <c r="C114" s="111">
        <v>0</v>
      </c>
      <c r="D114" s="111">
        <v>0</v>
      </c>
      <c r="E114" s="111">
        <v>0.5330188679245284</v>
      </c>
      <c r="F114" s="106">
        <v>0.1332547169811321</v>
      </c>
    </row>
    <row r="115" spans="1:6" ht="16.5">
      <c r="A115" s="92" t="s">
        <v>303</v>
      </c>
      <c r="B115" s="111">
        <v>1.8904302026794089</v>
      </c>
      <c r="C115" s="111">
        <v>0.01604841264647335</v>
      </c>
      <c r="D115" s="111">
        <v>-1</v>
      </c>
      <c r="E115" s="111">
        <v>0</v>
      </c>
      <c r="F115" s="106">
        <v>0.15</v>
      </c>
    </row>
    <row r="116" spans="1:6" ht="28.5">
      <c r="A116" s="92" t="s">
        <v>304</v>
      </c>
      <c r="B116" s="111">
        <v>1.6778444941990638</v>
      </c>
      <c r="C116" s="111">
        <v>-0.486639936658749</v>
      </c>
      <c r="D116" s="111">
        <v>-0.04894362165427546</v>
      </c>
      <c r="E116" s="111">
        <v>0.19693824597820447</v>
      </c>
      <c r="F116" s="106">
        <v>0.3347997954660609</v>
      </c>
    </row>
    <row r="117" spans="1:6" ht="16.5">
      <c r="A117" s="92" t="s">
        <v>305</v>
      </c>
      <c r="B117" s="111">
        <v>0.3789868453211205</v>
      </c>
      <c r="C117" s="111">
        <v>-0.4533283960767756</v>
      </c>
      <c r="D117" s="111">
        <v>0.6440791672784413</v>
      </c>
      <c r="E117" s="111">
        <v>0.0010688201413217742</v>
      </c>
      <c r="F117" s="106">
        <v>0.14270160916602698</v>
      </c>
    </row>
    <row r="118" spans="1:6" ht="16.5">
      <c r="A118" s="92" t="s">
        <v>306</v>
      </c>
      <c r="B118" s="111">
        <v>0</v>
      </c>
      <c r="C118" s="111">
        <v>0</v>
      </c>
      <c r="D118" s="111">
        <v>0</v>
      </c>
      <c r="E118" s="111">
        <v>0</v>
      </c>
      <c r="F118" s="106">
        <v>0</v>
      </c>
    </row>
    <row r="119" spans="1:6" ht="16.5">
      <c r="A119" s="92" t="s">
        <v>307</v>
      </c>
      <c r="B119" s="111">
        <v>0</v>
      </c>
      <c r="C119" s="111">
        <v>0</v>
      </c>
      <c r="D119" s="111">
        <v>0</v>
      </c>
      <c r="E119" s="111">
        <v>3.178031047357045</v>
      </c>
      <c r="F119" s="106">
        <v>0.7945077618392612</v>
      </c>
    </row>
    <row r="120" spans="1:6" ht="16.5">
      <c r="A120" s="92" t="s">
        <v>308</v>
      </c>
      <c r="B120" s="111">
        <v>1.514721163837894</v>
      </c>
      <c r="C120" s="111">
        <v>0.0371900826446281</v>
      </c>
      <c r="D120" s="111">
        <v>-1</v>
      </c>
      <c r="E120" s="111">
        <v>0</v>
      </c>
      <c r="F120" s="106">
        <v>0.1379778116206305</v>
      </c>
    </row>
    <row r="121" spans="1:6" ht="16.5">
      <c r="A121" s="92" t="s">
        <v>309</v>
      </c>
      <c r="B121" s="111">
        <v>0</v>
      </c>
      <c r="C121" s="111">
        <v>-1</v>
      </c>
      <c r="D121" s="111">
        <v>0</v>
      </c>
      <c r="E121" s="111">
        <v>-0.07312565997888068</v>
      </c>
      <c r="F121" s="106">
        <v>-0.2682814149947202</v>
      </c>
    </row>
    <row r="122" spans="1:6" ht="16.5">
      <c r="A122" s="92" t="s">
        <v>310</v>
      </c>
      <c r="B122" s="111">
        <v>0</v>
      </c>
      <c r="C122" s="111">
        <v>0</v>
      </c>
      <c r="D122" s="111">
        <v>0</v>
      </c>
      <c r="E122" s="111">
        <v>0</v>
      </c>
      <c r="F122" s="106">
        <v>0</v>
      </c>
    </row>
    <row r="123" spans="1:6" ht="16.5">
      <c r="A123" s="94" t="s">
        <v>349</v>
      </c>
      <c r="B123" s="111">
        <v>0</v>
      </c>
      <c r="C123" s="111">
        <v>0</v>
      </c>
      <c r="D123" s="111">
        <v>0</v>
      </c>
      <c r="E123" s="111">
        <v>0.7669172932330827</v>
      </c>
      <c r="F123" s="106">
        <v>0.19172932330827067</v>
      </c>
    </row>
    <row r="124" spans="1:6" ht="16.5">
      <c r="A124" s="92" t="s">
        <v>311</v>
      </c>
      <c r="B124" s="111">
        <v>0</v>
      </c>
      <c r="C124" s="111">
        <v>0</v>
      </c>
      <c r="D124" s="111">
        <v>0</v>
      </c>
      <c r="E124" s="111">
        <v>0</v>
      </c>
      <c r="F124" s="106">
        <v>0</v>
      </c>
    </row>
    <row r="125" spans="1:6" ht="28.5">
      <c r="A125" s="92" t="s">
        <v>312</v>
      </c>
      <c r="B125" s="111">
        <v>0</v>
      </c>
      <c r="C125" s="111">
        <v>-0.7050656123850079</v>
      </c>
      <c r="D125" s="111">
        <v>-0.4963899746770531</v>
      </c>
      <c r="E125" s="111">
        <v>-0.7222507928344905</v>
      </c>
      <c r="F125" s="106">
        <v>-0.4809265949741378</v>
      </c>
    </row>
    <row r="126" spans="1:6" ht="16.5">
      <c r="A126" s="92" t="s">
        <v>313</v>
      </c>
      <c r="B126" s="111">
        <v>5.379424361999564</v>
      </c>
      <c r="C126" s="111">
        <v>2.083662617347498</v>
      </c>
      <c r="D126" s="111">
        <v>-0.14612870218942622</v>
      </c>
      <c r="E126" s="111">
        <v>-0.02242927610776171</v>
      </c>
      <c r="F126" s="106">
        <v>0.35</v>
      </c>
    </row>
    <row r="127" spans="1:6" ht="16.5">
      <c r="A127" s="92" t="s">
        <v>314</v>
      </c>
      <c r="B127" s="111">
        <v>0</v>
      </c>
      <c r="C127" s="111">
        <v>-1</v>
      </c>
      <c r="D127" s="111">
        <v>0</v>
      </c>
      <c r="E127" s="111">
        <v>0</v>
      </c>
      <c r="F127" s="106">
        <v>-0.25</v>
      </c>
    </row>
    <row r="128" spans="1:6" ht="16.5">
      <c r="A128" s="92" t="s">
        <v>315</v>
      </c>
      <c r="B128" s="111">
        <v>-1</v>
      </c>
      <c r="C128" s="111">
        <v>0</v>
      </c>
      <c r="D128" s="111">
        <v>0</v>
      </c>
      <c r="E128" s="111">
        <v>0</v>
      </c>
      <c r="F128" s="106">
        <v>-0.25</v>
      </c>
    </row>
    <row r="129" spans="1:6" ht="28.5">
      <c r="A129" s="92" t="s">
        <v>316</v>
      </c>
      <c r="B129" s="111">
        <v>0</v>
      </c>
      <c r="C129" s="111">
        <v>0</v>
      </c>
      <c r="D129" s="111">
        <v>0</v>
      </c>
      <c r="E129" s="111">
        <v>-1</v>
      </c>
      <c r="F129" s="106">
        <v>-0.25</v>
      </c>
    </row>
    <row r="130" spans="1:6" ht="16.5">
      <c r="A130" s="92" t="s">
        <v>317</v>
      </c>
      <c r="B130" s="111">
        <v>0</v>
      </c>
      <c r="C130" s="111">
        <v>0</v>
      </c>
      <c r="D130" s="111">
        <v>0</v>
      </c>
      <c r="E130" s="111">
        <v>-1</v>
      </c>
      <c r="F130" s="106">
        <v>-0.25</v>
      </c>
    </row>
    <row r="131" spans="1:6" ht="16.5">
      <c r="A131" s="92" t="s">
        <v>318</v>
      </c>
      <c r="B131" s="111">
        <v>-1</v>
      </c>
      <c r="C131" s="111">
        <v>0</v>
      </c>
      <c r="D131" s="111">
        <v>-1</v>
      </c>
      <c r="E131" s="111">
        <v>0</v>
      </c>
      <c r="F131" s="106">
        <v>0.15</v>
      </c>
    </row>
    <row r="132" spans="1:6" ht="16.5">
      <c r="A132" s="92" t="s">
        <v>319</v>
      </c>
      <c r="B132" s="111">
        <v>1.497443680964646</v>
      </c>
      <c r="C132" s="111">
        <v>-1</v>
      </c>
      <c r="D132" s="111">
        <v>0</v>
      </c>
      <c r="E132" s="111">
        <v>-0.5051229508196722</v>
      </c>
      <c r="F132" s="106">
        <v>-0.0019198174637565235</v>
      </c>
    </row>
    <row r="133" spans="1:6" ht="16.5">
      <c r="A133" s="92" t="s">
        <v>347</v>
      </c>
      <c r="B133" s="111">
        <v>0</v>
      </c>
      <c r="C133" s="111">
        <v>0</v>
      </c>
      <c r="D133" s="111">
        <v>0</v>
      </c>
      <c r="E133" s="111">
        <v>-0.8638790035587188</v>
      </c>
      <c r="F133" s="106">
        <v>-0.2159697508896797</v>
      </c>
    </row>
    <row r="134" spans="1:6" ht="16.5">
      <c r="A134" s="94" t="s">
        <v>344</v>
      </c>
      <c r="B134" s="111">
        <v>0</v>
      </c>
      <c r="C134" s="111">
        <v>0</v>
      </c>
      <c r="D134" s="111">
        <v>0</v>
      </c>
      <c r="E134" s="111">
        <v>0.07516419362685478</v>
      </c>
      <c r="F134" s="106">
        <v>0.018791048406713695</v>
      </c>
    </row>
    <row r="135" spans="1:6" ht="16.5">
      <c r="A135" s="94" t="s">
        <v>345</v>
      </c>
      <c r="B135" s="111">
        <v>0</v>
      </c>
      <c r="C135" s="111">
        <v>0</v>
      </c>
      <c r="D135" s="111">
        <v>0</v>
      </c>
      <c r="E135" s="111">
        <v>0.7587828837828838</v>
      </c>
      <c r="F135" s="106">
        <v>0.18969572094572096</v>
      </c>
    </row>
    <row r="136" spans="1:6" ht="28.5">
      <c r="A136" s="92" t="s">
        <v>320</v>
      </c>
      <c r="B136" s="111">
        <v>0</v>
      </c>
      <c r="C136" s="111">
        <v>0</v>
      </c>
      <c r="D136" s="111">
        <v>0</v>
      </c>
      <c r="E136" s="111">
        <v>0</v>
      </c>
      <c r="F136" s="106">
        <v>0</v>
      </c>
    </row>
    <row r="137" spans="1:6" ht="16.5">
      <c r="A137" s="92" t="s">
        <v>321</v>
      </c>
      <c r="B137" s="111">
        <v>0</v>
      </c>
      <c r="C137" s="111">
        <v>0.08637391656752906</v>
      </c>
      <c r="D137" s="111">
        <v>-1</v>
      </c>
      <c r="E137" s="111">
        <v>0</v>
      </c>
      <c r="F137" s="106">
        <v>-0.22840652085811775</v>
      </c>
    </row>
    <row r="138" spans="1:6" ht="16.5">
      <c r="A138" s="92" t="s">
        <v>322</v>
      </c>
      <c r="B138" s="111">
        <v>0</v>
      </c>
      <c r="C138" s="111">
        <v>0</v>
      </c>
      <c r="D138" s="111">
        <v>0</v>
      </c>
      <c r="E138" s="111">
        <v>0</v>
      </c>
      <c r="F138" s="106">
        <v>0</v>
      </c>
    </row>
    <row r="139" spans="1:6" ht="16.5">
      <c r="A139" s="92" t="s">
        <v>323</v>
      </c>
      <c r="B139" s="111">
        <v>0.18573551263001487</v>
      </c>
      <c r="C139" s="111">
        <v>-1</v>
      </c>
      <c r="D139" s="111">
        <v>0</v>
      </c>
      <c r="E139" s="111">
        <v>0</v>
      </c>
      <c r="F139" s="106">
        <v>-0.20356612184249628</v>
      </c>
    </row>
    <row r="140" spans="1:6" ht="16.5">
      <c r="A140" s="92" t="s">
        <v>324</v>
      </c>
      <c r="B140" s="111">
        <v>4.77403037332102</v>
      </c>
      <c r="C140" s="111">
        <v>-0.6963437295628438</v>
      </c>
      <c r="D140" s="111">
        <v>-1</v>
      </c>
      <c r="E140" s="111">
        <v>0</v>
      </c>
      <c r="F140" s="106">
        <v>0.4</v>
      </c>
    </row>
    <row r="141" spans="1:6" ht="16.5">
      <c r="A141" s="92" t="s">
        <v>319</v>
      </c>
      <c r="B141" s="111">
        <v>-0.925036827830207</v>
      </c>
      <c r="C141" s="111">
        <v>0.6013712997903897</v>
      </c>
      <c r="D141" s="111">
        <v>-0.7674316905132007</v>
      </c>
      <c r="E141" s="111">
        <v>2.3461538461538463</v>
      </c>
      <c r="F141" s="106">
        <v>0.3137641569002071</v>
      </c>
    </row>
    <row r="142" spans="1:6" ht="17.25" thickBot="1">
      <c r="A142" s="95" t="s">
        <v>3</v>
      </c>
      <c r="B142" s="112">
        <v>0</v>
      </c>
      <c r="C142" s="112">
        <v>0</v>
      </c>
      <c r="D142" s="112">
        <v>1.673529411764706</v>
      </c>
      <c r="E142" s="112">
        <v>-0.7029702970297029</v>
      </c>
      <c r="F142" s="113">
        <v>0.24263977868375075</v>
      </c>
    </row>
    <row r="143" ht="16.5">
      <c r="A143" s="114"/>
    </row>
    <row r="144" ht="16.5">
      <c r="A144" s="114"/>
    </row>
    <row r="145" ht="16.5">
      <c r="A145" s="114"/>
    </row>
    <row r="146" ht="16.5">
      <c r="A146" s="114"/>
    </row>
    <row r="147" ht="16.5">
      <c r="A147" s="114"/>
    </row>
    <row r="148" ht="16.5">
      <c r="A148" s="114"/>
    </row>
    <row r="149" ht="16.5">
      <c r="A149" s="114"/>
    </row>
    <row r="150" ht="16.5">
      <c r="A150" s="114"/>
    </row>
    <row r="151" ht="16.5">
      <c r="A151" s="114"/>
    </row>
    <row r="152" ht="16.5">
      <c r="A152" s="114"/>
    </row>
    <row r="153" ht="16.5">
      <c r="A153" s="114"/>
    </row>
    <row r="154" ht="16.5">
      <c r="A154" s="114"/>
    </row>
    <row r="155" ht="16.5">
      <c r="A155" s="114"/>
    </row>
    <row r="156" ht="16.5">
      <c r="A156" s="114"/>
    </row>
    <row r="157" ht="16.5">
      <c r="A157" s="114"/>
    </row>
    <row r="158" ht="16.5">
      <c r="A158" s="114"/>
    </row>
    <row r="159" ht="16.5">
      <c r="A159" s="114"/>
    </row>
    <row r="160" ht="16.5">
      <c r="A160" s="114"/>
    </row>
    <row r="161" ht="16.5">
      <c r="A161" s="114"/>
    </row>
    <row r="162" ht="16.5">
      <c r="A162" s="114"/>
    </row>
    <row r="163" ht="16.5">
      <c r="A163" s="114"/>
    </row>
    <row r="164" ht="16.5">
      <c r="A164" s="114"/>
    </row>
    <row r="165" ht="16.5">
      <c r="A165" s="114"/>
    </row>
    <row r="166" ht="16.5">
      <c r="A166" s="114"/>
    </row>
    <row r="167" ht="16.5">
      <c r="A167" s="114"/>
    </row>
    <row r="168" ht="16.5">
      <c r="A168" s="114"/>
    </row>
    <row r="169" ht="16.5">
      <c r="A169" s="114"/>
    </row>
    <row r="170" ht="16.5">
      <c r="A170" s="114"/>
    </row>
    <row r="171" ht="16.5">
      <c r="A171" s="114"/>
    </row>
    <row r="172" ht="16.5">
      <c r="A172" s="114"/>
    </row>
    <row r="173" ht="16.5">
      <c r="A173" s="114"/>
    </row>
    <row r="174" ht="16.5">
      <c r="A174" s="114"/>
    </row>
    <row r="175" ht="16.5">
      <c r="A175" s="114"/>
    </row>
    <row r="176" ht="16.5">
      <c r="A176" s="114"/>
    </row>
    <row r="177" ht="16.5">
      <c r="A177" s="114"/>
    </row>
    <row r="178" ht="16.5">
      <c r="A178" s="114"/>
    </row>
    <row r="179" ht="16.5">
      <c r="A179" s="114"/>
    </row>
    <row r="180" ht="16.5">
      <c r="A180" s="114"/>
    </row>
    <row r="181" ht="16.5">
      <c r="A181" s="114"/>
    </row>
    <row r="182" ht="16.5">
      <c r="A182" s="114"/>
    </row>
    <row r="183" ht="16.5">
      <c r="A183" s="114"/>
    </row>
    <row r="184" ht="16.5">
      <c r="A184" s="114"/>
    </row>
    <row r="185" ht="16.5">
      <c r="A185" s="114"/>
    </row>
    <row r="186" ht="16.5">
      <c r="A186" s="114"/>
    </row>
    <row r="187" ht="16.5">
      <c r="A187" s="114"/>
    </row>
    <row r="188" ht="16.5">
      <c r="A188" s="114"/>
    </row>
    <row r="189" ht="16.5">
      <c r="A189" s="114"/>
    </row>
    <row r="190" ht="16.5">
      <c r="A190" s="114"/>
    </row>
    <row r="191" ht="16.5">
      <c r="A191" s="114"/>
    </row>
    <row r="192" ht="16.5">
      <c r="A192" s="114"/>
    </row>
    <row r="193" ht="16.5">
      <c r="A193" s="114"/>
    </row>
    <row r="194" ht="16.5">
      <c r="A194" s="114"/>
    </row>
    <row r="195" ht="16.5">
      <c r="A195" s="114"/>
    </row>
    <row r="196" ht="16.5">
      <c r="A196" s="114"/>
    </row>
    <row r="197" ht="16.5">
      <c r="A197" s="114"/>
    </row>
    <row r="198" ht="16.5">
      <c r="A198" s="114"/>
    </row>
    <row r="199" ht="16.5">
      <c r="A199" s="114"/>
    </row>
    <row r="200" ht="16.5">
      <c r="A200" s="114"/>
    </row>
    <row r="201" ht="16.5">
      <c r="A201" s="114"/>
    </row>
    <row r="202" ht="16.5">
      <c r="A202" s="114"/>
    </row>
    <row r="203" ht="16.5">
      <c r="A203" s="114"/>
    </row>
    <row r="204" ht="16.5">
      <c r="A204" s="114"/>
    </row>
    <row r="205" ht="16.5">
      <c r="A205" s="114"/>
    </row>
    <row r="206" ht="16.5">
      <c r="A206" s="114"/>
    </row>
    <row r="207" ht="16.5">
      <c r="A207" s="114"/>
    </row>
    <row r="208" ht="16.5">
      <c r="A208" s="114"/>
    </row>
    <row r="209" ht="16.5">
      <c r="A209" s="114"/>
    </row>
    <row r="210" ht="16.5">
      <c r="A210" s="114"/>
    </row>
    <row r="211" ht="16.5">
      <c r="A211" s="114"/>
    </row>
    <row r="212" ht="16.5">
      <c r="A212" s="114"/>
    </row>
    <row r="213" ht="16.5">
      <c r="A213" s="114"/>
    </row>
    <row r="214" ht="16.5">
      <c r="A214" s="114"/>
    </row>
    <row r="215" ht="16.5">
      <c r="A215" s="114"/>
    </row>
    <row r="216" ht="16.5">
      <c r="A216" s="114"/>
    </row>
    <row r="217" ht="16.5">
      <c r="A217" s="114"/>
    </row>
    <row r="218" ht="16.5">
      <c r="A218" s="114"/>
    </row>
    <row r="219" ht="16.5">
      <c r="A219" s="114"/>
    </row>
    <row r="220" ht="16.5">
      <c r="A220" s="114"/>
    </row>
    <row r="221" ht="16.5">
      <c r="A221" s="114"/>
    </row>
    <row r="222" ht="16.5">
      <c r="A222" s="114"/>
    </row>
    <row r="223" ht="16.5">
      <c r="A223" s="114"/>
    </row>
    <row r="224" ht="16.5">
      <c r="A224" s="114"/>
    </row>
    <row r="225" ht="16.5">
      <c r="A225" s="114"/>
    </row>
    <row r="226" ht="16.5">
      <c r="A226" s="114"/>
    </row>
    <row r="227" ht="16.5">
      <c r="A227" s="114"/>
    </row>
    <row r="228" ht="16.5">
      <c r="A228" s="114"/>
    </row>
    <row r="229" ht="16.5">
      <c r="A229" s="114"/>
    </row>
    <row r="230" ht="16.5">
      <c r="A230" s="114"/>
    </row>
    <row r="231" ht="16.5">
      <c r="A231" s="114"/>
    </row>
    <row r="232" ht="16.5">
      <c r="A232" s="114"/>
    </row>
    <row r="233" ht="16.5">
      <c r="A233" s="114"/>
    </row>
    <row r="234" ht="16.5">
      <c r="A234" s="114"/>
    </row>
    <row r="235" ht="16.5">
      <c r="A235" s="114"/>
    </row>
    <row r="236" ht="16.5">
      <c r="A236" s="114"/>
    </row>
    <row r="237" ht="16.5">
      <c r="A237" s="114"/>
    </row>
    <row r="238" ht="16.5">
      <c r="A238" s="114"/>
    </row>
    <row r="239" ht="16.5">
      <c r="A239" s="114"/>
    </row>
    <row r="240" ht="16.5">
      <c r="A240" s="114"/>
    </row>
    <row r="241" ht="16.5">
      <c r="A241" s="114"/>
    </row>
    <row r="242" ht="16.5">
      <c r="A242" s="114"/>
    </row>
    <row r="243" ht="16.5">
      <c r="A243" s="114"/>
    </row>
    <row r="244" ht="16.5">
      <c r="A244" s="114"/>
    </row>
    <row r="245" ht="16.5">
      <c r="A245" s="114"/>
    </row>
    <row r="246" ht="16.5">
      <c r="A246" s="114"/>
    </row>
    <row r="247" ht="16.5">
      <c r="A247" s="114"/>
    </row>
    <row r="248" ht="16.5">
      <c r="A248" s="114"/>
    </row>
    <row r="249" ht="16.5">
      <c r="A249" s="114"/>
    </row>
    <row r="250" ht="16.5">
      <c r="A250" s="114"/>
    </row>
    <row r="251" ht="16.5">
      <c r="A251" s="114"/>
    </row>
    <row r="252" ht="16.5">
      <c r="A252" s="114"/>
    </row>
    <row r="253" ht="16.5">
      <c r="A253" s="114"/>
    </row>
    <row r="254" ht="16.5">
      <c r="A254" s="114"/>
    </row>
    <row r="255" ht="16.5">
      <c r="A255" s="114"/>
    </row>
    <row r="256" ht="16.5">
      <c r="A256" s="114"/>
    </row>
    <row r="257" ht="16.5">
      <c r="A257" s="114"/>
    </row>
    <row r="258" ht="16.5">
      <c r="A258" s="114"/>
    </row>
    <row r="259" ht="16.5">
      <c r="A259" s="114"/>
    </row>
    <row r="260" ht="16.5">
      <c r="A260" s="114"/>
    </row>
    <row r="261" ht="16.5">
      <c r="A261" s="114"/>
    </row>
    <row r="262" ht="16.5">
      <c r="A262" s="114"/>
    </row>
    <row r="263" ht="16.5">
      <c r="A263" s="114"/>
    </row>
    <row r="264" ht="16.5">
      <c r="A264" s="114"/>
    </row>
    <row r="265" ht="16.5">
      <c r="A265" s="114"/>
    </row>
    <row r="266" ht="16.5">
      <c r="A266" s="114"/>
    </row>
    <row r="267" ht="16.5">
      <c r="A267" s="114"/>
    </row>
    <row r="268" ht="16.5">
      <c r="A268" s="114"/>
    </row>
    <row r="269" ht="16.5">
      <c r="A269" s="114"/>
    </row>
    <row r="270" ht="16.5">
      <c r="A270" s="114"/>
    </row>
    <row r="271" ht="16.5">
      <c r="A271" s="114"/>
    </row>
    <row r="272" ht="16.5">
      <c r="A272" s="114"/>
    </row>
    <row r="273" ht="16.5">
      <c r="A273" s="114"/>
    </row>
    <row r="274" ht="16.5">
      <c r="A274" s="114"/>
    </row>
    <row r="275" ht="16.5">
      <c r="A275" s="114"/>
    </row>
    <row r="276" ht="16.5">
      <c r="A276" s="114"/>
    </row>
    <row r="277" ht="16.5">
      <c r="A277" s="114"/>
    </row>
    <row r="278" ht="16.5">
      <c r="A278" s="114"/>
    </row>
    <row r="279" ht="16.5">
      <c r="A279" s="114"/>
    </row>
    <row r="280" ht="16.5">
      <c r="A280" s="114"/>
    </row>
    <row r="281" ht="16.5">
      <c r="A281" s="114"/>
    </row>
    <row r="282" ht="16.5">
      <c r="A282" s="114"/>
    </row>
    <row r="283" ht="16.5">
      <c r="A283" s="114"/>
    </row>
    <row r="284" ht="16.5">
      <c r="A284" s="114"/>
    </row>
    <row r="285" ht="16.5">
      <c r="A285" s="114"/>
    </row>
    <row r="286" ht="16.5">
      <c r="A286" s="114"/>
    </row>
    <row r="287" ht="16.5">
      <c r="A287" s="114"/>
    </row>
    <row r="288" ht="16.5">
      <c r="A288" s="114"/>
    </row>
    <row r="289" ht="16.5">
      <c r="A289" s="114"/>
    </row>
    <row r="290" ht="16.5">
      <c r="A290" s="114"/>
    </row>
    <row r="291" ht="16.5">
      <c r="A291" s="114"/>
    </row>
    <row r="292" ht="16.5">
      <c r="A292" s="114"/>
    </row>
    <row r="293" ht="16.5">
      <c r="A293" s="114"/>
    </row>
    <row r="294" ht="16.5">
      <c r="A294" s="114"/>
    </row>
    <row r="295" ht="16.5">
      <c r="A295" s="114"/>
    </row>
    <row r="296" ht="16.5">
      <c r="A296" s="114"/>
    </row>
    <row r="297" ht="16.5">
      <c r="A297" s="114"/>
    </row>
    <row r="298" ht="16.5">
      <c r="A298" s="114"/>
    </row>
    <row r="299" ht="16.5">
      <c r="A299" s="114"/>
    </row>
    <row r="300" ht="16.5">
      <c r="A300" s="114"/>
    </row>
    <row r="301" ht="16.5">
      <c r="A301" s="114"/>
    </row>
    <row r="302" ht="16.5">
      <c r="A302" s="114"/>
    </row>
    <row r="303" ht="16.5">
      <c r="A303" s="114"/>
    </row>
    <row r="304" ht="16.5">
      <c r="A304" s="114"/>
    </row>
    <row r="305" ht="16.5">
      <c r="A305" s="114"/>
    </row>
    <row r="306" ht="16.5">
      <c r="A306" s="114"/>
    </row>
    <row r="307" ht="16.5">
      <c r="A307" s="114"/>
    </row>
    <row r="308" ht="16.5">
      <c r="A308" s="114"/>
    </row>
    <row r="309" ht="16.5">
      <c r="A309" s="114"/>
    </row>
    <row r="310" ht="16.5">
      <c r="A310" s="114"/>
    </row>
    <row r="311" ht="16.5">
      <c r="A311" s="114"/>
    </row>
    <row r="312" ht="16.5">
      <c r="A312" s="114"/>
    </row>
    <row r="313" ht="16.5">
      <c r="A313" s="114"/>
    </row>
    <row r="314" ht="16.5">
      <c r="A314" s="114"/>
    </row>
    <row r="315" ht="16.5">
      <c r="A315" s="114"/>
    </row>
    <row r="316" ht="16.5">
      <c r="A316" s="114"/>
    </row>
    <row r="317" ht="16.5">
      <c r="A317" s="114"/>
    </row>
    <row r="318" ht="16.5">
      <c r="A318" s="114"/>
    </row>
    <row r="319" ht="16.5">
      <c r="A319" s="114"/>
    </row>
    <row r="320" ht="16.5">
      <c r="A320" s="114"/>
    </row>
    <row r="321" ht="16.5">
      <c r="A321" s="114"/>
    </row>
    <row r="322" ht="16.5">
      <c r="A322" s="114"/>
    </row>
    <row r="323" ht="16.5">
      <c r="A323" s="114"/>
    </row>
    <row r="324" ht="16.5">
      <c r="A324" s="114"/>
    </row>
    <row r="325" ht="16.5">
      <c r="A325" s="114"/>
    </row>
    <row r="326" ht="16.5">
      <c r="A326" s="114"/>
    </row>
    <row r="327" ht="16.5">
      <c r="A327" s="114"/>
    </row>
    <row r="328" ht="16.5">
      <c r="A328" s="114"/>
    </row>
    <row r="329" ht="16.5">
      <c r="A329" s="114"/>
    </row>
    <row r="330" ht="16.5">
      <c r="A330" s="114"/>
    </row>
    <row r="331" ht="16.5">
      <c r="A331" s="114"/>
    </row>
    <row r="332" ht="16.5">
      <c r="A332" s="114"/>
    </row>
    <row r="333" ht="16.5">
      <c r="A333" s="114"/>
    </row>
    <row r="334" ht="16.5">
      <c r="A334" s="114"/>
    </row>
    <row r="335" ht="16.5">
      <c r="A335" s="114"/>
    </row>
    <row r="336" ht="16.5">
      <c r="A336" s="114"/>
    </row>
    <row r="337" ht="16.5">
      <c r="A337" s="114"/>
    </row>
    <row r="338" ht="16.5">
      <c r="A338" s="114"/>
    </row>
    <row r="339" ht="16.5">
      <c r="A339" s="114"/>
    </row>
    <row r="340" ht="16.5">
      <c r="A340" s="114"/>
    </row>
    <row r="341" ht="16.5">
      <c r="A341" s="114"/>
    </row>
    <row r="342" ht="16.5">
      <c r="A342" s="114"/>
    </row>
    <row r="343" ht="16.5">
      <c r="A343" s="114"/>
    </row>
    <row r="344" ht="16.5">
      <c r="A344" s="114"/>
    </row>
    <row r="345" ht="16.5">
      <c r="A345" s="114"/>
    </row>
    <row r="346" ht="16.5">
      <c r="A346" s="114"/>
    </row>
    <row r="347" ht="16.5">
      <c r="A347" s="114"/>
    </row>
    <row r="348" ht="16.5">
      <c r="A348" s="114"/>
    </row>
    <row r="349" ht="16.5">
      <c r="A349" s="114"/>
    </row>
    <row r="350" ht="16.5">
      <c r="A350" s="114"/>
    </row>
    <row r="351" ht="16.5">
      <c r="A351" s="114"/>
    </row>
    <row r="352" ht="16.5">
      <c r="A352" s="114"/>
    </row>
    <row r="353" ht="16.5">
      <c r="A353" s="114"/>
    </row>
    <row r="354" ht="16.5">
      <c r="A354" s="114"/>
    </row>
    <row r="355" ht="16.5">
      <c r="A355" s="114"/>
    </row>
    <row r="356" ht="16.5">
      <c r="A356" s="114"/>
    </row>
    <row r="357" ht="16.5">
      <c r="A357" s="114"/>
    </row>
    <row r="358" ht="16.5">
      <c r="A358" s="114"/>
    </row>
    <row r="359" ht="16.5">
      <c r="A359" s="114"/>
    </row>
    <row r="360" ht="16.5">
      <c r="A360" s="114"/>
    </row>
    <row r="361" ht="16.5">
      <c r="A361" s="114"/>
    </row>
    <row r="362" ht="16.5">
      <c r="A362" s="114"/>
    </row>
    <row r="363" ht="16.5">
      <c r="A363" s="114"/>
    </row>
    <row r="364" ht="16.5">
      <c r="A364" s="114"/>
    </row>
    <row r="365" ht="16.5">
      <c r="A365" s="114"/>
    </row>
    <row r="366" ht="16.5">
      <c r="A366" s="114"/>
    </row>
    <row r="367" ht="16.5">
      <c r="A367" s="114"/>
    </row>
    <row r="368" ht="16.5">
      <c r="A368" s="114"/>
    </row>
    <row r="369" ht="16.5">
      <c r="A369" s="114"/>
    </row>
    <row r="370" ht="16.5">
      <c r="A370" s="114"/>
    </row>
    <row r="371" ht="16.5">
      <c r="A371" s="114"/>
    </row>
    <row r="372" ht="16.5">
      <c r="A372" s="114"/>
    </row>
    <row r="373" ht="16.5">
      <c r="A373" s="114"/>
    </row>
  </sheetData>
  <mergeCells count="2">
    <mergeCell ref="A3:A4"/>
    <mergeCell ref="A1:F1"/>
  </mergeCells>
  <printOptions horizontalCentered="1"/>
  <pageMargins left="0.7874015748031497" right="0.7874015748031497" top="1.5748031496062993" bottom="0.984251968503937" header="0" footer="0"/>
  <pageSetup horizontalDpi="300" verticalDpi="300" orientation="portrait" scale="82" r:id="rId1"/>
  <rowBreaks count="3" manualBreakCount="3">
    <brk id="56" max="255" man="1"/>
    <brk id="96" max="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42"/>
  <sheetViews>
    <sheetView view="pageBreakPreview" zoomScale="70" zoomScaleSheetLayoutView="70" workbookViewId="0" topLeftCell="A124">
      <selection activeCell="D137" sqref="D137"/>
    </sheetView>
  </sheetViews>
  <sheetFormatPr defaultColWidth="12.69921875" defaultRowHeight="15"/>
  <cols>
    <col min="1" max="1" width="27" style="96" customWidth="1"/>
    <col min="2" max="5" width="12.796875" style="96" customWidth="1"/>
    <col min="6" max="16384" width="12.69921875" style="96" customWidth="1"/>
  </cols>
  <sheetData>
    <row r="1" spans="1:5" ht="16.5">
      <c r="A1" s="238" t="s">
        <v>360</v>
      </c>
      <c r="B1" s="238"/>
      <c r="C1" s="238"/>
      <c r="D1" s="238"/>
      <c r="E1" s="238"/>
    </row>
    <row r="2" spans="1:5" ht="16.5">
      <c r="A2" s="238" t="s">
        <v>357</v>
      </c>
      <c r="B2" s="238"/>
      <c r="C2" s="238"/>
      <c r="D2" s="238"/>
      <c r="E2" s="238"/>
    </row>
    <row r="3" spans="1:5" ht="17.25" thickBot="1">
      <c r="A3" s="238" t="s">
        <v>365</v>
      </c>
      <c r="B3" s="238"/>
      <c r="C3" s="238"/>
      <c r="D3" s="238"/>
      <c r="E3" s="238"/>
    </row>
    <row r="4" spans="1:5" ht="16.5">
      <c r="A4" s="239" t="s">
        <v>5</v>
      </c>
      <c r="B4" s="240">
        <v>2004</v>
      </c>
      <c r="C4" s="240">
        <v>2005</v>
      </c>
      <c r="D4" s="240">
        <v>2006</v>
      </c>
      <c r="E4" s="241">
        <v>2007</v>
      </c>
    </row>
    <row r="5" spans="1:5" ht="16.5">
      <c r="A5" s="84" t="s">
        <v>14</v>
      </c>
      <c r="B5" s="115">
        <v>338129736.8866876</v>
      </c>
      <c r="C5" s="115">
        <v>356726872.4154554</v>
      </c>
      <c r="D5" s="115">
        <v>376346850.3983054</v>
      </c>
      <c r="E5" s="116">
        <v>397045927.1702122</v>
      </c>
    </row>
    <row r="6" spans="1:5" ht="16.5">
      <c r="A6" s="84" t="s">
        <v>15</v>
      </c>
      <c r="B6" s="115">
        <v>26305796.234499183</v>
      </c>
      <c r="C6" s="115">
        <v>27752615.027396638</v>
      </c>
      <c r="D6" s="115">
        <v>29279008.853903454</v>
      </c>
      <c r="E6" s="116">
        <v>30889354.340868145</v>
      </c>
    </row>
    <row r="7" spans="1:5" ht="16.5">
      <c r="A7" s="84" t="s">
        <v>16</v>
      </c>
      <c r="B7" s="115">
        <v>29663239.336883474</v>
      </c>
      <c r="C7" s="115">
        <v>31294717.500412066</v>
      </c>
      <c r="D7" s="115">
        <v>33015926.96293473</v>
      </c>
      <c r="E7" s="116">
        <v>34831802.94589614</v>
      </c>
    </row>
    <row r="8" spans="1:5" ht="16.5">
      <c r="A8" s="84" t="s">
        <v>17</v>
      </c>
      <c r="B8" s="115">
        <v>153650015.96097496</v>
      </c>
      <c r="C8" s="115">
        <v>162100766.8388286</v>
      </c>
      <c r="D8" s="115">
        <v>171016309.01496416</v>
      </c>
      <c r="E8" s="116">
        <v>180422206.0107872</v>
      </c>
    </row>
    <row r="9" spans="1:5" ht="28.5">
      <c r="A9" s="84" t="s">
        <v>18</v>
      </c>
      <c r="B9" s="115">
        <v>7412830.170124827</v>
      </c>
      <c r="C9" s="115">
        <v>7820535.829481692</v>
      </c>
      <c r="D9" s="115">
        <v>8250665.300103185</v>
      </c>
      <c r="E9" s="116">
        <v>8704451.89160886</v>
      </c>
    </row>
    <row r="10" spans="1:5" ht="16.5">
      <c r="A10" s="84" t="s">
        <v>19</v>
      </c>
      <c r="B10" s="115">
        <v>19813003.295257397</v>
      </c>
      <c r="C10" s="115">
        <v>20902718.476496555</v>
      </c>
      <c r="D10" s="115">
        <v>22052367.992703866</v>
      </c>
      <c r="E10" s="116">
        <v>23265248.23230258</v>
      </c>
    </row>
    <row r="11" spans="1:5" ht="16.5">
      <c r="A11" s="84" t="s">
        <v>20</v>
      </c>
      <c r="B11" s="115">
        <v>2978511.6829034197</v>
      </c>
      <c r="C11" s="115">
        <v>3142329.825463108</v>
      </c>
      <c r="D11" s="115">
        <v>3315157.965863579</v>
      </c>
      <c r="E11" s="116">
        <v>3497491.653986076</v>
      </c>
    </row>
    <row r="12" spans="1:5" ht="16.5">
      <c r="A12" s="84" t="s">
        <v>21</v>
      </c>
      <c r="B12" s="115">
        <v>0</v>
      </c>
      <c r="C12" s="115">
        <v>0</v>
      </c>
      <c r="D12" s="115">
        <v>0</v>
      </c>
      <c r="E12" s="116">
        <v>0</v>
      </c>
    </row>
    <row r="13" spans="1:5" ht="16.5">
      <c r="A13" s="84" t="s">
        <v>22</v>
      </c>
      <c r="B13" s="115">
        <v>3236000</v>
      </c>
      <c r="C13" s="115">
        <v>3413980</v>
      </c>
      <c r="D13" s="115">
        <v>3601748.9</v>
      </c>
      <c r="E13" s="116">
        <v>3799845.0895</v>
      </c>
    </row>
    <row r="14" spans="1:5" ht="28.5">
      <c r="A14" s="84" t="s">
        <v>23</v>
      </c>
      <c r="B14" s="115">
        <v>112000</v>
      </c>
      <c r="C14" s="115">
        <v>118160</v>
      </c>
      <c r="D14" s="115">
        <v>124658.8</v>
      </c>
      <c r="E14" s="116">
        <v>131515.034</v>
      </c>
    </row>
    <row r="15" spans="1:5" ht="28.5">
      <c r="A15" s="84" t="s">
        <v>24</v>
      </c>
      <c r="B15" s="115">
        <v>330614.0305524795</v>
      </c>
      <c r="C15" s="115">
        <v>348797.8022328659</v>
      </c>
      <c r="D15" s="115">
        <v>367981.6813556735</v>
      </c>
      <c r="E15" s="116">
        <v>388220.67383023555</v>
      </c>
    </row>
    <row r="16" spans="1:5" ht="16.5">
      <c r="A16" s="84" t="s">
        <v>25</v>
      </c>
      <c r="B16" s="115">
        <v>1290029.864259223</v>
      </c>
      <c r="C16" s="115">
        <v>1360981.5067934804</v>
      </c>
      <c r="D16" s="115">
        <v>1435835.4896671218</v>
      </c>
      <c r="E16" s="116">
        <v>1514806.4415988135</v>
      </c>
    </row>
    <row r="17" spans="1:5" ht="16.5">
      <c r="A17" s="84" t="s">
        <v>26</v>
      </c>
      <c r="B17" s="115">
        <v>1846365.3365489664</v>
      </c>
      <c r="C17" s="115">
        <v>1947915.4300591594</v>
      </c>
      <c r="D17" s="115">
        <v>2055050.7787124133</v>
      </c>
      <c r="E17" s="116">
        <v>2168078.571541596</v>
      </c>
    </row>
    <row r="18" spans="1:5" ht="16.5">
      <c r="A18" s="84" t="s">
        <v>27</v>
      </c>
      <c r="B18" s="115">
        <v>13581924.895397564</v>
      </c>
      <c r="C18" s="115">
        <v>14328930.764644431</v>
      </c>
      <c r="D18" s="115">
        <v>15117021.956699874</v>
      </c>
      <c r="E18" s="116">
        <v>15948458.164318368</v>
      </c>
    </row>
    <row r="19" spans="1:5" ht="16.5">
      <c r="A19" s="84" t="s">
        <v>28</v>
      </c>
      <c r="B19" s="115">
        <v>255619.17301867527</v>
      </c>
      <c r="C19" s="115">
        <v>269678.2275347024</v>
      </c>
      <c r="D19" s="115">
        <v>284510.53004911105</v>
      </c>
      <c r="E19" s="116">
        <v>300158.6092018122</v>
      </c>
    </row>
    <row r="20" spans="1:5" ht="16.5">
      <c r="A20" s="84" t="s">
        <v>29</v>
      </c>
      <c r="B20" s="115">
        <v>0</v>
      </c>
      <c r="C20" s="115">
        <v>0</v>
      </c>
      <c r="D20" s="115">
        <v>0</v>
      </c>
      <c r="E20" s="116">
        <v>0</v>
      </c>
    </row>
    <row r="21" spans="1:5" ht="28.5">
      <c r="A21" s="84" t="s">
        <v>30</v>
      </c>
      <c r="B21" s="115">
        <v>0</v>
      </c>
      <c r="C21" s="115">
        <v>0</v>
      </c>
      <c r="D21" s="115">
        <v>0</v>
      </c>
      <c r="E21" s="116">
        <v>0</v>
      </c>
    </row>
    <row r="22" spans="1:5" ht="16.5">
      <c r="A22" s="84" t="s">
        <v>31</v>
      </c>
      <c r="B22" s="115">
        <v>43166.15459459743</v>
      </c>
      <c r="C22" s="115">
        <v>45540.29309730029</v>
      </c>
      <c r="D22" s="115">
        <v>48045.0092176518</v>
      </c>
      <c r="E22" s="116">
        <v>50687.48472462265</v>
      </c>
    </row>
    <row r="23" spans="1:5" ht="16.5">
      <c r="A23" s="84" t="s">
        <v>32</v>
      </c>
      <c r="B23" s="115">
        <v>25177655.056703817</v>
      </c>
      <c r="C23" s="115">
        <v>26562426.084822528</v>
      </c>
      <c r="D23" s="115">
        <v>28023359.51948777</v>
      </c>
      <c r="E23" s="116">
        <v>29564644.293059595</v>
      </c>
    </row>
    <row r="24" spans="1:5" ht="16.5">
      <c r="A24" s="84" t="s">
        <v>33</v>
      </c>
      <c r="B24" s="115">
        <v>0</v>
      </c>
      <c r="C24" s="115">
        <v>0</v>
      </c>
      <c r="D24" s="115">
        <v>0</v>
      </c>
      <c r="E24" s="116">
        <v>0</v>
      </c>
    </row>
    <row r="25" spans="1:5" ht="16.5">
      <c r="A25" s="88" t="s">
        <v>207</v>
      </c>
      <c r="B25" s="115">
        <v>2000</v>
      </c>
      <c r="C25" s="115">
        <v>2110</v>
      </c>
      <c r="D25" s="115">
        <v>2226.05</v>
      </c>
      <c r="E25" s="116">
        <v>2348.48275</v>
      </c>
    </row>
    <row r="26" spans="1:5" ht="16.5">
      <c r="A26" s="88" t="s">
        <v>208</v>
      </c>
      <c r="B26" s="115">
        <v>0</v>
      </c>
      <c r="C26" s="115">
        <v>0</v>
      </c>
      <c r="D26" s="115">
        <v>0</v>
      </c>
      <c r="E26" s="116">
        <v>0</v>
      </c>
    </row>
    <row r="27" spans="1:5" ht="16.5">
      <c r="A27" s="84" t="s">
        <v>34</v>
      </c>
      <c r="B27" s="115">
        <v>6829178.554484289</v>
      </c>
      <c r="C27" s="115">
        <v>7204783.374980925</v>
      </c>
      <c r="D27" s="115">
        <v>7601046.460604875</v>
      </c>
      <c r="E27" s="116">
        <v>8019104.015938143</v>
      </c>
    </row>
    <row r="28" spans="1:5" ht="16.5">
      <c r="A28" s="84" t="s">
        <v>35</v>
      </c>
      <c r="B28" s="115">
        <v>8298127.177818946</v>
      </c>
      <c r="C28" s="115">
        <v>8754524.172598988</v>
      </c>
      <c r="D28" s="115">
        <v>9236023.002091933</v>
      </c>
      <c r="E28" s="116">
        <v>9744004.26720699</v>
      </c>
    </row>
    <row r="29" spans="1:5" ht="16.5">
      <c r="A29" s="89" t="s">
        <v>36</v>
      </c>
      <c r="B29" s="115">
        <v>0</v>
      </c>
      <c r="C29" s="115">
        <v>0</v>
      </c>
      <c r="D29" s="115">
        <v>0</v>
      </c>
      <c r="E29" s="116">
        <v>0</v>
      </c>
    </row>
    <row r="30" spans="1:5" ht="16.5">
      <c r="A30" s="84" t="s">
        <v>37</v>
      </c>
      <c r="B30" s="115">
        <v>2650989.572134748</v>
      </c>
      <c r="C30" s="115">
        <v>2796793.9986021593</v>
      </c>
      <c r="D30" s="115">
        <v>2950617.668525278</v>
      </c>
      <c r="E30" s="116">
        <v>3112901.6402941686</v>
      </c>
    </row>
    <row r="31" spans="1:5" ht="28.5">
      <c r="A31" s="84" t="s">
        <v>38</v>
      </c>
      <c r="B31" s="115">
        <v>441396151.68092096</v>
      </c>
      <c r="C31" s="115">
        <v>465672940.02337164</v>
      </c>
      <c r="D31" s="115">
        <v>491284951.72465706</v>
      </c>
      <c r="E31" s="116">
        <v>518305624.0695132</v>
      </c>
    </row>
    <row r="32" spans="1:5" ht="28.5">
      <c r="A32" s="84" t="s">
        <v>39</v>
      </c>
      <c r="B32" s="115">
        <v>20715303.056850262</v>
      </c>
      <c r="C32" s="115">
        <v>21854644.724977028</v>
      </c>
      <c r="D32" s="115">
        <v>23056650.184850764</v>
      </c>
      <c r="E32" s="116">
        <v>24324765.945017554</v>
      </c>
    </row>
    <row r="33" spans="1:5" ht="16.5">
      <c r="A33" s="84" t="s">
        <v>40</v>
      </c>
      <c r="B33" s="115">
        <v>11134715.626786752</v>
      </c>
      <c r="C33" s="115">
        <v>11747124.986260023</v>
      </c>
      <c r="D33" s="115">
        <v>12393216.860504324</v>
      </c>
      <c r="E33" s="116">
        <v>13074843.78783206</v>
      </c>
    </row>
    <row r="34" spans="1:5" ht="16.5">
      <c r="A34" s="84" t="s">
        <v>41</v>
      </c>
      <c r="B34" s="115">
        <v>240932.48125037932</v>
      </c>
      <c r="C34" s="115">
        <v>254183.76771915017</v>
      </c>
      <c r="D34" s="115">
        <v>268163.8749437034</v>
      </c>
      <c r="E34" s="116">
        <v>282912.8880656071</v>
      </c>
    </row>
    <row r="35" spans="1:5" ht="16.5">
      <c r="A35" s="84" t="s">
        <v>42</v>
      </c>
      <c r="B35" s="115">
        <v>4167928.927274965</v>
      </c>
      <c r="C35" s="115">
        <v>4397165.018275089</v>
      </c>
      <c r="D35" s="115">
        <v>4639009.094280219</v>
      </c>
      <c r="E35" s="116">
        <v>4894154.594465631</v>
      </c>
    </row>
    <row r="36" spans="1:5" ht="16.5">
      <c r="A36" s="84" t="s">
        <v>43</v>
      </c>
      <c r="B36" s="115">
        <v>5912037.511013388</v>
      </c>
      <c r="C36" s="115">
        <v>6237199.574119124</v>
      </c>
      <c r="D36" s="115">
        <v>6580245.550695675</v>
      </c>
      <c r="E36" s="116">
        <v>6942159.055983937</v>
      </c>
    </row>
    <row r="37" spans="1:5" ht="16.5">
      <c r="A37" s="84" t="s">
        <v>44</v>
      </c>
      <c r="B37" s="115">
        <v>0</v>
      </c>
      <c r="C37" s="115">
        <v>0</v>
      </c>
      <c r="D37" s="115">
        <v>0</v>
      </c>
      <c r="E37" s="116">
        <v>0</v>
      </c>
    </row>
    <row r="38" spans="1:5" ht="16.5">
      <c r="A38" s="84" t="s">
        <v>45</v>
      </c>
      <c r="B38" s="115">
        <v>776000</v>
      </c>
      <c r="C38" s="115">
        <v>818680</v>
      </c>
      <c r="D38" s="115">
        <v>863707.4</v>
      </c>
      <c r="E38" s="116">
        <v>911211.307</v>
      </c>
    </row>
    <row r="39" spans="1:5" ht="16.5">
      <c r="A39" s="88" t="s">
        <v>205</v>
      </c>
      <c r="B39" s="115">
        <v>0</v>
      </c>
      <c r="C39" s="115">
        <v>0</v>
      </c>
      <c r="D39" s="115">
        <v>0</v>
      </c>
      <c r="E39" s="116">
        <v>0</v>
      </c>
    </row>
    <row r="40" spans="1:5" ht="16.5">
      <c r="A40" s="88" t="s">
        <v>210</v>
      </c>
      <c r="B40" s="115">
        <v>2197000</v>
      </c>
      <c r="C40" s="115">
        <v>2317835</v>
      </c>
      <c r="D40" s="115">
        <v>2445315.925</v>
      </c>
      <c r="E40" s="116">
        <v>2579808.3008749997</v>
      </c>
    </row>
    <row r="41" spans="1:5" ht="16.5">
      <c r="A41" s="88" t="s">
        <v>212</v>
      </c>
      <c r="B41" s="115">
        <v>0</v>
      </c>
      <c r="C41" s="115">
        <v>0</v>
      </c>
      <c r="D41" s="115">
        <v>0</v>
      </c>
      <c r="E41" s="116">
        <v>0</v>
      </c>
    </row>
    <row r="42" spans="1:5" ht="16.5">
      <c r="A42" s="88" t="s">
        <v>219</v>
      </c>
      <c r="B42" s="115">
        <v>0</v>
      </c>
      <c r="C42" s="115">
        <v>0</v>
      </c>
      <c r="D42" s="115">
        <v>0</v>
      </c>
      <c r="E42" s="116">
        <v>0</v>
      </c>
    </row>
    <row r="43" spans="1:5" ht="28.5">
      <c r="A43" s="88" t="s">
        <v>220</v>
      </c>
      <c r="B43" s="115">
        <v>17000</v>
      </c>
      <c r="C43" s="115">
        <v>17935</v>
      </c>
      <c r="D43" s="115">
        <v>18921.425</v>
      </c>
      <c r="E43" s="116">
        <v>19962.103375</v>
      </c>
    </row>
    <row r="44" spans="1:5" ht="16.5">
      <c r="A44" s="88" t="s">
        <v>221</v>
      </c>
      <c r="B44" s="115">
        <v>17000</v>
      </c>
      <c r="C44" s="115">
        <v>17935</v>
      </c>
      <c r="D44" s="115">
        <v>18921.425</v>
      </c>
      <c r="E44" s="116">
        <v>19962.103375</v>
      </c>
    </row>
    <row r="45" spans="1:5" ht="16.5">
      <c r="A45" s="88" t="s">
        <v>133</v>
      </c>
      <c r="B45" s="115">
        <v>12000</v>
      </c>
      <c r="C45" s="115">
        <v>12660</v>
      </c>
      <c r="D45" s="115">
        <v>13356.3</v>
      </c>
      <c r="E45" s="116">
        <v>14090.896499999999</v>
      </c>
    </row>
    <row r="46" spans="1:5" ht="28.5">
      <c r="A46" s="84" t="s">
        <v>64</v>
      </c>
      <c r="B46" s="115">
        <v>0</v>
      </c>
      <c r="C46" s="115">
        <v>0</v>
      </c>
      <c r="D46" s="115">
        <v>0</v>
      </c>
      <c r="E46" s="116">
        <v>0</v>
      </c>
    </row>
    <row r="47" spans="1:5" ht="16.5">
      <c r="A47" s="84" t="s">
        <v>65</v>
      </c>
      <c r="B47" s="115">
        <v>680590.0627036535</v>
      </c>
      <c r="C47" s="115">
        <v>718022.5161523544</v>
      </c>
      <c r="D47" s="115">
        <v>757513.7545407339</v>
      </c>
      <c r="E47" s="116">
        <v>799177.0110404743</v>
      </c>
    </row>
    <row r="48" spans="1:5" ht="16.5">
      <c r="A48" s="88" t="s">
        <v>161</v>
      </c>
      <c r="B48" s="115">
        <v>925588.6773547095</v>
      </c>
      <c r="C48" s="115">
        <v>976496.0546092185</v>
      </c>
      <c r="D48" s="115">
        <v>1030203.3376127256</v>
      </c>
      <c r="E48" s="116">
        <v>1086864.5211814255</v>
      </c>
    </row>
    <row r="49" spans="1:5" ht="16.5">
      <c r="A49" s="88" t="s">
        <v>157</v>
      </c>
      <c r="B49" s="115">
        <v>0</v>
      </c>
      <c r="C49" s="115">
        <v>0</v>
      </c>
      <c r="D49" s="115">
        <v>0</v>
      </c>
      <c r="E49" s="116">
        <v>0</v>
      </c>
    </row>
    <row r="50" spans="1:5" ht="28.5">
      <c r="A50" s="88" t="s">
        <v>158</v>
      </c>
      <c r="B50" s="115">
        <v>24463423.866754994</v>
      </c>
      <c r="C50" s="115">
        <v>25808912.179426517</v>
      </c>
      <c r="D50" s="115">
        <v>27228402.349294975</v>
      </c>
      <c r="E50" s="116">
        <v>28725964.4785062</v>
      </c>
    </row>
    <row r="51" spans="1:5" ht="16.5">
      <c r="A51" s="84" t="s">
        <v>93</v>
      </c>
      <c r="B51" s="115">
        <v>0</v>
      </c>
      <c r="C51" s="115">
        <v>0</v>
      </c>
      <c r="D51" s="115">
        <v>0</v>
      </c>
      <c r="E51" s="116">
        <v>0</v>
      </c>
    </row>
    <row r="52" spans="1:5" ht="16.5">
      <c r="A52" s="84" t="s">
        <v>94</v>
      </c>
      <c r="B52" s="115">
        <v>2192000</v>
      </c>
      <c r="C52" s="115">
        <v>2312560</v>
      </c>
      <c r="D52" s="115">
        <v>2439750.8</v>
      </c>
      <c r="E52" s="116">
        <v>2573937.0939999996</v>
      </c>
    </row>
    <row r="53" spans="1:5" ht="17.25" thickBot="1">
      <c r="A53" s="117" t="s">
        <v>355</v>
      </c>
      <c r="B53" s="118">
        <v>583778975</v>
      </c>
      <c r="C53" s="118">
        <v>615886818.625</v>
      </c>
      <c r="D53" s="118">
        <v>649760593.649375</v>
      </c>
      <c r="E53" s="119">
        <v>685497426.3000906</v>
      </c>
    </row>
    <row r="54" spans="1:5" ht="30.75" thickBot="1">
      <c r="A54" s="242" t="s">
        <v>361</v>
      </c>
      <c r="B54" s="243">
        <f>SUM(B5:B53)</f>
        <v>1740233450.273754</v>
      </c>
      <c r="C54" s="243">
        <f>SUM(C5:C53)</f>
        <v>1835946290.0388105</v>
      </c>
      <c r="D54" s="243">
        <f>SUM(D5:D53)</f>
        <v>1936923335.9909446</v>
      </c>
      <c r="E54" s="244">
        <f>SUM(E5:E53)</f>
        <v>2043454119.470447</v>
      </c>
    </row>
    <row r="55" spans="1:5" ht="17.25" thickBot="1">
      <c r="A55" s="120"/>
      <c r="B55" s="121"/>
      <c r="C55" s="121"/>
      <c r="D55" s="121"/>
      <c r="E55" s="121"/>
    </row>
    <row r="56" spans="1:5" ht="16.5">
      <c r="A56" s="81" t="s">
        <v>367</v>
      </c>
      <c r="B56" s="97"/>
      <c r="C56" s="97" t="s">
        <v>46</v>
      </c>
      <c r="D56" s="97" t="s">
        <v>46</v>
      </c>
      <c r="E56" s="98" t="s">
        <v>46</v>
      </c>
    </row>
    <row r="57" spans="1:5" ht="17.25" thickBot="1">
      <c r="A57" s="82" t="s">
        <v>5</v>
      </c>
      <c r="B57" s="99">
        <v>2004</v>
      </c>
      <c r="C57" s="99">
        <v>2005</v>
      </c>
      <c r="D57" s="99">
        <v>2006</v>
      </c>
      <c r="E57" s="100">
        <v>2007</v>
      </c>
    </row>
    <row r="58" spans="1:5" ht="16.5">
      <c r="A58" s="122" t="s">
        <v>273</v>
      </c>
      <c r="B58" s="123">
        <v>349768158.1344632</v>
      </c>
      <c r="C58" s="123">
        <f aca="true" t="shared" si="0" ref="C58:E77">SUM(B58*5.5/100)+B58</f>
        <v>369005406.83185863</v>
      </c>
      <c r="D58" s="123">
        <f t="shared" si="0"/>
        <v>389300704.20761085</v>
      </c>
      <c r="E58" s="124">
        <f t="shared" si="0"/>
        <v>410712242.93902946</v>
      </c>
    </row>
    <row r="59" spans="1:5" ht="16.5">
      <c r="A59" s="92" t="s">
        <v>274</v>
      </c>
      <c r="B59" s="125">
        <v>0</v>
      </c>
      <c r="C59" s="125">
        <f t="shared" si="0"/>
        <v>0</v>
      </c>
      <c r="D59" s="125">
        <f t="shared" si="0"/>
        <v>0</v>
      </c>
      <c r="E59" s="126">
        <f t="shared" si="0"/>
        <v>0</v>
      </c>
    </row>
    <row r="60" spans="1:5" ht="16.5">
      <c r="A60" s="92" t="s">
        <v>275</v>
      </c>
      <c r="B60" s="125">
        <v>26807795.19653347</v>
      </c>
      <c r="C60" s="125">
        <f t="shared" si="0"/>
        <v>28282223.932342812</v>
      </c>
      <c r="D60" s="125">
        <f t="shared" si="0"/>
        <v>29837746.24862167</v>
      </c>
      <c r="E60" s="126">
        <f t="shared" si="0"/>
        <v>31478822.292295862</v>
      </c>
    </row>
    <row r="61" spans="1:5" ht="16.5">
      <c r="A61" s="92" t="s">
        <v>276</v>
      </c>
      <c r="B61" s="125">
        <v>0</v>
      </c>
      <c r="C61" s="125">
        <f t="shared" si="0"/>
        <v>0</v>
      </c>
      <c r="D61" s="125">
        <f t="shared" si="0"/>
        <v>0</v>
      </c>
      <c r="E61" s="126">
        <f t="shared" si="0"/>
        <v>0</v>
      </c>
    </row>
    <row r="62" spans="1:5" ht="16.5">
      <c r="A62" s="92" t="s">
        <v>326</v>
      </c>
      <c r="B62" s="125">
        <v>8988000</v>
      </c>
      <c r="C62" s="125">
        <f t="shared" si="0"/>
        <v>9482340</v>
      </c>
      <c r="D62" s="125">
        <f t="shared" si="0"/>
        <v>10003868.7</v>
      </c>
      <c r="E62" s="126">
        <f t="shared" si="0"/>
        <v>10554081.4785</v>
      </c>
    </row>
    <row r="63" spans="1:5" ht="16.5">
      <c r="A63" s="92" t="s">
        <v>277</v>
      </c>
      <c r="B63" s="125">
        <v>4482384.247434914</v>
      </c>
      <c r="C63" s="125">
        <f t="shared" si="0"/>
        <v>4728915.381043835</v>
      </c>
      <c r="D63" s="125">
        <f t="shared" si="0"/>
        <v>4989005.727001245</v>
      </c>
      <c r="E63" s="126">
        <f t="shared" si="0"/>
        <v>5263401.041986314</v>
      </c>
    </row>
    <row r="64" spans="1:5" ht="16.5">
      <c r="A64" s="92" t="s">
        <v>278</v>
      </c>
      <c r="B64" s="125">
        <v>5613898.641588297</v>
      </c>
      <c r="C64" s="125">
        <f t="shared" si="0"/>
        <v>5922663.066875653</v>
      </c>
      <c r="D64" s="125">
        <f t="shared" si="0"/>
        <v>6248409.535553814</v>
      </c>
      <c r="E64" s="126">
        <f t="shared" si="0"/>
        <v>6592072.060009274</v>
      </c>
    </row>
    <row r="65" spans="1:5" ht="16.5">
      <c r="A65" s="92" t="s">
        <v>279</v>
      </c>
      <c r="B65" s="125">
        <v>1566786.9006581008</v>
      </c>
      <c r="C65" s="125">
        <f t="shared" si="0"/>
        <v>1652960.1801942964</v>
      </c>
      <c r="D65" s="125">
        <f t="shared" si="0"/>
        <v>1743872.9901049826</v>
      </c>
      <c r="E65" s="126">
        <f t="shared" si="0"/>
        <v>1839786.0045607567</v>
      </c>
    </row>
    <row r="66" spans="1:5" ht="16.5">
      <c r="A66" s="92" t="s">
        <v>280</v>
      </c>
      <c r="B66" s="125">
        <v>30296280.14774718</v>
      </c>
      <c r="C66" s="125">
        <f t="shared" si="0"/>
        <v>31962575.555873275</v>
      </c>
      <c r="D66" s="125">
        <f t="shared" si="0"/>
        <v>33720517.21144631</v>
      </c>
      <c r="E66" s="126">
        <f t="shared" si="0"/>
        <v>35575145.658075854</v>
      </c>
    </row>
    <row r="67" spans="1:5" ht="16.5">
      <c r="A67" s="92" t="s">
        <v>281</v>
      </c>
      <c r="B67" s="125">
        <v>31728655.94196289</v>
      </c>
      <c r="C67" s="125">
        <f t="shared" si="0"/>
        <v>33473732.01877085</v>
      </c>
      <c r="D67" s="125">
        <f t="shared" si="0"/>
        <v>35314787.279803246</v>
      </c>
      <c r="E67" s="126">
        <f t="shared" si="0"/>
        <v>37257100.580192424</v>
      </c>
    </row>
    <row r="68" spans="1:5" ht="16.5">
      <c r="A68" s="92" t="s">
        <v>282</v>
      </c>
      <c r="B68" s="125">
        <v>0</v>
      </c>
      <c r="C68" s="125">
        <f t="shared" si="0"/>
        <v>0</v>
      </c>
      <c r="D68" s="125">
        <f t="shared" si="0"/>
        <v>0</v>
      </c>
      <c r="E68" s="126">
        <f t="shared" si="0"/>
        <v>0</v>
      </c>
    </row>
    <row r="69" spans="1:5" ht="16.5">
      <c r="A69" s="92" t="s">
        <v>283</v>
      </c>
      <c r="B69" s="125">
        <v>163778753.14755076</v>
      </c>
      <c r="C69" s="125">
        <f t="shared" si="0"/>
        <v>172786584.57066604</v>
      </c>
      <c r="D69" s="125">
        <f t="shared" si="0"/>
        <v>182289846.7220527</v>
      </c>
      <c r="E69" s="126">
        <f t="shared" si="0"/>
        <v>192315788.2917656</v>
      </c>
    </row>
    <row r="70" spans="1:5" ht="16.5">
      <c r="A70" s="92" t="s">
        <v>284</v>
      </c>
      <c r="B70" s="125">
        <v>40002411.26200404</v>
      </c>
      <c r="C70" s="125">
        <f t="shared" si="0"/>
        <v>42202543.881414264</v>
      </c>
      <c r="D70" s="125">
        <f t="shared" si="0"/>
        <v>44523683.79489205</v>
      </c>
      <c r="E70" s="126">
        <f t="shared" si="0"/>
        <v>46972486.403611116</v>
      </c>
    </row>
    <row r="71" spans="1:5" ht="16.5">
      <c r="A71" s="92" t="s">
        <v>285</v>
      </c>
      <c r="B71" s="125">
        <v>33570546.69280951</v>
      </c>
      <c r="C71" s="125">
        <f t="shared" si="0"/>
        <v>35416926.76091403</v>
      </c>
      <c r="D71" s="125">
        <f t="shared" si="0"/>
        <v>37364857.732764296</v>
      </c>
      <c r="E71" s="126">
        <f t="shared" si="0"/>
        <v>39419924.90806633</v>
      </c>
    </row>
    <row r="72" spans="1:5" ht="16.5">
      <c r="A72" s="92" t="s">
        <v>325</v>
      </c>
      <c r="B72" s="125">
        <v>0</v>
      </c>
      <c r="C72" s="125">
        <f t="shared" si="0"/>
        <v>0</v>
      </c>
      <c r="D72" s="125">
        <f t="shared" si="0"/>
        <v>0</v>
      </c>
      <c r="E72" s="126">
        <f t="shared" si="0"/>
        <v>0</v>
      </c>
    </row>
    <row r="73" spans="1:5" ht="16.5">
      <c r="A73" s="92" t="s">
        <v>0</v>
      </c>
      <c r="B73" s="125">
        <v>29655321.507760532</v>
      </c>
      <c r="C73" s="125">
        <f t="shared" si="0"/>
        <v>31286364.190687362</v>
      </c>
      <c r="D73" s="125">
        <f t="shared" si="0"/>
        <v>33007114.221175168</v>
      </c>
      <c r="E73" s="126">
        <f t="shared" si="0"/>
        <v>34822505.503339805</v>
      </c>
    </row>
    <row r="74" spans="1:5" ht="16.5">
      <c r="A74" s="92" t="s">
        <v>286</v>
      </c>
      <c r="B74" s="125">
        <v>24764324.074350554</v>
      </c>
      <c r="C74" s="125">
        <f t="shared" si="0"/>
        <v>26126361.898439836</v>
      </c>
      <c r="D74" s="125">
        <f t="shared" si="0"/>
        <v>27563311.802854028</v>
      </c>
      <c r="E74" s="126">
        <f t="shared" si="0"/>
        <v>29079293.952011</v>
      </c>
    </row>
    <row r="75" spans="1:5" ht="16.5">
      <c r="A75" s="92" t="s">
        <v>287</v>
      </c>
      <c r="B75" s="125">
        <v>20956764.261944983</v>
      </c>
      <c r="C75" s="125">
        <f t="shared" si="0"/>
        <v>22109386.296351958</v>
      </c>
      <c r="D75" s="125">
        <f t="shared" si="0"/>
        <v>23325402.542651314</v>
      </c>
      <c r="E75" s="126">
        <f t="shared" si="0"/>
        <v>24608299.682497136</v>
      </c>
    </row>
    <row r="76" spans="1:5" ht="16.5">
      <c r="A76" s="92" t="s">
        <v>288</v>
      </c>
      <c r="B76" s="125">
        <v>0</v>
      </c>
      <c r="C76" s="125">
        <f t="shared" si="0"/>
        <v>0</v>
      </c>
      <c r="D76" s="125">
        <f t="shared" si="0"/>
        <v>0</v>
      </c>
      <c r="E76" s="126">
        <f t="shared" si="0"/>
        <v>0</v>
      </c>
    </row>
    <row r="77" spans="1:5" ht="16.5">
      <c r="A77" s="92" t="s">
        <v>289</v>
      </c>
      <c r="B77" s="125">
        <v>0</v>
      </c>
      <c r="C77" s="125">
        <f t="shared" si="0"/>
        <v>0</v>
      </c>
      <c r="D77" s="125">
        <f t="shared" si="0"/>
        <v>0</v>
      </c>
      <c r="E77" s="126">
        <f t="shared" si="0"/>
        <v>0</v>
      </c>
    </row>
    <row r="78" spans="1:5" ht="16.5">
      <c r="A78" s="92" t="s">
        <v>290</v>
      </c>
      <c r="B78" s="125">
        <v>239404077.4668366</v>
      </c>
      <c r="C78" s="125">
        <f aca="true" t="shared" si="1" ref="C78:E97">SUM(B78*5.5/100)+B78</f>
        <v>252571301.7275126</v>
      </c>
      <c r="D78" s="125">
        <f t="shared" si="1"/>
        <v>266462723.3225258</v>
      </c>
      <c r="E78" s="126">
        <f t="shared" si="1"/>
        <v>281118173.1052647</v>
      </c>
    </row>
    <row r="79" spans="1:5" ht="16.5">
      <c r="A79" s="92" t="s">
        <v>291</v>
      </c>
      <c r="B79" s="125">
        <v>25582359.861842714</v>
      </c>
      <c r="C79" s="125">
        <f t="shared" si="1"/>
        <v>26989389.654244065</v>
      </c>
      <c r="D79" s="125">
        <f t="shared" si="1"/>
        <v>28473806.08522749</v>
      </c>
      <c r="E79" s="126">
        <f t="shared" si="1"/>
        <v>30039865.419915</v>
      </c>
    </row>
    <row r="80" spans="1:5" ht="16.5">
      <c r="A80" s="92" t="s">
        <v>292</v>
      </c>
      <c r="B80" s="125">
        <v>26630214.52166959</v>
      </c>
      <c r="C80" s="125">
        <f t="shared" si="1"/>
        <v>28094876.320361417</v>
      </c>
      <c r="D80" s="125">
        <f t="shared" si="1"/>
        <v>29640094.517981295</v>
      </c>
      <c r="E80" s="126">
        <f t="shared" si="1"/>
        <v>31270299.716470264</v>
      </c>
    </row>
    <row r="81" spans="1:5" ht="28.5">
      <c r="A81" s="92" t="s">
        <v>1</v>
      </c>
      <c r="B81" s="125">
        <v>9504110.626486916</v>
      </c>
      <c r="C81" s="125">
        <f t="shared" si="1"/>
        <v>10026836.710943697</v>
      </c>
      <c r="D81" s="125">
        <f t="shared" si="1"/>
        <v>10578312.7300456</v>
      </c>
      <c r="E81" s="126">
        <f t="shared" si="1"/>
        <v>11160119.930198107</v>
      </c>
    </row>
    <row r="82" spans="1:5" ht="16.5">
      <c r="A82" s="92" t="s">
        <v>293</v>
      </c>
      <c r="B82" s="125">
        <v>13393978.668164484</v>
      </c>
      <c r="C82" s="125">
        <f t="shared" si="1"/>
        <v>14130647.494913531</v>
      </c>
      <c r="D82" s="125">
        <f t="shared" si="1"/>
        <v>14907833.107133776</v>
      </c>
      <c r="E82" s="126">
        <f t="shared" si="1"/>
        <v>15727763.928026134</v>
      </c>
    </row>
    <row r="83" spans="1:5" ht="16.5">
      <c r="A83" s="92" t="s">
        <v>294</v>
      </c>
      <c r="B83" s="125">
        <v>0</v>
      </c>
      <c r="C83" s="125">
        <f t="shared" si="1"/>
        <v>0</v>
      </c>
      <c r="D83" s="125">
        <f t="shared" si="1"/>
        <v>0</v>
      </c>
      <c r="E83" s="126">
        <f t="shared" si="1"/>
        <v>0</v>
      </c>
    </row>
    <row r="84" spans="1:5" ht="16.5">
      <c r="A84" s="92" t="s">
        <v>295</v>
      </c>
      <c r="B84" s="125">
        <v>13181300.042076642</v>
      </c>
      <c r="C84" s="125">
        <f t="shared" si="1"/>
        <v>13906271.544390857</v>
      </c>
      <c r="D84" s="125">
        <f t="shared" si="1"/>
        <v>14671116.479332354</v>
      </c>
      <c r="E84" s="126">
        <f t="shared" si="1"/>
        <v>15478027.885695633</v>
      </c>
    </row>
    <row r="85" spans="1:5" ht="16.5">
      <c r="A85" s="92" t="s">
        <v>296</v>
      </c>
      <c r="B85" s="125">
        <v>34622991.122838914</v>
      </c>
      <c r="C85" s="125">
        <f t="shared" si="1"/>
        <v>36527255.63459505</v>
      </c>
      <c r="D85" s="125">
        <f t="shared" si="1"/>
        <v>38536254.69449778</v>
      </c>
      <c r="E85" s="126">
        <f t="shared" si="1"/>
        <v>40655748.70269515</v>
      </c>
    </row>
    <row r="86" spans="1:5" ht="16.5">
      <c r="A86" s="92" t="s">
        <v>297</v>
      </c>
      <c r="B86" s="125">
        <v>0</v>
      </c>
      <c r="C86" s="125">
        <f t="shared" si="1"/>
        <v>0</v>
      </c>
      <c r="D86" s="125">
        <f t="shared" si="1"/>
        <v>0</v>
      </c>
      <c r="E86" s="126">
        <f t="shared" si="1"/>
        <v>0</v>
      </c>
    </row>
    <row r="87" spans="1:5" ht="16.5">
      <c r="A87" s="92" t="s">
        <v>2</v>
      </c>
      <c r="B87" s="125">
        <v>5569690.026954178</v>
      </c>
      <c r="C87" s="125">
        <f t="shared" si="1"/>
        <v>5876022.978436657</v>
      </c>
      <c r="D87" s="125">
        <f t="shared" si="1"/>
        <v>6199204.2422506735</v>
      </c>
      <c r="E87" s="126">
        <f t="shared" si="1"/>
        <v>6540160.475574461</v>
      </c>
    </row>
    <row r="88" spans="1:5" ht="16.5">
      <c r="A88" s="92" t="s">
        <v>4</v>
      </c>
      <c r="B88" s="125">
        <v>10656000</v>
      </c>
      <c r="C88" s="125">
        <f t="shared" si="1"/>
        <v>11242080</v>
      </c>
      <c r="D88" s="125">
        <f t="shared" si="1"/>
        <v>11860394.4</v>
      </c>
      <c r="E88" s="126">
        <f t="shared" si="1"/>
        <v>12512716.092</v>
      </c>
    </row>
    <row r="89" spans="1:5" ht="28.5">
      <c r="A89" s="94" t="s">
        <v>327</v>
      </c>
      <c r="B89" s="125">
        <v>0</v>
      </c>
      <c r="C89" s="125">
        <f t="shared" si="1"/>
        <v>0</v>
      </c>
      <c r="D89" s="125">
        <f t="shared" si="1"/>
        <v>0</v>
      </c>
      <c r="E89" s="126">
        <f t="shared" si="1"/>
        <v>0</v>
      </c>
    </row>
    <row r="90" spans="1:5" ht="16.5">
      <c r="A90" s="94" t="s">
        <v>328</v>
      </c>
      <c r="B90" s="125">
        <v>23094028.38171348</v>
      </c>
      <c r="C90" s="125">
        <f t="shared" si="1"/>
        <v>24364199.94270772</v>
      </c>
      <c r="D90" s="125">
        <f t="shared" si="1"/>
        <v>25704230.939556647</v>
      </c>
      <c r="E90" s="126">
        <f t="shared" si="1"/>
        <v>27117963.641232263</v>
      </c>
    </row>
    <row r="91" spans="1:5" ht="16.5">
      <c r="A91" s="94" t="s">
        <v>329</v>
      </c>
      <c r="B91" s="125">
        <v>31750376.220942922</v>
      </c>
      <c r="C91" s="125">
        <f t="shared" si="1"/>
        <v>33496646.91309478</v>
      </c>
      <c r="D91" s="125">
        <f t="shared" si="1"/>
        <v>35338962.493315</v>
      </c>
      <c r="E91" s="126">
        <f t="shared" si="1"/>
        <v>37282605.43044732</v>
      </c>
    </row>
    <row r="92" spans="1:5" ht="16.5">
      <c r="A92" s="94" t="s">
        <v>330</v>
      </c>
      <c r="B92" s="125">
        <v>0</v>
      </c>
      <c r="C92" s="125">
        <f t="shared" si="1"/>
        <v>0</v>
      </c>
      <c r="D92" s="125">
        <f t="shared" si="1"/>
        <v>0</v>
      </c>
      <c r="E92" s="126">
        <f t="shared" si="1"/>
        <v>0</v>
      </c>
    </row>
    <row r="93" spans="1:5" ht="16.5">
      <c r="A93" s="94" t="s">
        <v>331</v>
      </c>
      <c r="B93" s="125">
        <v>20978000</v>
      </c>
      <c r="C93" s="125">
        <f t="shared" si="1"/>
        <v>22131790</v>
      </c>
      <c r="D93" s="125">
        <f t="shared" si="1"/>
        <v>23349038.45</v>
      </c>
      <c r="E93" s="126">
        <f t="shared" si="1"/>
        <v>24633235.56475</v>
      </c>
    </row>
    <row r="94" spans="1:5" ht="16.5">
      <c r="A94" s="94" t="s">
        <v>332</v>
      </c>
      <c r="B94" s="125">
        <v>43025859.87173298</v>
      </c>
      <c r="C94" s="125">
        <f t="shared" si="1"/>
        <v>45392282.16467829</v>
      </c>
      <c r="D94" s="125">
        <f t="shared" si="1"/>
        <v>47888857.683735594</v>
      </c>
      <c r="E94" s="126">
        <f t="shared" si="1"/>
        <v>50522744.85634105</v>
      </c>
    </row>
    <row r="95" spans="1:5" ht="28.5">
      <c r="A95" s="94" t="s">
        <v>333</v>
      </c>
      <c r="B95" s="125">
        <v>0</v>
      </c>
      <c r="C95" s="125">
        <f t="shared" si="1"/>
        <v>0</v>
      </c>
      <c r="D95" s="125">
        <f t="shared" si="1"/>
        <v>0</v>
      </c>
      <c r="E95" s="126">
        <f t="shared" si="1"/>
        <v>0</v>
      </c>
    </row>
    <row r="96" spans="1:5" ht="16.5">
      <c r="A96" s="94" t="s">
        <v>334</v>
      </c>
      <c r="B96" s="125">
        <v>2732076.1516765906</v>
      </c>
      <c r="C96" s="125">
        <f t="shared" si="1"/>
        <v>2882340.3400188033</v>
      </c>
      <c r="D96" s="125">
        <f t="shared" si="1"/>
        <v>3040869.0587198376</v>
      </c>
      <c r="E96" s="126">
        <f t="shared" si="1"/>
        <v>3208116.8569494286</v>
      </c>
    </row>
    <row r="97" spans="1:5" ht="16.5">
      <c r="A97" s="94" t="s">
        <v>335</v>
      </c>
      <c r="B97" s="125">
        <v>17319968.84303996</v>
      </c>
      <c r="C97" s="125">
        <f t="shared" si="1"/>
        <v>18272567.129407156</v>
      </c>
      <c r="D97" s="125">
        <f t="shared" si="1"/>
        <v>19277558.32152455</v>
      </c>
      <c r="E97" s="126">
        <f t="shared" si="1"/>
        <v>20337824.0292084</v>
      </c>
    </row>
    <row r="98" spans="1:5" ht="16.5">
      <c r="A98" s="94" t="s">
        <v>336</v>
      </c>
      <c r="B98" s="125">
        <v>2930738.0131620183</v>
      </c>
      <c r="C98" s="125">
        <f aca="true" t="shared" si="2" ref="C98:E117">SUM(B98*5.5/100)+B98</f>
        <v>3091928.603885929</v>
      </c>
      <c r="D98" s="125">
        <f t="shared" si="2"/>
        <v>3261984.6770996554</v>
      </c>
      <c r="E98" s="126">
        <f t="shared" si="2"/>
        <v>3441393.8343401365</v>
      </c>
    </row>
    <row r="99" spans="1:5" ht="28.5">
      <c r="A99" s="94" t="s">
        <v>337</v>
      </c>
      <c r="B99" s="125">
        <v>5859260.225669958</v>
      </c>
      <c r="C99" s="125">
        <f t="shared" si="2"/>
        <v>6181519.538081805</v>
      </c>
      <c r="D99" s="125">
        <f t="shared" si="2"/>
        <v>6521503.112676305</v>
      </c>
      <c r="E99" s="126">
        <f t="shared" si="2"/>
        <v>6880185.783873501</v>
      </c>
    </row>
    <row r="100" spans="1:5" ht="16.5">
      <c r="A100" s="94" t="s">
        <v>338</v>
      </c>
      <c r="B100" s="125">
        <v>12315601.947047584</v>
      </c>
      <c r="C100" s="125">
        <f t="shared" si="2"/>
        <v>12992960.054135201</v>
      </c>
      <c r="D100" s="125">
        <f t="shared" si="2"/>
        <v>13707572.857112637</v>
      </c>
      <c r="E100" s="126">
        <f t="shared" si="2"/>
        <v>14461489.364253832</v>
      </c>
    </row>
    <row r="101" spans="1:5" ht="16.5">
      <c r="A101" s="94" t="s">
        <v>339</v>
      </c>
      <c r="B101" s="125">
        <v>0</v>
      </c>
      <c r="C101" s="125">
        <f t="shared" si="2"/>
        <v>0</v>
      </c>
      <c r="D101" s="125">
        <f t="shared" si="2"/>
        <v>0</v>
      </c>
      <c r="E101" s="126">
        <f t="shared" si="2"/>
        <v>0</v>
      </c>
    </row>
    <row r="102" spans="1:5" ht="16.5">
      <c r="A102" s="94" t="s">
        <v>340</v>
      </c>
      <c r="B102" s="125">
        <v>16444887.012711864</v>
      </c>
      <c r="C102" s="125">
        <f t="shared" si="2"/>
        <v>17349355.798411015</v>
      </c>
      <c r="D102" s="125">
        <f t="shared" si="2"/>
        <v>18303570.367323622</v>
      </c>
      <c r="E102" s="126">
        <f t="shared" si="2"/>
        <v>19310266.73752642</v>
      </c>
    </row>
    <row r="103" spans="1:5" ht="16.5">
      <c r="A103" s="94" t="s">
        <v>341</v>
      </c>
      <c r="B103" s="125">
        <v>11849242.967100333</v>
      </c>
      <c r="C103" s="125">
        <f t="shared" si="2"/>
        <v>12500951.330290852</v>
      </c>
      <c r="D103" s="125">
        <f t="shared" si="2"/>
        <v>13188503.653456848</v>
      </c>
      <c r="E103" s="126">
        <f t="shared" si="2"/>
        <v>13913871.354396975</v>
      </c>
    </row>
    <row r="104" spans="1:5" ht="16.5">
      <c r="A104" s="92" t="s">
        <v>330</v>
      </c>
      <c r="B104" s="125">
        <v>2884372.4962630793</v>
      </c>
      <c r="C104" s="125">
        <f t="shared" si="2"/>
        <v>3043012.983557549</v>
      </c>
      <c r="D104" s="125">
        <f t="shared" si="2"/>
        <v>3210378.697653214</v>
      </c>
      <c r="E104" s="126">
        <f t="shared" si="2"/>
        <v>3386949.526024141</v>
      </c>
    </row>
    <row r="105" spans="1:5" ht="28.5">
      <c r="A105" s="94" t="s">
        <v>348</v>
      </c>
      <c r="B105" s="125">
        <v>0</v>
      </c>
      <c r="C105" s="125">
        <f t="shared" si="2"/>
        <v>0</v>
      </c>
      <c r="D105" s="125">
        <f t="shared" si="2"/>
        <v>0</v>
      </c>
      <c r="E105" s="126">
        <f t="shared" si="2"/>
        <v>0</v>
      </c>
    </row>
    <row r="106" spans="1:5" ht="16.5">
      <c r="A106" s="92" t="s">
        <v>298</v>
      </c>
      <c r="B106" s="125">
        <v>0</v>
      </c>
      <c r="C106" s="125">
        <f t="shared" si="2"/>
        <v>0</v>
      </c>
      <c r="D106" s="125">
        <f t="shared" si="2"/>
        <v>0</v>
      </c>
      <c r="E106" s="126">
        <f t="shared" si="2"/>
        <v>0</v>
      </c>
    </row>
    <row r="107" spans="1:5" ht="16.5">
      <c r="A107" s="92" t="s">
        <v>299</v>
      </c>
      <c r="B107" s="125">
        <v>0</v>
      </c>
      <c r="C107" s="125">
        <f t="shared" si="2"/>
        <v>0</v>
      </c>
      <c r="D107" s="125">
        <f t="shared" si="2"/>
        <v>0</v>
      </c>
      <c r="E107" s="126">
        <f t="shared" si="2"/>
        <v>0</v>
      </c>
    </row>
    <row r="108" spans="1:5" ht="16.5">
      <c r="A108" s="92" t="s">
        <v>300</v>
      </c>
      <c r="B108" s="125">
        <v>572019.3478544882</v>
      </c>
      <c r="C108" s="125">
        <f t="shared" si="2"/>
        <v>603480.411986485</v>
      </c>
      <c r="D108" s="125">
        <f t="shared" si="2"/>
        <v>636671.8346457417</v>
      </c>
      <c r="E108" s="126">
        <f t="shared" si="2"/>
        <v>671688.7855512575</v>
      </c>
    </row>
    <row r="109" spans="1:5" ht="16.5">
      <c r="A109" s="92" t="s">
        <v>301</v>
      </c>
      <c r="B109" s="125">
        <v>41123333.73788849</v>
      </c>
      <c r="C109" s="125">
        <f t="shared" si="2"/>
        <v>43385117.09347236</v>
      </c>
      <c r="D109" s="125">
        <f t="shared" si="2"/>
        <v>45771298.53361334</v>
      </c>
      <c r="E109" s="126">
        <f t="shared" si="2"/>
        <v>48288719.95296207</v>
      </c>
    </row>
    <row r="110" spans="1:5" ht="16.5">
      <c r="A110" s="94" t="s">
        <v>343</v>
      </c>
      <c r="B110" s="125">
        <v>0</v>
      </c>
      <c r="C110" s="125">
        <f t="shared" si="2"/>
        <v>0</v>
      </c>
      <c r="D110" s="125">
        <f t="shared" si="2"/>
        <v>0</v>
      </c>
      <c r="E110" s="126">
        <f t="shared" si="2"/>
        <v>0</v>
      </c>
    </row>
    <row r="111" spans="1:5" ht="16.5">
      <c r="A111" s="94" t="s">
        <v>342</v>
      </c>
      <c r="B111" s="125">
        <v>0</v>
      </c>
      <c r="C111" s="125">
        <f t="shared" si="2"/>
        <v>0</v>
      </c>
      <c r="D111" s="125">
        <f t="shared" si="2"/>
        <v>0</v>
      </c>
      <c r="E111" s="126">
        <f t="shared" si="2"/>
        <v>0</v>
      </c>
    </row>
    <row r="112" spans="1:5" ht="16.5">
      <c r="A112" s="92" t="s">
        <v>302</v>
      </c>
      <c r="B112" s="125">
        <v>27348980.77659276</v>
      </c>
      <c r="C112" s="125">
        <f t="shared" si="2"/>
        <v>28853174.719305363</v>
      </c>
      <c r="D112" s="125">
        <f t="shared" si="2"/>
        <v>30440099.328867156</v>
      </c>
      <c r="E112" s="126">
        <f t="shared" si="2"/>
        <v>32114304.79195485</v>
      </c>
    </row>
    <row r="113" spans="1:5" ht="16.5">
      <c r="A113" s="94" t="s">
        <v>346</v>
      </c>
      <c r="B113" s="125">
        <v>17310465.801886793</v>
      </c>
      <c r="C113" s="125">
        <f t="shared" si="2"/>
        <v>18262541.420990568</v>
      </c>
      <c r="D113" s="125">
        <f t="shared" si="2"/>
        <v>19266981.19914505</v>
      </c>
      <c r="E113" s="126">
        <f t="shared" si="2"/>
        <v>20326665.165098026</v>
      </c>
    </row>
    <row r="114" spans="1:5" ht="16.5">
      <c r="A114" s="92" t="s">
        <v>303</v>
      </c>
      <c r="B114" s="125">
        <v>8074520.48</v>
      </c>
      <c r="C114" s="125">
        <f t="shared" si="2"/>
        <v>8518619.1064</v>
      </c>
      <c r="D114" s="125">
        <f t="shared" si="2"/>
        <v>8987143.157252</v>
      </c>
      <c r="E114" s="126">
        <f t="shared" si="2"/>
        <v>9481436.03090086</v>
      </c>
    </row>
    <row r="115" spans="1:5" ht="16.5">
      <c r="A115" s="92" t="s">
        <v>304</v>
      </c>
      <c r="B115" s="125">
        <v>6157431.456484939</v>
      </c>
      <c r="C115" s="125">
        <f t="shared" si="2"/>
        <v>6496090.18659161</v>
      </c>
      <c r="D115" s="125">
        <f t="shared" si="2"/>
        <v>6853375.146854149</v>
      </c>
      <c r="E115" s="126">
        <f t="shared" si="2"/>
        <v>7230310.779931127</v>
      </c>
    </row>
    <row r="116" spans="1:5" ht="16.5">
      <c r="A116" s="92" t="s">
        <v>305</v>
      </c>
      <c r="B116" s="125">
        <v>38529612.857860096</v>
      </c>
      <c r="C116" s="125">
        <f t="shared" si="2"/>
        <v>40648741.5650424</v>
      </c>
      <c r="D116" s="125">
        <f t="shared" si="2"/>
        <v>42884422.35111973</v>
      </c>
      <c r="E116" s="126">
        <f t="shared" si="2"/>
        <v>45243065.58043131</v>
      </c>
    </row>
    <row r="117" spans="1:5" ht="16.5">
      <c r="A117" s="92" t="s">
        <v>306</v>
      </c>
      <c r="B117" s="125">
        <v>185000</v>
      </c>
      <c r="C117" s="125">
        <f t="shared" si="2"/>
        <v>195175</v>
      </c>
      <c r="D117" s="125">
        <f t="shared" si="2"/>
        <v>205909.625</v>
      </c>
      <c r="E117" s="126">
        <f t="shared" si="2"/>
        <v>217234.654375</v>
      </c>
    </row>
    <row r="118" spans="1:5" ht="16.5">
      <c r="A118" s="92" t="s">
        <v>307</v>
      </c>
      <c r="B118" s="125">
        <v>38154824.03222637</v>
      </c>
      <c r="C118" s="125">
        <f aca="true" t="shared" si="3" ref="C118:E137">SUM(B118*5.5/100)+B118</f>
        <v>40253339.35399882</v>
      </c>
      <c r="D118" s="125">
        <f t="shared" si="3"/>
        <v>42467273.01846875</v>
      </c>
      <c r="E118" s="126">
        <f t="shared" si="3"/>
        <v>44802973.034484535</v>
      </c>
    </row>
    <row r="119" spans="1:5" ht="16.5">
      <c r="A119" s="92" t="s">
        <v>308</v>
      </c>
      <c r="B119" s="125">
        <v>0</v>
      </c>
      <c r="C119" s="125">
        <f t="shared" si="3"/>
        <v>0</v>
      </c>
      <c r="D119" s="125">
        <f t="shared" si="3"/>
        <v>0</v>
      </c>
      <c r="E119" s="126">
        <f t="shared" si="3"/>
        <v>0</v>
      </c>
    </row>
    <row r="120" spans="1:5" ht="16.5">
      <c r="A120" s="92" t="s">
        <v>309</v>
      </c>
      <c r="B120" s="125">
        <v>2569063.9519535373</v>
      </c>
      <c r="C120" s="125">
        <f t="shared" si="3"/>
        <v>2710362.4693109817</v>
      </c>
      <c r="D120" s="125">
        <f t="shared" si="3"/>
        <v>2859432.4051230857</v>
      </c>
      <c r="E120" s="126">
        <f t="shared" si="3"/>
        <v>3016701.1874048556</v>
      </c>
    </row>
    <row r="121" spans="1:5" ht="16.5">
      <c r="A121" s="92" t="s">
        <v>310</v>
      </c>
      <c r="B121" s="125">
        <v>0</v>
      </c>
      <c r="C121" s="125">
        <f t="shared" si="3"/>
        <v>0</v>
      </c>
      <c r="D121" s="125">
        <f t="shared" si="3"/>
        <v>0</v>
      </c>
      <c r="E121" s="126">
        <f t="shared" si="3"/>
        <v>0</v>
      </c>
    </row>
    <row r="122" spans="1:5" ht="16.5">
      <c r="A122" s="94" t="s">
        <v>349</v>
      </c>
      <c r="B122" s="125">
        <v>13722763.157894736</v>
      </c>
      <c r="C122" s="125">
        <f t="shared" si="3"/>
        <v>14477515.131578946</v>
      </c>
      <c r="D122" s="125">
        <f t="shared" si="3"/>
        <v>15273778.463815788</v>
      </c>
      <c r="E122" s="126">
        <f t="shared" si="3"/>
        <v>16113836.279325657</v>
      </c>
    </row>
    <row r="123" spans="1:5" ht="16.5">
      <c r="A123" s="92" t="s">
        <v>311</v>
      </c>
      <c r="B123" s="125">
        <v>0</v>
      </c>
      <c r="C123" s="125">
        <f t="shared" si="3"/>
        <v>0</v>
      </c>
      <c r="D123" s="125">
        <f t="shared" si="3"/>
        <v>0</v>
      </c>
      <c r="E123" s="126">
        <f t="shared" si="3"/>
        <v>0</v>
      </c>
    </row>
    <row r="124" spans="1:5" ht="16.5">
      <c r="A124" s="92" t="s">
        <v>312</v>
      </c>
      <c r="B124" s="125">
        <v>9721500</v>
      </c>
      <c r="C124" s="125">
        <f t="shared" si="3"/>
        <v>10256182.5</v>
      </c>
      <c r="D124" s="125">
        <f t="shared" si="3"/>
        <v>10820272.5375</v>
      </c>
      <c r="E124" s="126">
        <f t="shared" si="3"/>
        <v>11415387.5270625</v>
      </c>
    </row>
    <row r="125" spans="1:5" ht="16.5">
      <c r="A125" s="92" t="s">
        <v>313</v>
      </c>
      <c r="B125" s="125">
        <v>31302450</v>
      </c>
      <c r="C125" s="125">
        <f t="shared" si="3"/>
        <v>33024084.75</v>
      </c>
      <c r="D125" s="125">
        <f t="shared" si="3"/>
        <v>34840409.41125</v>
      </c>
      <c r="E125" s="126">
        <f t="shared" si="3"/>
        <v>36756631.928868756</v>
      </c>
    </row>
    <row r="126" spans="1:5" ht="16.5">
      <c r="A126" s="92" t="s">
        <v>314</v>
      </c>
      <c r="B126" s="125">
        <v>150000</v>
      </c>
      <c r="C126" s="125">
        <f t="shared" si="3"/>
        <v>158250</v>
      </c>
      <c r="D126" s="125">
        <f t="shared" si="3"/>
        <v>166953.75</v>
      </c>
      <c r="E126" s="126">
        <f t="shared" si="3"/>
        <v>176136.20625</v>
      </c>
    </row>
    <row r="127" spans="1:5" ht="16.5">
      <c r="A127" s="92" t="s">
        <v>315</v>
      </c>
      <c r="B127" s="125">
        <v>490500</v>
      </c>
      <c r="C127" s="125">
        <f t="shared" si="3"/>
        <v>517477.5</v>
      </c>
      <c r="D127" s="125">
        <f t="shared" si="3"/>
        <v>545938.7625</v>
      </c>
      <c r="E127" s="126">
        <f t="shared" si="3"/>
        <v>575965.3944374999</v>
      </c>
    </row>
    <row r="128" spans="1:5" ht="28.5">
      <c r="A128" s="92" t="s">
        <v>316</v>
      </c>
      <c r="B128" s="125">
        <v>0</v>
      </c>
      <c r="C128" s="125">
        <f t="shared" si="3"/>
        <v>0</v>
      </c>
      <c r="D128" s="125">
        <f t="shared" si="3"/>
        <v>0</v>
      </c>
      <c r="E128" s="126">
        <f t="shared" si="3"/>
        <v>0</v>
      </c>
    </row>
    <row r="129" spans="1:5" ht="16.5">
      <c r="A129" s="92" t="s">
        <v>317</v>
      </c>
      <c r="B129" s="125">
        <v>0</v>
      </c>
      <c r="C129" s="125">
        <f t="shared" si="3"/>
        <v>0</v>
      </c>
      <c r="D129" s="125">
        <f t="shared" si="3"/>
        <v>0</v>
      </c>
      <c r="E129" s="126">
        <f t="shared" si="3"/>
        <v>0</v>
      </c>
    </row>
    <row r="130" spans="1:5" ht="16.5">
      <c r="A130" s="92" t="s">
        <v>318</v>
      </c>
      <c r="B130" s="125">
        <v>3145250</v>
      </c>
      <c r="C130" s="125">
        <f t="shared" si="3"/>
        <v>3318238.75</v>
      </c>
      <c r="D130" s="125">
        <f t="shared" si="3"/>
        <v>3500741.88125</v>
      </c>
      <c r="E130" s="126">
        <f t="shared" si="3"/>
        <v>3693282.68471875</v>
      </c>
    </row>
    <row r="131" spans="1:5" ht="16.5">
      <c r="A131" s="92" t="s">
        <v>319</v>
      </c>
      <c r="B131" s="125">
        <v>482072.7281650056</v>
      </c>
      <c r="C131" s="125">
        <f t="shared" si="3"/>
        <v>508586.7282140809</v>
      </c>
      <c r="D131" s="125">
        <f t="shared" si="3"/>
        <v>536558.9982658554</v>
      </c>
      <c r="E131" s="126">
        <f t="shared" si="3"/>
        <v>566069.7431704774</v>
      </c>
    </row>
    <row r="132" spans="1:5" ht="16.5">
      <c r="A132" s="92" t="s">
        <v>347</v>
      </c>
      <c r="B132" s="125">
        <v>479826.51245551603</v>
      </c>
      <c r="C132" s="125">
        <f t="shared" si="3"/>
        <v>506216.9706405694</v>
      </c>
      <c r="D132" s="125">
        <f t="shared" si="3"/>
        <v>534058.9040258008</v>
      </c>
      <c r="E132" s="126">
        <f t="shared" si="3"/>
        <v>563432.1437472198</v>
      </c>
    </row>
    <row r="133" spans="1:5" ht="16.5">
      <c r="A133" s="94" t="s">
        <v>344</v>
      </c>
      <c r="B133" s="125">
        <v>13509169.301873023</v>
      </c>
      <c r="C133" s="125">
        <f t="shared" si="3"/>
        <v>14252173.613476038</v>
      </c>
      <c r="D133" s="125">
        <f t="shared" si="3"/>
        <v>15036043.16221722</v>
      </c>
      <c r="E133" s="126">
        <f t="shared" si="3"/>
        <v>15863025.536139168</v>
      </c>
    </row>
    <row r="134" spans="1:5" ht="16.5">
      <c r="A134" s="94" t="s">
        <v>345</v>
      </c>
      <c r="B134" s="125">
        <v>0</v>
      </c>
      <c r="C134" s="125">
        <f t="shared" si="3"/>
        <v>0</v>
      </c>
      <c r="D134" s="125">
        <f t="shared" si="3"/>
        <v>0</v>
      </c>
      <c r="E134" s="126">
        <f t="shared" si="3"/>
        <v>0</v>
      </c>
    </row>
    <row r="135" spans="1:5" ht="28.5">
      <c r="A135" s="92" t="s">
        <v>320</v>
      </c>
      <c r="B135" s="125">
        <v>0</v>
      </c>
      <c r="C135" s="125">
        <f t="shared" si="3"/>
        <v>0</v>
      </c>
      <c r="D135" s="125">
        <f t="shared" si="3"/>
        <v>0</v>
      </c>
      <c r="E135" s="126">
        <f t="shared" si="3"/>
        <v>0</v>
      </c>
    </row>
    <row r="136" spans="1:5" ht="16.5">
      <c r="A136" s="92" t="s">
        <v>321</v>
      </c>
      <c r="B136" s="125">
        <v>0</v>
      </c>
      <c r="C136" s="125">
        <f t="shared" si="3"/>
        <v>0</v>
      </c>
      <c r="D136" s="125">
        <f t="shared" si="3"/>
        <v>0</v>
      </c>
      <c r="E136" s="126">
        <f t="shared" si="3"/>
        <v>0</v>
      </c>
    </row>
    <row r="137" spans="1:5" ht="16.5">
      <c r="A137" s="92" t="s">
        <v>322</v>
      </c>
      <c r="B137" s="125">
        <v>0</v>
      </c>
      <c r="C137" s="125">
        <f t="shared" si="3"/>
        <v>0</v>
      </c>
      <c r="D137" s="125">
        <f t="shared" si="3"/>
        <v>0</v>
      </c>
      <c r="E137" s="126">
        <f t="shared" si="3"/>
        <v>0</v>
      </c>
    </row>
    <row r="138" spans="1:5" ht="16.5">
      <c r="A138" s="92" t="s">
        <v>323</v>
      </c>
      <c r="B138" s="125">
        <v>0</v>
      </c>
      <c r="C138" s="125">
        <f aca="true" t="shared" si="4" ref="C138:E141">SUM(B138*5.5/100)+B138</f>
        <v>0</v>
      </c>
      <c r="D138" s="125">
        <f t="shared" si="4"/>
        <v>0</v>
      </c>
      <c r="E138" s="126">
        <f t="shared" si="4"/>
        <v>0</v>
      </c>
    </row>
    <row r="139" spans="1:5" ht="16.5">
      <c r="A139" s="92" t="s">
        <v>324</v>
      </c>
      <c r="B139" s="125">
        <v>0</v>
      </c>
      <c r="C139" s="125">
        <f t="shared" si="4"/>
        <v>0</v>
      </c>
      <c r="D139" s="125">
        <f t="shared" si="4"/>
        <v>0</v>
      </c>
      <c r="E139" s="126">
        <f t="shared" si="4"/>
        <v>0</v>
      </c>
    </row>
    <row r="140" spans="1:5" ht="16.5">
      <c r="A140" s="92" t="s">
        <v>319</v>
      </c>
      <c r="B140" s="125">
        <v>1028677.3348528622</v>
      </c>
      <c r="C140" s="125">
        <f t="shared" si="4"/>
        <v>1085254.5882697697</v>
      </c>
      <c r="D140" s="125">
        <f t="shared" si="4"/>
        <v>1144943.590624607</v>
      </c>
      <c r="E140" s="126">
        <f t="shared" si="4"/>
        <v>1207915.4881089602</v>
      </c>
    </row>
    <row r="141" spans="1:5" ht="16.5">
      <c r="A141" s="127" t="s">
        <v>3</v>
      </c>
      <c r="B141" s="125">
        <v>1677563.7012230635</v>
      </c>
      <c r="C141" s="125">
        <f t="shared" si="4"/>
        <v>1769829.704790332</v>
      </c>
      <c r="D141" s="125">
        <f t="shared" si="4"/>
        <v>1867170.3385538002</v>
      </c>
      <c r="E141" s="126">
        <f t="shared" si="4"/>
        <v>1969864.7071742592</v>
      </c>
    </row>
    <row r="142" spans="1:5" ht="30.75" thickBot="1">
      <c r="A142" s="245" t="s">
        <v>366</v>
      </c>
      <c r="B142" s="246">
        <f>SUM(B58:B141)</f>
        <v>1597444239.8039508</v>
      </c>
      <c r="C142" s="246">
        <f>SUM(C58:C141)</f>
        <v>1685303672.9931688</v>
      </c>
      <c r="D142" s="246">
        <f>SUM(D58:D141)</f>
        <v>1777995375.0077932</v>
      </c>
      <c r="E142" s="247">
        <f>SUM(E58:E141)</f>
        <v>1875785120.6332214</v>
      </c>
    </row>
  </sheetData>
  <mergeCells count="3">
    <mergeCell ref="A1:E1"/>
    <mergeCell ref="A2:E2"/>
    <mergeCell ref="A3:E3"/>
  </mergeCells>
  <printOptions horizontalCentered="1"/>
  <pageMargins left="0.7874015748031497" right="0.7874015748031497" top="1.5748031496062993" bottom="0.984251968503937" header="0" footer="0"/>
  <pageSetup horizontalDpi="300" verticalDpi="300" orientation="portrait" scale="76" r:id="rId1"/>
  <rowBreaks count="2" manualBreakCount="2">
    <brk id="43" max="4" man="1"/>
    <brk id="5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69"/>
  <sheetViews>
    <sheetView tabSelected="1" workbookViewId="0" topLeftCell="A37">
      <selection activeCell="A1" sqref="A1:E1"/>
    </sheetView>
  </sheetViews>
  <sheetFormatPr defaultColWidth="12.69921875" defaultRowHeight="15"/>
  <cols>
    <col min="1" max="1" width="25.8984375" style="96" customWidth="1"/>
    <col min="2" max="5" width="14.796875" style="96" customWidth="1"/>
    <col min="6" max="16384" width="12.69921875" style="96" customWidth="1"/>
  </cols>
  <sheetData>
    <row r="1" spans="1:5" ht="16.5">
      <c r="A1" s="237" t="s">
        <v>360</v>
      </c>
      <c r="B1" s="237"/>
      <c r="C1" s="237"/>
      <c r="D1" s="237"/>
      <c r="E1" s="237"/>
    </row>
    <row r="2" spans="1:5" ht="16.5">
      <c r="A2" s="237" t="s">
        <v>368</v>
      </c>
      <c r="B2" s="237"/>
      <c r="C2" s="237"/>
      <c r="D2" s="237"/>
      <c r="E2" s="237"/>
    </row>
    <row r="3" spans="1:5" ht="17.25" thickBot="1">
      <c r="A3" s="237" t="s">
        <v>365</v>
      </c>
      <c r="B3" s="237"/>
      <c r="C3" s="237"/>
      <c r="D3" s="237"/>
      <c r="E3" s="237"/>
    </row>
    <row r="4" spans="1:5" ht="16.5">
      <c r="A4" s="81" t="s">
        <v>5</v>
      </c>
      <c r="B4" s="97">
        <v>2004</v>
      </c>
      <c r="C4" s="97">
        <v>2005</v>
      </c>
      <c r="D4" s="97">
        <v>2006</v>
      </c>
      <c r="E4" s="98">
        <v>2007</v>
      </c>
    </row>
    <row r="5" spans="1:5" ht="16.5">
      <c r="A5" s="84" t="s">
        <v>14</v>
      </c>
      <c r="B5" s="115">
        <v>338129736.8866876</v>
      </c>
      <c r="C5" s="115">
        <v>356726872.4154554</v>
      </c>
      <c r="D5" s="115">
        <v>376346850.3983054</v>
      </c>
      <c r="E5" s="116">
        <v>397045927.1702122</v>
      </c>
    </row>
    <row r="6" spans="1:5" ht="16.5">
      <c r="A6" s="84" t="s">
        <v>15</v>
      </c>
      <c r="B6" s="115">
        <v>26305796.234499183</v>
      </c>
      <c r="C6" s="115">
        <v>27752615.027396638</v>
      </c>
      <c r="D6" s="115">
        <v>29279008.853903454</v>
      </c>
      <c r="E6" s="116">
        <v>30889354.340868145</v>
      </c>
    </row>
    <row r="7" spans="1:5" ht="16.5">
      <c r="A7" s="84" t="s">
        <v>16</v>
      </c>
      <c r="B7" s="115">
        <v>29663239.336883474</v>
      </c>
      <c r="C7" s="115">
        <v>31294717.500412066</v>
      </c>
      <c r="D7" s="115">
        <v>33015926.96293473</v>
      </c>
      <c r="E7" s="116">
        <v>34831802.94589614</v>
      </c>
    </row>
    <row r="8" spans="1:5" ht="16.5">
      <c r="A8" s="84" t="s">
        <v>17</v>
      </c>
      <c r="B8" s="115">
        <v>153650015.96097496</v>
      </c>
      <c r="C8" s="115">
        <v>162100766.8388286</v>
      </c>
      <c r="D8" s="115">
        <v>171016309.01496416</v>
      </c>
      <c r="E8" s="116">
        <v>180422206.0107872</v>
      </c>
    </row>
    <row r="9" spans="1:5" ht="28.5">
      <c r="A9" s="84" t="s">
        <v>18</v>
      </c>
      <c r="B9" s="115">
        <v>7412830.170124827</v>
      </c>
      <c r="C9" s="115">
        <v>7820535.829481692</v>
      </c>
      <c r="D9" s="115">
        <v>8250665.300103185</v>
      </c>
      <c r="E9" s="116">
        <v>8704451.89160886</v>
      </c>
    </row>
    <row r="10" spans="1:5" ht="16.5">
      <c r="A10" s="84" t="s">
        <v>19</v>
      </c>
      <c r="B10" s="115">
        <v>19813003.295257397</v>
      </c>
      <c r="C10" s="115">
        <v>20902718.476496555</v>
      </c>
      <c r="D10" s="115">
        <v>22052367.992703866</v>
      </c>
      <c r="E10" s="116">
        <v>23265248.23230258</v>
      </c>
    </row>
    <row r="11" spans="1:5" ht="16.5">
      <c r="A11" s="84" t="s">
        <v>20</v>
      </c>
      <c r="B11" s="115">
        <v>2978511.6829034197</v>
      </c>
      <c r="C11" s="115">
        <v>3142329.825463108</v>
      </c>
      <c r="D11" s="115">
        <v>3315157.965863579</v>
      </c>
      <c r="E11" s="116">
        <v>3497491.653986076</v>
      </c>
    </row>
    <row r="12" spans="1:5" ht="16.5">
      <c r="A12" s="84" t="s">
        <v>21</v>
      </c>
      <c r="B12" s="115">
        <v>0</v>
      </c>
      <c r="C12" s="115">
        <v>0</v>
      </c>
      <c r="D12" s="115">
        <v>0</v>
      </c>
      <c r="E12" s="116">
        <v>0</v>
      </c>
    </row>
    <row r="13" spans="1:5" ht="16.5">
      <c r="A13" s="84" t="s">
        <v>22</v>
      </c>
      <c r="B13" s="115">
        <v>3236000</v>
      </c>
      <c r="C13" s="115">
        <v>3413980</v>
      </c>
      <c r="D13" s="115">
        <v>3601748.9</v>
      </c>
      <c r="E13" s="116">
        <v>3799845.0895</v>
      </c>
    </row>
    <row r="14" spans="1:5" ht="28.5">
      <c r="A14" s="84" t="s">
        <v>23</v>
      </c>
      <c r="B14" s="115">
        <v>112000</v>
      </c>
      <c r="C14" s="115">
        <v>118160</v>
      </c>
      <c r="D14" s="115">
        <v>124658.8</v>
      </c>
      <c r="E14" s="116">
        <v>131515.034</v>
      </c>
    </row>
    <row r="15" spans="1:5" ht="28.5">
      <c r="A15" s="84" t="s">
        <v>24</v>
      </c>
      <c r="B15" s="115">
        <v>330614.0305524795</v>
      </c>
      <c r="C15" s="115">
        <v>348797.8022328659</v>
      </c>
      <c r="D15" s="115">
        <v>367981.6813556735</v>
      </c>
      <c r="E15" s="116">
        <v>388220.67383023555</v>
      </c>
    </row>
    <row r="16" spans="1:5" ht="16.5">
      <c r="A16" s="84" t="s">
        <v>25</v>
      </c>
      <c r="B16" s="115">
        <v>1290029.864259223</v>
      </c>
      <c r="C16" s="115">
        <v>1360981.5067934804</v>
      </c>
      <c r="D16" s="115">
        <v>1435835.4896671218</v>
      </c>
      <c r="E16" s="116">
        <v>1514806.4415988135</v>
      </c>
    </row>
    <row r="17" spans="1:5" ht="16.5">
      <c r="A17" s="84" t="s">
        <v>26</v>
      </c>
      <c r="B17" s="115">
        <v>1846365.3365489664</v>
      </c>
      <c r="C17" s="115">
        <v>1947915.4300591594</v>
      </c>
      <c r="D17" s="115">
        <v>2055050.7787124133</v>
      </c>
      <c r="E17" s="116">
        <v>2168078.571541596</v>
      </c>
    </row>
    <row r="18" spans="1:5" ht="16.5">
      <c r="A18" s="84" t="s">
        <v>27</v>
      </c>
      <c r="B18" s="115">
        <v>13581924.895397564</v>
      </c>
      <c r="C18" s="115">
        <v>14328930.764644431</v>
      </c>
      <c r="D18" s="115">
        <v>15117021.956699874</v>
      </c>
      <c r="E18" s="116">
        <v>15948458.164318368</v>
      </c>
    </row>
    <row r="19" spans="1:5" ht="16.5">
      <c r="A19" s="84" t="s">
        <v>28</v>
      </c>
      <c r="B19" s="115">
        <v>255619.17301867527</v>
      </c>
      <c r="C19" s="115">
        <v>269678.2275347024</v>
      </c>
      <c r="D19" s="115">
        <v>284510.53004911105</v>
      </c>
      <c r="E19" s="116">
        <v>300158.6092018122</v>
      </c>
    </row>
    <row r="20" spans="1:5" ht="16.5">
      <c r="A20" s="84" t="s">
        <v>29</v>
      </c>
      <c r="B20" s="115">
        <v>0</v>
      </c>
      <c r="C20" s="115">
        <v>0</v>
      </c>
      <c r="D20" s="115">
        <v>0</v>
      </c>
      <c r="E20" s="116">
        <v>0</v>
      </c>
    </row>
    <row r="21" spans="1:5" ht="28.5">
      <c r="A21" s="84" t="s">
        <v>30</v>
      </c>
      <c r="B21" s="115">
        <v>0</v>
      </c>
      <c r="C21" s="115">
        <v>0</v>
      </c>
      <c r="D21" s="115">
        <v>0</v>
      </c>
      <c r="E21" s="116">
        <v>0</v>
      </c>
    </row>
    <row r="22" spans="1:5" ht="16.5">
      <c r="A22" s="84" t="s">
        <v>31</v>
      </c>
      <c r="B22" s="115">
        <v>43166.15459459743</v>
      </c>
      <c r="C22" s="115">
        <v>45540.29309730029</v>
      </c>
      <c r="D22" s="115">
        <v>48045.0092176518</v>
      </c>
      <c r="E22" s="116">
        <v>50687.48472462265</v>
      </c>
    </row>
    <row r="23" spans="1:5" ht="28.5">
      <c r="A23" s="84" t="s">
        <v>32</v>
      </c>
      <c r="B23" s="115">
        <v>25177655.056703817</v>
      </c>
      <c r="C23" s="115">
        <v>26562426.084822528</v>
      </c>
      <c r="D23" s="115">
        <v>28023359.51948777</v>
      </c>
      <c r="E23" s="116">
        <v>29564644.293059595</v>
      </c>
    </row>
    <row r="24" spans="1:5" ht="16.5">
      <c r="A24" s="84" t="s">
        <v>33</v>
      </c>
      <c r="B24" s="115">
        <v>0</v>
      </c>
      <c r="C24" s="115">
        <v>0</v>
      </c>
      <c r="D24" s="115">
        <v>0</v>
      </c>
      <c r="E24" s="116">
        <v>0</v>
      </c>
    </row>
    <row r="25" spans="1:5" ht="16.5">
      <c r="A25" s="88" t="s">
        <v>207</v>
      </c>
      <c r="B25" s="115">
        <v>2000</v>
      </c>
      <c r="C25" s="115">
        <v>2110</v>
      </c>
      <c r="D25" s="115">
        <v>2226.05</v>
      </c>
      <c r="E25" s="116">
        <v>2348.48275</v>
      </c>
    </row>
    <row r="26" spans="1:5" ht="16.5">
      <c r="A26" s="88" t="s">
        <v>208</v>
      </c>
      <c r="B26" s="115">
        <v>0</v>
      </c>
      <c r="C26" s="115">
        <v>0</v>
      </c>
      <c r="D26" s="115">
        <v>0</v>
      </c>
      <c r="E26" s="116">
        <v>0</v>
      </c>
    </row>
    <row r="27" spans="1:5" ht="16.5">
      <c r="A27" s="84" t="s">
        <v>34</v>
      </c>
      <c r="B27" s="115">
        <v>6829178.554484289</v>
      </c>
      <c r="C27" s="115">
        <v>7204783.374980925</v>
      </c>
      <c r="D27" s="115">
        <v>7601046.460604875</v>
      </c>
      <c r="E27" s="116">
        <v>8019104.015938143</v>
      </c>
    </row>
    <row r="28" spans="1:5" ht="16.5">
      <c r="A28" s="84" t="s">
        <v>35</v>
      </c>
      <c r="B28" s="115">
        <v>8298127.177818946</v>
      </c>
      <c r="C28" s="115">
        <v>8754524.172598988</v>
      </c>
      <c r="D28" s="115">
        <v>9236023.002091933</v>
      </c>
      <c r="E28" s="116">
        <v>9744004.26720699</v>
      </c>
    </row>
    <row r="29" spans="1:5" ht="28.5">
      <c r="A29" s="89" t="s">
        <v>36</v>
      </c>
      <c r="B29" s="115">
        <v>0</v>
      </c>
      <c r="C29" s="115">
        <v>0</v>
      </c>
      <c r="D29" s="115">
        <v>0</v>
      </c>
      <c r="E29" s="116">
        <v>0</v>
      </c>
    </row>
    <row r="30" spans="1:5" ht="16.5">
      <c r="A30" s="84" t="s">
        <v>37</v>
      </c>
      <c r="B30" s="115">
        <v>2650989.572134748</v>
      </c>
      <c r="C30" s="115">
        <v>2796793.9986021593</v>
      </c>
      <c r="D30" s="115">
        <v>2950617.668525278</v>
      </c>
      <c r="E30" s="116">
        <v>3112901.6402941686</v>
      </c>
    </row>
    <row r="31" spans="1:5" ht="28.5">
      <c r="A31" s="84" t="s">
        <v>38</v>
      </c>
      <c r="B31" s="115">
        <v>441396151.68092096</v>
      </c>
      <c r="C31" s="115">
        <v>465672940.02337164</v>
      </c>
      <c r="D31" s="115">
        <v>491284951.72465706</v>
      </c>
      <c r="E31" s="116">
        <v>518305624.0695132</v>
      </c>
    </row>
    <row r="32" spans="1:5" ht="28.5">
      <c r="A32" s="84" t="s">
        <v>39</v>
      </c>
      <c r="B32" s="115">
        <v>20715303.056850262</v>
      </c>
      <c r="C32" s="115">
        <v>21854644.724977028</v>
      </c>
      <c r="D32" s="115">
        <v>23056650.184850764</v>
      </c>
      <c r="E32" s="116">
        <v>24324765.945017554</v>
      </c>
    </row>
    <row r="33" spans="1:5" ht="28.5">
      <c r="A33" s="84" t="s">
        <v>40</v>
      </c>
      <c r="B33" s="115">
        <v>11134715.626786752</v>
      </c>
      <c r="C33" s="115">
        <v>11747124.986260023</v>
      </c>
      <c r="D33" s="115">
        <v>12393216.860504324</v>
      </c>
      <c r="E33" s="116">
        <v>13074843.78783206</v>
      </c>
    </row>
    <row r="34" spans="1:5" ht="16.5">
      <c r="A34" s="84" t="s">
        <v>41</v>
      </c>
      <c r="B34" s="115">
        <v>240932.48125037932</v>
      </c>
      <c r="C34" s="115">
        <v>254183.76771915017</v>
      </c>
      <c r="D34" s="115">
        <v>268163.8749437034</v>
      </c>
      <c r="E34" s="116">
        <v>282912.8880656071</v>
      </c>
    </row>
    <row r="35" spans="1:5" ht="16.5">
      <c r="A35" s="84" t="s">
        <v>42</v>
      </c>
      <c r="B35" s="115">
        <v>4167928.927274965</v>
      </c>
      <c r="C35" s="115">
        <v>4397165.018275089</v>
      </c>
      <c r="D35" s="115">
        <v>4639009.094280219</v>
      </c>
      <c r="E35" s="116">
        <v>4894154.594465631</v>
      </c>
    </row>
    <row r="36" spans="1:5" ht="28.5">
      <c r="A36" s="84" t="s">
        <v>43</v>
      </c>
      <c r="B36" s="115">
        <v>5912037.511013388</v>
      </c>
      <c r="C36" s="115">
        <v>6237199.574119124</v>
      </c>
      <c r="D36" s="115">
        <v>6580245.550695675</v>
      </c>
      <c r="E36" s="116">
        <v>6942159.055983937</v>
      </c>
    </row>
    <row r="37" spans="1:5" ht="16.5">
      <c r="A37" s="84" t="s">
        <v>44</v>
      </c>
      <c r="B37" s="115">
        <v>0</v>
      </c>
      <c r="C37" s="115">
        <v>0</v>
      </c>
      <c r="D37" s="115">
        <v>0</v>
      </c>
      <c r="E37" s="116">
        <v>0</v>
      </c>
    </row>
    <row r="38" spans="1:5" ht="16.5">
      <c r="A38" s="84" t="s">
        <v>45</v>
      </c>
      <c r="B38" s="115">
        <v>776000</v>
      </c>
      <c r="C38" s="115">
        <v>818680</v>
      </c>
      <c r="D38" s="115">
        <v>863707.4</v>
      </c>
      <c r="E38" s="116">
        <v>911211.307</v>
      </c>
    </row>
    <row r="39" spans="1:5" ht="16.5">
      <c r="A39" s="88" t="s">
        <v>205</v>
      </c>
      <c r="B39" s="115">
        <v>0</v>
      </c>
      <c r="C39" s="115">
        <v>0</v>
      </c>
      <c r="D39" s="115">
        <v>0</v>
      </c>
      <c r="E39" s="116">
        <v>0</v>
      </c>
    </row>
    <row r="40" spans="1:5" ht="16.5">
      <c r="A40" s="88" t="s">
        <v>210</v>
      </c>
      <c r="B40" s="115">
        <v>2197000</v>
      </c>
      <c r="C40" s="115">
        <v>2317835</v>
      </c>
      <c r="D40" s="115">
        <v>2445315.925</v>
      </c>
      <c r="E40" s="116">
        <v>2579808.3008749997</v>
      </c>
    </row>
    <row r="41" spans="1:5" ht="16.5">
      <c r="A41" s="88" t="s">
        <v>212</v>
      </c>
      <c r="B41" s="115">
        <v>0</v>
      </c>
      <c r="C41" s="115">
        <v>0</v>
      </c>
      <c r="D41" s="115">
        <v>0</v>
      </c>
      <c r="E41" s="116">
        <v>0</v>
      </c>
    </row>
    <row r="42" spans="1:5" ht="16.5">
      <c r="A42" s="88" t="s">
        <v>219</v>
      </c>
      <c r="B42" s="115">
        <v>0</v>
      </c>
      <c r="C42" s="115">
        <v>0</v>
      </c>
      <c r="D42" s="115">
        <v>0</v>
      </c>
      <c r="E42" s="116">
        <v>0</v>
      </c>
    </row>
    <row r="43" spans="1:5" ht="28.5">
      <c r="A43" s="88" t="s">
        <v>220</v>
      </c>
      <c r="B43" s="115">
        <v>17000</v>
      </c>
      <c r="C43" s="115">
        <v>17935</v>
      </c>
      <c r="D43" s="115">
        <v>18921.425</v>
      </c>
      <c r="E43" s="116">
        <v>19962.103375</v>
      </c>
    </row>
    <row r="44" spans="1:5" ht="16.5">
      <c r="A44" s="88" t="s">
        <v>221</v>
      </c>
      <c r="B44" s="115">
        <v>17000</v>
      </c>
      <c r="C44" s="115">
        <v>17935</v>
      </c>
      <c r="D44" s="115">
        <v>18921.425</v>
      </c>
      <c r="E44" s="116">
        <v>19962.103375</v>
      </c>
    </row>
    <row r="45" spans="1:5" ht="16.5">
      <c r="A45" s="88" t="s">
        <v>133</v>
      </c>
      <c r="B45" s="115">
        <v>12000</v>
      </c>
      <c r="C45" s="115">
        <v>12660</v>
      </c>
      <c r="D45" s="115">
        <v>13356.3</v>
      </c>
      <c r="E45" s="116">
        <v>14090.896499999999</v>
      </c>
    </row>
    <row r="46" spans="1:5" ht="28.5">
      <c r="A46" s="84" t="s">
        <v>64</v>
      </c>
      <c r="B46" s="115">
        <v>0</v>
      </c>
      <c r="C46" s="115">
        <v>0</v>
      </c>
      <c r="D46" s="115">
        <v>0</v>
      </c>
      <c r="E46" s="116">
        <v>0</v>
      </c>
    </row>
    <row r="47" spans="1:5" ht="16.5">
      <c r="A47" s="84" t="s">
        <v>65</v>
      </c>
      <c r="B47" s="115">
        <v>680590.0627036535</v>
      </c>
      <c r="C47" s="115">
        <v>718022.5161523544</v>
      </c>
      <c r="D47" s="115">
        <v>757513.7545407339</v>
      </c>
      <c r="E47" s="116">
        <v>799177.0110404743</v>
      </c>
    </row>
    <row r="48" spans="1:5" ht="16.5">
      <c r="A48" s="88" t="s">
        <v>161</v>
      </c>
      <c r="B48" s="115">
        <v>925588.6773547095</v>
      </c>
      <c r="C48" s="115">
        <v>976496.0546092185</v>
      </c>
      <c r="D48" s="115">
        <v>1030203.3376127256</v>
      </c>
      <c r="E48" s="116">
        <v>1086864.5211814255</v>
      </c>
    </row>
    <row r="49" spans="1:5" ht="16.5">
      <c r="A49" s="88" t="s">
        <v>157</v>
      </c>
      <c r="B49" s="115">
        <v>0</v>
      </c>
      <c r="C49" s="115">
        <v>0</v>
      </c>
      <c r="D49" s="115">
        <v>0</v>
      </c>
      <c r="E49" s="116">
        <v>0</v>
      </c>
    </row>
    <row r="50" spans="1:5" ht="28.5">
      <c r="A50" s="88" t="s">
        <v>158</v>
      </c>
      <c r="B50" s="115">
        <v>24463423.866754994</v>
      </c>
      <c r="C50" s="115">
        <v>25808912.179426517</v>
      </c>
      <c r="D50" s="115">
        <v>27228402.349294975</v>
      </c>
      <c r="E50" s="116">
        <v>28725964.4785062</v>
      </c>
    </row>
    <row r="51" spans="1:5" ht="16.5">
      <c r="A51" s="84" t="s">
        <v>93</v>
      </c>
      <c r="B51" s="115">
        <v>0</v>
      </c>
      <c r="C51" s="115">
        <v>0</v>
      </c>
      <c r="D51" s="115">
        <v>0</v>
      </c>
      <c r="E51" s="116">
        <v>0</v>
      </c>
    </row>
    <row r="52" spans="1:5" ht="28.5">
      <c r="A52" s="84" t="s">
        <v>94</v>
      </c>
      <c r="B52" s="115">
        <v>2192000</v>
      </c>
      <c r="C52" s="115">
        <v>2312560</v>
      </c>
      <c r="D52" s="115">
        <v>2439750.8</v>
      </c>
      <c r="E52" s="116">
        <v>2573937.0939999996</v>
      </c>
    </row>
    <row r="53" spans="1:5" ht="16.5">
      <c r="A53" s="88" t="s">
        <v>355</v>
      </c>
      <c r="B53" s="115">
        <v>583778975</v>
      </c>
      <c r="C53" s="115">
        <v>615886818.625</v>
      </c>
      <c r="D53" s="115">
        <v>649760593.649375</v>
      </c>
      <c r="E53" s="116">
        <v>685497426.3000906</v>
      </c>
    </row>
    <row r="54" spans="1:5" ht="30">
      <c r="A54" s="90" t="s">
        <v>363</v>
      </c>
      <c r="B54" s="85">
        <f>SUM(B5:B53)</f>
        <v>1740233450.273754</v>
      </c>
      <c r="C54" s="85">
        <f>SUM(C5:C53)</f>
        <v>1835946290.0388105</v>
      </c>
      <c r="D54" s="85">
        <f>SUM(D5:D53)</f>
        <v>1936923335.9909446</v>
      </c>
      <c r="E54" s="91">
        <f>SUM(E5:E53)</f>
        <v>2043454119.470447</v>
      </c>
    </row>
    <row r="55" spans="1:5" ht="16.5">
      <c r="A55" s="90" t="s">
        <v>362</v>
      </c>
      <c r="B55" s="129">
        <f>SUM(B54*0.2)</f>
        <v>348046690.0547508</v>
      </c>
      <c r="C55" s="129">
        <f>SUM(C54*0.2)</f>
        <v>367189258.00776213</v>
      </c>
      <c r="D55" s="129">
        <f>SUM(D54*0.2)</f>
        <v>387384667.19818896</v>
      </c>
      <c r="E55" s="130">
        <f>SUM(E54*0.2)</f>
        <v>408690823.89408946</v>
      </c>
    </row>
    <row r="56" spans="1:5" ht="30.75" thickBot="1">
      <c r="A56" s="128" t="s">
        <v>364</v>
      </c>
      <c r="B56" s="131">
        <f>SUM(B54-B55)</f>
        <v>1392186760.2190032</v>
      </c>
      <c r="C56" s="131">
        <f>SUM(C54-C55)</f>
        <v>1468757032.0310483</v>
      </c>
      <c r="D56" s="131">
        <f>SUM(D54-D55)</f>
        <v>1549538668.7927556</v>
      </c>
      <c r="E56" s="132">
        <f>SUM(E54-E55)</f>
        <v>1634763295.5763576</v>
      </c>
    </row>
    <row r="57" spans="1:5" ht="16.5">
      <c r="A57" s="83"/>
      <c r="B57" s="83"/>
      <c r="C57" s="83"/>
      <c r="D57" s="83"/>
      <c r="E57" s="83"/>
    </row>
    <row r="58" spans="1:5" ht="16.5">
      <c r="A58" s="83"/>
      <c r="B58" s="83"/>
      <c r="C58" s="83"/>
      <c r="D58" s="83"/>
      <c r="E58" s="83"/>
    </row>
    <row r="59" spans="1:5" ht="16.5">
      <c r="A59" s="83"/>
      <c r="B59" s="83"/>
      <c r="C59" s="83"/>
      <c r="D59" s="83"/>
      <c r="E59" s="83"/>
    </row>
    <row r="60" spans="1:5" ht="16.5">
      <c r="A60" s="83"/>
      <c r="B60" s="83"/>
      <c r="C60" s="83"/>
      <c r="D60" s="83"/>
      <c r="E60" s="83"/>
    </row>
    <row r="61" spans="1:5" ht="16.5">
      <c r="A61" s="83"/>
      <c r="B61" s="83"/>
      <c r="C61" s="83"/>
      <c r="D61" s="83"/>
      <c r="E61" s="83"/>
    </row>
    <row r="62" spans="1:5" ht="16.5">
      <c r="A62" s="83"/>
      <c r="B62" s="83"/>
      <c r="C62" s="83"/>
      <c r="D62" s="83"/>
      <c r="E62" s="83"/>
    </row>
    <row r="63" spans="1:5" ht="16.5">
      <c r="A63" s="83"/>
      <c r="B63" s="83"/>
      <c r="C63" s="83"/>
      <c r="D63" s="83"/>
      <c r="E63" s="83"/>
    </row>
    <row r="64" spans="1:5" ht="16.5">
      <c r="A64" s="83"/>
      <c r="B64" s="83"/>
      <c r="C64" s="83"/>
      <c r="D64" s="83"/>
      <c r="E64" s="83"/>
    </row>
    <row r="65" spans="1:5" ht="16.5">
      <c r="A65" s="83"/>
      <c r="B65" s="83"/>
      <c r="C65" s="83"/>
      <c r="D65" s="83"/>
      <c r="E65" s="83"/>
    </row>
    <row r="66" spans="1:5" ht="16.5">
      <c r="A66" s="83"/>
      <c r="B66" s="83"/>
      <c r="C66" s="83"/>
      <c r="D66" s="83"/>
      <c r="E66" s="83"/>
    </row>
    <row r="67" spans="1:5" ht="16.5">
      <c r="A67" s="83"/>
      <c r="B67" s="83"/>
      <c r="C67" s="83"/>
      <c r="D67" s="83"/>
      <c r="E67" s="83"/>
    </row>
    <row r="68" spans="1:5" ht="16.5">
      <c r="A68" s="83"/>
      <c r="B68" s="83"/>
      <c r="C68" s="83"/>
      <c r="D68" s="83"/>
      <c r="E68" s="83"/>
    </row>
    <row r="69" spans="1:5" ht="16.5">
      <c r="A69" s="83"/>
      <c r="B69" s="83"/>
      <c r="C69" s="83"/>
      <c r="D69" s="83"/>
      <c r="E69" s="83"/>
    </row>
  </sheetData>
  <mergeCells count="3">
    <mergeCell ref="A1:E1"/>
    <mergeCell ref="A2:E2"/>
    <mergeCell ref="A3:E3"/>
  </mergeCells>
  <printOptions horizontalCentered="1"/>
  <pageMargins left="0.7874015748031497" right="0.7874015748031497" top="1.5748031496062993" bottom="0.984251968503937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TESORERIA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MUNICIPAL</dc:creator>
  <cp:keywords/>
  <dc:description/>
  <cp:lastModifiedBy>PLANEACION</cp:lastModifiedBy>
  <cp:lastPrinted>2004-06-03T23:32:41Z</cp:lastPrinted>
  <dcterms:created xsi:type="dcterms:W3CDTF">2004-04-19T22:50:46Z</dcterms:created>
  <dcterms:modified xsi:type="dcterms:W3CDTF">2004-06-04T01:07:39Z</dcterms:modified>
  <cp:category/>
  <cp:version/>
  <cp:contentType/>
  <cp:contentStatus/>
</cp:coreProperties>
</file>