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30" windowWidth="17400" windowHeight="10575" tabRatio="866" firstSheet="4" activeTab="9"/>
  </bookViews>
  <sheets>
    <sheet name="EDUCACION" sheetId="1" r:id="rId1"/>
    <sheet name="SALUD" sheetId="2" r:id="rId2"/>
    <sheet name="INFRAESTRUCTURA" sheetId="3" r:id="rId3"/>
    <sheet name="MUJER" sheetId="4" r:id="rId4"/>
    <sheet name="JUVENTUD" sheetId="5" r:id="rId5"/>
    <sheet name="INCLUSION SOCIAL" sheetId="6" r:id="rId6"/>
    <sheet name="CULTURA" sheetId="7" r:id="rId7"/>
    <sheet name="AMBIENTE" sheetId="8" r:id="rId8"/>
    <sheet name="SEGURIDAD" sheetId="9" r:id="rId9"/>
    <sheet name="BUEN GOBIERNO" sheetId="10" r:id="rId10"/>
    <sheet name="RECREACION " sheetId="11" r:id="rId11"/>
    <sheet name="CORD PRODUCTIVA" sheetId="12" r:id="rId12"/>
    <sheet name="VIVIENDA DEF" sheetId="13" r:id="rId13"/>
    <sheet name="GENER EMPLEO" sheetId="14" r:id="rId14"/>
  </sheets>
  <definedNames>
    <definedName name="_xlnm.Print_Titles" localSheetId="7">'AMBIENTE'!$3:$14</definedName>
    <definedName name="_xlnm.Print_Titles" localSheetId="9">'BUEN GOBIERNO'!$2:$14</definedName>
    <definedName name="_xlnm.Print_Titles" localSheetId="11">'CORD PRODUCTIVA'!$2:$14</definedName>
    <definedName name="_xlnm.Print_Titles" localSheetId="6">'CULTURA'!$2:$14</definedName>
    <definedName name="_xlnm.Print_Titles" localSheetId="0">'EDUCACION'!$2:$14</definedName>
    <definedName name="_xlnm.Print_Titles" localSheetId="13">'GENER EMPLEO'!$2:$14</definedName>
    <definedName name="_xlnm.Print_Titles" localSheetId="2">'INFRAESTRUCTURA'!$2:$14</definedName>
    <definedName name="_xlnm.Print_Titles" localSheetId="4">'JUVENTUD'!$3:$14</definedName>
    <definedName name="_xlnm.Print_Titles" localSheetId="3">'MUJER'!$2:$15</definedName>
    <definedName name="_xlnm.Print_Titles" localSheetId="10">'RECREACION '!$2:$14</definedName>
    <definedName name="_xlnm.Print_Titles" localSheetId="1">'SALUD'!$2:$13</definedName>
    <definedName name="_xlnm.Print_Titles" localSheetId="8">'SEGURIDAD'!$2:$13</definedName>
    <definedName name="_xlnm.Print_Titles" localSheetId="12">'VIVIENDA DEF'!$2:$13</definedName>
  </definedNames>
  <calcPr fullCalcOnLoad="1"/>
</workbook>
</file>

<file path=xl/comments3.xml><?xml version="1.0" encoding="utf-8"?>
<comments xmlns="http://schemas.openxmlformats.org/spreadsheetml/2006/main">
  <authors>
    <author>Infraestructura</author>
    <author>Diego Abad</author>
    <author> </author>
  </authors>
  <commentList>
    <comment ref="G15" authorId="0">
      <text>
        <r>
          <rPr>
            <b/>
            <sz val="8"/>
            <rFont val="Tahoma"/>
            <family val="2"/>
          </rPr>
          <t>Infraestructura:</t>
        </r>
        <r>
          <rPr>
            <sz val="8"/>
            <rFont val="Tahoma"/>
            <family val="2"/>
          </rPr>
          <t xml:space="preserve">
Inicial
30%
Porcentaje de vías a cargo del Departamento con algún tipo de intervención
5
Vías secundarias estratégicas intervenidas</t>
        </r>
      </text>
    </comment>
    <comment ref="O15" authorId="1">
      <text>
        <r>
          <rPr>
            <b/>
            <sz val="9"/>
            <rFont val="Tahoma"/>
            <family val="2"/>
          </rPr>
          <t>Diego Abad:</t>
        </r>
        <r>
          <rPr>
            <sz val="9"/>
            <rFont val="Tahoma"/>
            <family val="2"/>
          </rPr>
          <t xml:space="preserve">
2 concesiones actuales (Autopista de la Sabana y Las Américas) en PDD</t>
        </r>
      </text>
    </comment>
    <comment ref="J16" authorId="0">
      <text>
        <r>
          <rPr>
            <b/>
            <sz val="8"/>
            <rFont val="Tahoma"/>
            <family val="2"/>
          </rPr>
          <t>Infraestructura:</t>
        </r>
        <r>
          <rPr>
            <sz val="8"/>
            <rFont val="Tahoma"/>
            <family val="2"/>
          </rPr>
          <t xml:space="preserve">
Para cumplir mestas se requieren  $25,851,000,000</t>
        </r>
      </text>
    </comment>
    <comment ref="O16" authorId="1">
      <text>
        <r>
          <rPr>
            <b/>
            <sz val="9"/>
            <rFont val="Tahoma"/>
            <family val="2"/>
          </rPr>
          <t>Diego Abad:</t>
        </r>
        <r>
          <rPr>
            <sz val="9"/>
            <rFont val="Tahoma"/>
            <family val="2"/>
          </rPr>
          <t xml:space="preserve">
64,7 kilómetros pavimentados en mal estado</t>
        </r>
      </text>
    </comment>
    <comment ref="O17" authorId="1">
      <text>
        <r>
          <rPr>
            <b/>
            <sz val="9"/>
            <rFont val="Tahoma"/>
            <family val="2"/>
          </rPr>
          <t>Diego Abad:</t>
        </r>
        <r>
          <rPr>
            <sz val="9"/>
            <rFont val="Tahoma"/>
            <family val="2"/>
          </rPr>
          <t xml:space="preserve">
25 kilómetros de longitud de la vía. Todos en mal estado</t>
        </r>
      </text>
    </comment>
    <comment ref="O18" authorId="1">
      <text>
        <r>
          <rPr>
            <b/>
            <sz val="9"/>
            <rFont val="Tahoma"/>
            <family val="2"/>
          </rPr>
          <t>Diego Abad:</t>
        </r>
        <r>
          <rPr>
            <sz val="9"/>
            <rFont val="Tahoma"/>
            <family val="2"/>
          </rPr>
          <t xml:space="preserve">
40,8 kilómetros de longitud (6,8 km con pavimento en mal estado, 34 afirmados)</t>
        </r>
      </text>
    </comment>
    <comment ref="O19" authorId="1">
      <text>
        <r>
          <rPr>
            <b/>
            <sz val="9"/>
            <rFont val="Tahoma"/>
            <family val="2"/>
          </rPr>
          <t>Diego Abad:</t>
        </r>
        <r>
          <rPr>
            <sz val="9"/>
            <rFont val="Tahoma"/>
            <family val="2"/>
          </rPr>
          <t xml:space="preserve">
40,8 kilómetros de longitud (6,8 km con pavimento en mal estado, 34 afirmados)</t>
        </r>
      </text>
    </comment>
    <comment ref="O20" authorId="1">
      <text>
        <r>
          <rPr>
            <b/>
            <sz val="9"/>
            <rFont val="Tahoma"/>
            <family val="2"/>
          </rPr>
          <t>Diego Abad:</t>
        </r>
        <r>
          <rPr>
            <sz val="9"/>
            <rFont val="Tahoma"/>
            <family val="2"/>
          </rPr>
          <t xml:space="preserve">
11,7 km de longitud.  10 Pavimentados en mal estado. 1.7 en afirmado</t>
        </r>
      </text>
    </comment>
    <comment ref="O21" authorId="1">
      <text>
        <r>
          <rPr>
            <b/>
            <sz val="9"/>
            <rFont val="Tahoma"/>
            <family val="2"/>
          </rPr>
          <t>Diego Abad:</t>
        </r>
        <r>
          <rPr>
            <sz val="9"/>
            <rFont val="Tahoma"/>
            <family val="2"/>
          </rPr>
          <t xml:space="preserve">
40,5 km de longitud (15,1 km afirmados y 25,4 km pavimentados)</t>
        </r>
      </text>
    </comment>
    <comment ref="O22" authorId="1">
      <text>
        <r>
          <rPr>
            <b/>
            <sz val="9"/>
            <rFont val="Tahoma"/>
            <family val="2"/>
          </rPr>
          <t>Diego Abad:</t>
        </r>
        <r>
          <rPr>
            <sz val="9"/>
            <rFont val="Tahoma"/>
            <family val="2"/>
          </rPr>
          <t xml:space="preserve">
590 kilómetros de vías secundarias</t>
        </r>
      </text>
    </comment>
    <comment ref="O23" authorId="1">
      <text>
        <r>
          <rPr>
            <b/>
            <sz val="9"/>
            <rFont val="Tahoma"/>
            <family val="2"/>
          </rPr>
          <t>Diego Abad:</t>
        </r>
        <r>
          <rPr>
            <sz val="9"/>
            <rFont val="Tahoma"/>
            <family val="2"/>
          </rPr>
          <t xml:space="preserve">
5.600 kilómetros de vías terciarias</t>
        </r>
      </text>
    </comment>
    <comment ref="O24" authorId="1">
      <text>
        <r>
          <rPr>
            <b/>
            <sz val="9"/>
            <rFont val="Tahoma"/>
            <family val="2"/>
          </rPr>
          <t>Diego Abad:</t>
        </r>
        <r>
          <rPr>
            <sz val="9"/>
            <rFont val="Tahoma"/>
            <family val="2"/>
          </rPr>
          <t xml:space="preserve">
8 kilómetros pavimentados 2009-2012</t>
        </r>
      </text>
    </comment>
    <comment ref="T25" authorId="0">
      <text>
        <r>
          <rPr>
            <b/>
            <sz val="8"/>
            <rFont val="Tahoma"/>
            <family val="2"/>
          </rPr>
          <t>Infraestructura:</t>
        </r>
        <r>
          <rPr>
            <sz val="8"/>
            <rFont val="Tahoma"/>
            <family val="2"/>
          </rPr>
          <t xml:space="preserve">
182 Adicional Puerto Escondido
724 Vijagual</t>
        </r>
      </text>
    </comment>
    <comment ref="O29" authorId="1">
      <text>
        <r>
          <rPr>
            <b/>
            <sz val="9"/>
            <rFont val="Tahoma"/>
            <family val="2"/>
          </rPr>
          <t>Diego Abad:</t>
        </r>
        <r>
          <rPr>
            <sz val="9"/>
            <rFont val="Tahoma"/>
            <family val="2"/>
          </rPr>
          <t xml:space="preserve">
3 observatorios ambientales actuales, Ronda Norte y Sur Sinú y Cereté</t>
        </r>
      </text>
    </comment>
    <comment ref="K30" authorId="1">
      <text>
        <r>
          <rPr>
            <b/>
            <sz val="9"/>
            <rFont val="Tahoma"/>
            <family val="2"/>
          </rPr>
          <t>Diego Abad:</t>
        </r>
        <r>
          <rPr>
            <sz val="9"/>
            <rFont val="Tahoma"/>
            <family val="2"/>
          </rPr>
          <t xml:space="preserve">
Inicial
Apoyo a proyectos de mejora en espacio público
Apoyo institucional para la gestión de proyectos de equipamiento urbano  y mejoramiento urbanístico</t>
        </r>
      </text>
    </comment>
    <comment ref="M30" authorId="1">
      <text>
        <r>
          <rPr>
            <b/>
            <sz val="9"/>
            <rFont val="Tahoma"/>
            <family val="2"/>
          </rPr>
          <t>Diego Abad:</t>
        </r>
        <r>
          <rPr>
            <sz val="9"/>
            <rFont val="Tahoma"/>
            <family val="2"/>
          </rPr>
          <t xml:space="preserve">
Inicial 1 + 4</t>
        </r>
      </text>
    </comment>
    <comment ref="M35" authorId="1">
      <text>
        <r>
          <rPr>
            <b/>
            <sz val="9"/>
            <rFont val="Tahoma"/>
            <family val="2"/>
          </rPr>
          <t>Diego Abad:</t>
        </r>
        <r>
          <rPr>
            <sz val="9"/>
            <rFont val="Tahoma"/>
            <family val="2"/>
          </rPr>
          <t xml:space="preserve">
Alcanza para 7
</t>
        </r>
      </text>
    </comment>
    <comment ref="O35" authorId="1">
      <text>
        <r>
          <rPr>
            <b/>
            <sz val="9"/>
            <rFont val="Tahoma"/>
            <family val="2"/>
          </rPr>
          <t>Diego Abad:</t>
        </r>
        <r>
          <rPr>
            <sz val="9"/>
            <rFont val="Tahoma"/>
            <family val="2"/>
          </rPr>
          <t xml:space="preserve">
8 Obras ejecutadas durante año 2009 - 2012. 23 obras de Colombia Humanitaria. 5 Obras ejecutadas por la CVS</t>
        </r>
      </text>
    </comment>
    <comment ref="M36" authorId="1">
      <text>
        <r>
          <rPr>
            <b/>
            <sz val="9"/>
            <rFont val="Tahoma"/>
            <family val="2"/>
          </rPr>
          <t>Diego Abad:</t>
        </r>
        <r>
          <rPr>
            <sz val="9"/>
            <rFont val="Tahoma"/>
            <family val="2"/>
          </rPr>
          <t xml:space="preserve">
Alcanza para 7
</t>
        </r>
      </text>
    </comment>
    <comment ref="O36" authorId="1">
      <text>
        <r>
          <rPr>
            <b/>
            <sz val="9"/>
            <rFont val="Tahoma"/>
            <family val="2"/>
          </rPr>
          <t>Diego Abad:</t>
        </r>
        <r>
          <rPr>
            <sz val="9"/>
            <rFont val="Tahoma"/>
            <family val="2"/>
          </rPr>
          <t xml:space="preserve">
1 obra ejecutada cuatrienio anterior</t>
        </r>
      </text>
    </comment>
    <comment ref="F41" authorId="0">
      <text>
        <r>
          <rPr>
            <b/>
            <sz val="8"/>
            <rFont val="Tahoma"/>
            <family val="2"/>
          </rPr>
          <t>Infraestructura:</t>
        </r>
        <r>
          <rPr>
            <sz val="8"/>
            <rFont val="Tahoma"/>
            <family val="2"/>
          </rPr>
          <t xml:space="preserve">
850 Viviendas</t>
        </r>
      </text>
    </comment>
    <comment ref="I41" authorId="0">
      <text>
        <r>
          <rPr>
            <b/>
            <sz val="8"/>
            <rFont val="Tahoma"/>
            <family val="2"/>
          </rPr>
          <t>Infraestructura:</t>
        </r>
        <r>
          <rPr>
            <sz val="8"/>
            <rFont val="Tahoma"/>
            <family val="2"/>
          </rPr>
          <t xml:space="preserve">
850 Viviendas</t>
        </r>
      </text>
    </comment>
    <comment ref="M41" authorId="1">
      <text>
        <r>
          <rPr>
            <b/>
            <sz val="9"/>
            <rFont val="Tahoma"/>
            <family val="2"/>
          </rPr>
          <t>Diego Abad:</t>
        </r>
        <r>
          <rPr>
            <sz val="9"/>
            <rFont val="Tahoma"/>
            <family val="2"/>
          </rPr>
          <t xml:space="preserve">
Alcanza para 71</t>
        </r>
      </text>
    </comment>
    <comment ref="K42" authorId="1">
      <text>
        <r>
          <rPr>
            <b/>
            <sz val="9"/>
            <rFont val="Tahoma"/>
            <family val="2"/>
          </rPr>
          <t>Diego Abad:</t>
        </r>
        <r>
          <rPr>
            <sz val="9"/>
            <rFont val="Tahoma"/>
            <family val="2"/>
          </rPr>
          <t xml:space="preserve">
Inicial
Apoyar aumento de cobertura del alumbrado público</t>
        </r>
      </text>
    </comment>
    <comment ref="H60" authorId="0">
      <text>
        <r>
          <rPr>
            <b/>
            <sz val="8"/>
            <rFont val="Tahoma"/>
            <family val="2"/>
          </rPr>
          <t>Infraestructura:</t>
        </r>
        <r>
          <rPr>
            <sz val="8"/>
            <rFont val="Tahoma"/>
            <family val="2"/>
          </rPr>
          <t xml:space="preserve">
1200 accidentes en 4 años</t>
        </r>
      </text>
    </comment>
    <comment ref="I60" authorId="0">
      <text>
        <r>
          <rPr>
            <b/>
            <sz val="8"/>
            <rFont val="Tahoma"/>
            <family val="2"/>
          </rPr>
          <t>Infraestructura:</t>
        </r>
        <r>
          <rPr>
            <sz val="8"/>
            <rFont val="Tahoma"/>
            <family val="2"/>
          </rPr>
          <t xml:space="preserve">
1080 accidentes en 4 años</t>
        </r>
      </text>
    </comment>
    <comment ref="M47" authorId="2">
      <text>
        <r>
          <rPr>
            <b/>
            <sz val="10"/>
            <rFont val="Tahoma"/>
            <family val="2"/>
          </rPr>
          <t xml:space="preserve"> :
La meta es aumentar el porcentaje en un 5%</t>
        </r>
      </text>
    </comment>
    <comment ref="M49" authorId="2">
      <text>
        <r>
          <rPr>
            <b/>
            <sz val="10"/>
            <rFont val="Tahoma"/>
            <family val="2"/>
          </rPr>
          <t xml:space="preserve"> :
La meta es aumentar el porcentaje en un 8%</t>
        </r>
      </text>
    </comment>
  </commentList>
</comments>
</file>

<file path=xl/comments8.xml><?xml version="1.0" encoding="utf-8"?>
<comments xmlns="http://schemas.openxmlformats.org/spreadsheetml/2006/main">
  <authors>
    <author>Luis G</author>
    <author>Preferred Customer</author>
    <author> </author>
  </authors>
  <commentList>
    <comment ref="O17" authorId="0">
      <text>
        <r>
          <rPr>
            <b/>
            <sz val="8"/>
            <rFont val="Tahoma"/>
            <family val="2"/>
          </rPr>
          <t>Luis G:</t>
        </r>
        <r>
          <rPr>
            <sz val="8"/>
            <rFont val="Tahoma"/>
            <family val="2"/>
          </rPr>
          <t xml:space="preserve">
Actualmente se encuentra en ejecución un proyecto - Piloto de Planificación para la inclusión del componente de riesgo en el POT - El municipio es Cotorra</t>
        </r>
      </text>
    </comment>
    <comment ref="O19" authorId="1">
      <text>
        <r>
          <rPr>
            <b/>
            <sz val="8"/>
            <rFont val="Tahoma"/>
            <family val="2"/>
          </rPr>
          <t>Preferred Customer:</t>
        </r>
        <r>
          <rPr>
            <sz val="8"/>
            <rFont val="Tahoma"/>
            <family val="2"/>
          </rPr>
          <t xml:space="preserve">
Confirmar </t>
        </r>
      </text>
    </comment>
    <comment ref="O23" authorId="1">
      <text>
        <r>
          <rPr>
            <b/>
            <sz val="8"/>
            <rFont val="Tahoma"/>
            <family val="2"/>
          </rPr>
          <t>Preferred Customer:</t>
        </r>
        <r>
          <rPr>
            <sz val="8"/>
            <rFont val="Tahoma"/>
            <family val="2"/>
          </rPr>
          <t xml:space="preserve">
Se cuenta co los planoes locales de emergencia durante el período 2006 - 2012, los cuales serán insumos para la elaboraci{on de los planes municipales de Gestión del Riesgo</t>
        </r>
      </text>
    </comment>
    <comment ref="O26" authorId="0">
      <text>
        <r>
          <rPr>
            <b/>
            <sz val="8"/>
            <rFont val="Tahoma"/>
            <family val="2"/>
          </rPr>
          <t>Luis G:</t>
        </r>
        <r>
          <rPr>
            <sz val="8"/>
            <rFont val="Tahoma"/>
            <family val="2"/>
          </rPr>
          <t xml:space="preserve">
Actualmente existen 4 planes de Ordenamiento de Cuencas elaborados (POMCA SINU, POMIC CANALETE, COSTANERAS Y PETACA - AMANZAGUAPO - VILLEROS) y uno en proceso de elaboración POMCA SAN JORGE</t>
        </r>
      </text>
    </comment>
    <comment ref="M27" authorId="1">
      <text>
        <r>
          <rPr>
            <b/>
            <sz val="8"/>
            <rFont val="Tahoma"/>
            <family val="2"/>
          </rPr>
          <t>Preferred Customer:</t>
        </r>
        <r>
          <rPr>
            <sz val="8"/>
            <rFont val="Tahoma"/>
            <family val="2"/>
          </rPr>
          <t xml:space="preserve">
Plan de ordenación del recurso hidrico. Verificar con Lina</t>
        </r>
      </text>
    </comment>
    <comment ref="O27" authorId="0">
      <text>
        <r>
          <rPr>
            <b/>
            <sz val="8"/>
            <rFont val="Tahoma"/>
            <family val="2"/>
          </rPr>
          <t>Luis G:</t>
        </r>
        <r>
          <rPr>
            <sz val="8"/>
            <rFont val="Tahoma"/>
            <family val="2"/>
          </rPr>
          <t xml:space="preserve">
Existe la Política de Gestión del recurso Hídrico 
</t>
        </r>
      </text>
    </comment>
    <comment ref="O29" authorId="0">
      <text>
        <r>
          <rPr>
            <b/>
            <sz val="8"/>
            <rFont val="Tahoma"/>
            <family val="2"/>
          </rPr>
          <t>Luis G:</t>
        </r>
        <r>
          <rPr>
            <sz val="8"/>
            <rFont val="Tahoma"/>
            <family val="2"/>
          </rPr>
          <t xml:space="preserve">
Existe un estudio de diagnóstico de la erosión en la zona costera del Caribe Colombiano y Guía para determinantes ambientales en zonas costeras</t>
        </r>
      </text>
    </comment>
    <comment ref="O32" authorId="1">
      <text>
        <r>
          <rPr>
            <b/>
            <sz val="8"/>
            <rFont val="Tahoma"/>
            <family val="2"/>
          </rPr>
          <t>Preferred Customer:</t>
        </r>
        <r>
          <rPr>
            <sz val="8"/>
            <rFont val="Tahoma"/>
            <family val="2"/>
          </rPr>
          <t xml:space="preserve">
1. Producción mas limpia.
2.</t>
        </r>
      </text>
    </comment>
    <comment ref="L29" authorId="2">
      <text>
        <r>
          <rPr>
            <b/>
            <sz val="10"/>
            <rFont val="Tahoma"/>
            <family val="2"/>
          </rPr>
          <t xml:space="preserve"> :</t>
        </r>
        <r>
          <rPr>
            <sz val="10"/>
            <rFont val="Tahoma"/>
            <family val="2"/>
          </rPr>
          <t xml:space="preserve">
</t>
        </r>
      </text>
    </comment>
    <comment ref="K22" authorId="2">
      <text>
        <r>
          <rPr>
            <b/>
            <sz val="10"/>
            <rFont val="Tahoma"/>
            <family val="2"/>
          </rPr>
          <t xml:space="preserve"> :</t>
        </r>
        <r>
          <rPr>
            <sz val="10"/>
            <rFont val="Tahoma"/>
            <family val="2"/>
          </rPr>
          <t xml:space="preserve">
Este proyecto se encuentra incluido en el eje temàtico deseguridad dentro del programa GESTION DEL RIESGO, subprograma PREVENCIÓN, MITIGACIÓN , ATENCIÓN E INTERVENCIÓN, proyecto "Fortalecimiento para el Consejo Departamental para la Gestión del Riesgo de Desastres".</t>
        </r>
      </text>
    </comment>
    <comment ref="K23" authorId="2">
      <text>
        <r>
          <rPr>
            <b/>
            <sz val="10"/>
            <rFont val="Tahoma"/>
            <family val="2"/>
          </rPr>
          <t xml:space="preserve"> :</t>
        </r>
        <r>
          <rPr>
            <sz val="10"/>
            <rFont val="Tahoma"/>
            <family val="2"/>
          </rPr>
          <t xml:space="preserve">
Este proyecto se encuentra incluido en el eje temàtico deseguridad dentro del programa GESTION DEL RIESGO, subprograma PREVENCIÓN, MITIGACIÓN , ATENCIÓN E INTERVENCIÓN, proyecto "Fortalecimiento de los Consejo Municipales para la Gestión del Riesgo de Desastres".</t>
        </r>
      </text>
    </comment>
    <comment ref="K24" authorId="2">
      <text>
        <r>
          <rPr>
            <b/>
            <sz val="10"/>
            <rFont val="Tahoma"/>
            <family val="2"/>
          </rPr>
          <t xml:space="preserve"> :</t>
        </r>
        <r>
          <rPr>
            <sz val="10"/>
            <rFont val="Tahoma"/>
            <family val="2"/>
          </rPr>
          <t xml:space="preserve">
Este proyecto se encuentra incluido en el eje temàtico deseguridad dentro del programa GESTION DEL RIESGO, subprograma PREVENCIÓN, MITIGACIÓN , ATENCIÓN E INTERVENCIÓN, proyecto "Fortalecimiento de los Consejo Municipales para la Gestión del Riesgo de Desastres".</t>
        </r>
      </text>
    </comment>
    <comment ref="K29" authorId="2">
      <text>
        <r>
          <rPr>
            <b/>
            <sz val="10"/>
            <rFont val="Tahoma"/>
            <family val="2"/>
          </rPr>
          <t xml:space="preserve"> :</t>
        </r>
        <r>
          <rPr>
            <sz val="10"/>
            <rFont val="Tahoma"/>
            <family val="2"/>
          </rPr>
          <t xml:space="preserve">
Referente al proyecto "Gestión para la formulación   del Plan de Acción para el Control y Mitigación de la Erosión en la Zona Costera del Departamento",  este se encuentra incluido en el eje temàtico de infraestructura dentro del programa gestión del riesgo, subprograma mitigación, proyecto "Apoyo a la mitigación de puntos críticos sobre la zona litoral Cordobesa".</t>
        </r>
      </text>
    </comment>
    <comment ref="T27" authorId="2">
      <text>
        <r>
          <rPr>
            <b/>
            <sz val="10"/>
            <rFont val="Tahoma"/>
            <family val="2"/>
          </rPr>
          <t xml:space="preserve"> :</t>
        </r>
        <r>
          <rPr>
            <sz val="10"/>
            <rFont val="Tahoma"/>
            <family val="2"/>
          </rPr>
          <t xml:space="preserve">
Esto lo ejecuta Aguas de Còrdoba a través del PDA, avalado por la Secretaría de Infraestructura.</t>
        </r>
      </text>
    </comment>
  </commentList>
</comments>
</file>

<file path=xl/comments9.xml><?xml version="1.0" encoding="utf-8"?>
<comments xmlns="http://schemas.openxmlformats.org/spreadsheetml/2006/main">
  <authors>
    <author>Desplazados</author>
    <author>Luis</author>
    <author> </author>
  </authors>
  <commentList>
    <comment ref="F69" authorId="0">
      <text>
        <r>
          <rPr>
            <b/>
            <sz val="9"/>
            <rFont val="Tahoma"/>
            <family val="2"/>
          </rPr>
          <t>Desplazados:</t>
        </r>
        <r>
          <rPr>
            <sz val="9"/>
            <rFont val="Tahoma"/>
            <family val="2"/>
          </rPr>
          <t xml:space="preserve">
Es 1 de acuerdo a los indicadores de los objetivos temáticos, pero como debe reflejarse en porcentaje se espera un 60% para con base en la linea base de 40% esperar un 100%
</t>
        </r>
      </text>
    </comment>
    <comment ref="O72" authorId="1">
      <text>
        <r>
          <rPr>
            <b/>
            <sz val="9"/>
            <rFont val="Tahoma"/>
            <family val="2"/>
          </rPr>
          <t>Luis:</t>
        </r>
        <r>
          <rPr>
            <sz val="9"/>
            <rFont val="Tahoma"/>
            <family val="2"/>
          </rPr>
          <t xml:space="preserve">
No hay un archivo consolidas de todos los tipos de ayudas que se gestionaron como para poder tener un dato en valor absoluto. Pero es calro que si se tomaron acciones para atender. Coloco cero porque no tengo evidencia de lo anterior. Tocarría solicitarle a la unidad la cantidad de articulos con los que se han atendido a la población pero eso tomaría más tiempo</t>
        </r>
      </text>
    </comment>
    <comment ref="H56" authorId="2">
      <text>
        <r>
          <rPr>
            <b/>
            <sz val="10"/>
            <rFont val="Tahoma"/>
            <family val="2"/>
          </rPr>
          <t xml:space="preserve"> :</t>
        </r>
        <r>
          <rPr>
            <sz val="10"/>
            <rFont val="Tahoma"/>
            <family val="2"/>
          </rPr>
          <t xml:space="preserve">
Fuente Diiag. PDD 2012-2015: informcion  2008-2011: Personas despalazadas  571,836.  Atendeiron 11,100, para un porcentaje total atendido del 1,94% de la población desplazada.
</t>
        </r>
      </text>
    </comment>
  </commentList>
</comments>
</file>

<file path=xl/sharedStrings.xml><?xml version="1.0" encoding="utf-8"?>
<sst xmlns="http://schemas.openxmlformats.org/spreadsheetml/2006/main" count="2224" uniqueCount="1416">
  <si>
    <t>PROGRAMA</t>
  </si>
  <si>
    <t>SUBPROGRAMAS</t>
  </si>
  <si>
    <t>PROYECTOS</t>
  </si>
  <si>
    <t>META CUATRENIO</t>
  </si>
  <si>
    <t>INDICADORES</t>
  </si>
  <si>
    <t>LINEA DE BASE</t>
  </si>
  <si>
    <t>ACCESO Y PERMANENCIA DESDE LA DIVERSIDAD CORDOBESA</t>
  </si>
  <si>
    <t>ACCESO E INCLUSIÓN A TODOS LOS NIVELES EDUCATIVOS</t>
  </si>
  <si>
    <t>Educación inicial de calidad y pertinencia de cero a siempre</t>
  </si>
  <si>
    <t>Todos a la escuela</t>
  </si>
  <si>
    <t>Número de nuevas matrículas  en educación inicial, básica y media.</t>
  </si>
  <si>
    <t>245. 000 estudiantes</t>
  </si>
  <si>
    <t>ND</t>
  </si>
  <si>
    <t>Diseños Universales para el Aprendizaje (DUA)</t>
  </si>
  <si>
    <t>Número de docentes capacitados en formación de estrategias incluyentes y de intervención especializada</t>
  </si>
  <si>
    <t>Número de niños con necesidades educativas especiales atendidos</t>
  </si>
  <si>
    <t>Educación para el trabajo</t>
  </si>
  <si>
    <t>Número de instituciones educativas con grado 12 implantado</t>
  </si>
  <si>
    <t>Acceso a la educación superior</t>
  </si>
  <si>
    <t>Número  de nuevos cupos atendidos para las poblaciones mayores de 17 años</t>
  </si>
  <si>
    <t>12.000 estudiantes</t>
  </si>
  <si>
    <t>Número de  Instituciones Educativas  con educación superior, SENA  y formación para el trabajo y desarrollo humano articuladas</t>
  </si>
  <si>
    <t>13 I.E Articuladas</t>
  </si>
  <si>
    <t>Número de bachilleres  formados en Instituciones educativas de educación superior al menos a nivel técnico laboral</t>
  </si>
  <si>
    <t>Número de núcleos familias vinculadas a los procesos de formación</t>
  </si>
  <si>
    <t>40 núcleos familiares</t>
  </si>
  <si>
    <t>Educación Rural</t>
  </si>
  <si>
    <t>Número de docentes rurales atendidos en preescolar escolarizado</t>
  </si>
  <si>
    <t>200 docentes capacitados</t>
  </si>
  <si>
    <t>Número de docentes rurales atendidos en escuela nueva</t>
  </si>
  <si>
    <t>Número de docentes rurales atendidos en aceleración del aprendizaje</t>
  </si>
  <si>
    <t>Número de docentes rurales atendidos en post primaria</t>
  </si>
  <si>
    <t>Número de docentes rurales atendidos en telesecundaria</t>
  </si>
  <si>
    <t>Número de docentes atendidos en PAVA</t>
  </si>
  <si>
    <t>Diversificación de las ofertas educativas en las regiones</t>
  </si>
  <si>
    <t>Número de CERES dotados</t>
  </si>
  <si>
    <t>Número de CERES creados</t>
  </si>
  <si>
    <t>PERMANENCIA EN TODOS LOS NIVELES EDUCATIVOS</t>
  </si>
  <si>
    <t>Alimentación saludable como estrategia de permanencia</t>
  </si>
  <si>
    <t>Número de puntos en aumento promedio en las pruebas SABER</t>
  </si>
  <si>
    <t>Número de Instituciones Educativas en la categoría muy superior durante el cuatrienio.</t>
  </si>
  <si>
    <t>Número de Instituciones Educativas en la categoría superior durante el cuatrienio</t>
  </si>
  <si>
    <t>Número de Instituciones Educativas en la categoría alto durante el cuatrienio</t>
  </si>
  <si>
    <t>AMBIENTES FÍSICOS DIGNOS</t>
  </si>
  <si>
    <t>Polos de Desarrollo Educativo</t>
  </si>
  <si>
    <t>Número de ciudadelas educativas construidas</t>
  </si>
  <si>
    <t>Número de Centros de Desarrollo e Innovación Tecnológica CREM  fortalecidos</t>
  </si>
  <si>
    <t>Escuelas Dignas y Seguras</t>
  </si>
  <si>
    <t>Dotación de materiales</t>
  </si>
  <si>
    <t>Número de Instituciones Educativas dotadas con materiales didácticos y silletería</t>
  </si>
  <si>
    <t>CALIDAD Y PERTINENCIA</t>
  </si>
  <si>
    <t>TRANSFORMACIONES PEDAGÓGICAS PARA LA CALIDAD DE LA EDUCACIÓN CORDOBESA EN TODOS LOS NIVELES</t>
  </si>
  <si>
    <t>Leer, escribir y hablar correctamente para aprender a comprender el mundo</t>
  </si>
  <si>
    <t>Número de docentes formados en la competencia leer para aprender y  aprender para leer  de los 27 municipios no certificados</t>
  </si>
  <si>
    <t>Ambientes de formación en ciencias básicas y tecnología para la educación básica y media técnica</t>
  </si>
  <si>
    <t>Número de laboratorios instalados</t>
  </si>
  <si>
    <t xml:space="preserve">Número de docentes de básica primaria capacitados en lengua extranjera. </t>
  </si>
  <si>
    <t xml:space="preserve">Número de docentes actualizados en categoría B1 </t>
  </si>
  <si>
    <t>Número de computadores entregados.</t>
  </si>
  <si>
    <t>Número de sedes con servicio de internet.</t>
  </si>
  <si>
    <t>Número de docentes certificados como ciudadanos digitales</t>
  </si>
  <si>
    <t>Número de contenidos educativos producidos</t>
  </si>
  <si>
    <t>Currículos  flexibles y pertinentes</t>
  </si>
  <si>
    <t>Número de currículos adaptados a demandas sociales, situaciones de emergencia y grupos étnicos y culturales</t>
  </si>
  <si>
    <t xml:space="preserve">Número de docentes formados en estrategias pedagógicas y metodologías apropiadas para atender niños, niñas, adolescentes y jóvenes  en situaciones complejas </t>
  </si>
  <si>
    <t>Número de colegios participando en olimpiadas de ciencias y matemáticas con referenciación internacional</t>
  </si>
  <si>
    <t>Número de jóvenes formados  en gestión del riesgo</t>
  </si>
  <si>
    <t>Plan de formación docente en diseño, planeación y evaluación por competencias básicas, científicas, ciudadanas MTICS, Bilingüismo, emprendimiento y evaluación del desempeño.</t>
  </si>
  <si>
    <t>Número de docentes   con acceso a Maestría</t>
  </si>
  <si>
    <t>FORMACIÓN PARA EL DESARROLLO HUMANO</t>
  </si>
  <si>
    <t xml:space="preserve">Número de  Instituciones Educativas con estrategias de comunicación </t>
  </si>
  <si>
    <t>Número de mejores prácticas directivas con reconocimientos e incentivos</t>
  </si>
  <si>
    <t>Número de mejores prácticas de aprendizaje impartido por los docentes con reconocimientos e incentivos</t>
  </si>
  <si>
    <t>Número de estudiantes primeros en puntaje de las pruebas SABER ICFES de los Municipios no certificados con reconocimientos e incentivos</t>
  </si>
  <si>
    <t>INNOVACIÓN EN EL AULA</t>
  </si>
  <si>
    <t>Las Redes Académicas como estrategia para la transformación de las prácticas pedagógicas</t>
  </si>
  <si>
    <t>Número de Redes Académicas Conformadas  y fortalecidas</t>
  </si>
  <si>
    <t>Investigación Educativa articulada a diferentes sectores de desarrollo e Innovación Tecnológica</t>
  </si>
  <si>
    <t>Número de maestros apoyados mediante el Premio Ondas Compartir</t>
  </si>
  <si>
    <t>Número de docentes  capacitados en la utilización  de la prensa, radio y televisión en las prácticas pedagógicas</t>
  </si>
  <si>
    <t>Número de grupos de investigación apoyados de población NNAJ  mediante el  Programa Ondas</t>
  </si>
  <si>
    <t>SISTEMA DEPARTAMENTAL DE GESTIÓN DE LA CALIDAD</t>
  </si>
  <si>
    <t>Número de Instituciones Educativas con procesos de planeación implementados</t>
  </si>
  <si>
    <t>Número de instituciones Educativas Implementando el SIGCE</t>
  </si>
  <si>
    <t>75 I.E</t>
  </si>
  <si>
    <t xml:space="preserve">Número de Instituciones educativas Implantado el  Sistema de Gestión de la Calidad </t>
  </si>
  <si>
    <t>EFICIENCIA Y TRANSPARENCIA EN EL SECTOR EDUCATIVO CORDOBÉS</t>
  </si>
  <si>
    <t>GESTIÓN Y GOBIERNO ESCOLAR</t>
  </si>
  <si>
    <t>Número de instituciones educativas  con un gobierno escolar dinámico y efectivo</t>
  </si>
  <si>
    <t>Inspección  y Vigilancia de los procesos de Gestión Educativas</t>
  </si>
  <si>
    <t>Plan de reorganización de la planta con asignación académica formulado y apoyado</t>
  </si>
  <si>
    <t>MODERNIZACIÓN Y DESCENTRALIZACIÓN DE LA SED</t>
  </si>
  <si>
    <t>Gestión de la Certificación de los municipios no certificados</t>
  </si>
  <si>
    <t>Número de municipios acompañados en el proceso de certificación</t>
  </si>
  <si>
    <t>Gastos de personal, generales de educación y de mantenimiento de infraestructura educativas</t>
  </si>
  <si>
    <t>Reingeniería de la SED y apoyo al fortalecimiento operacional</t>
  </si>
  <si>
    <t>Número de nuevos macro procesos de certificación apoyados</t>
  </si>
  <si>
    <t>Estudio técnico-pedagógico sobre la planta docente departamental y su suficiencia</t>
  </si>
  <si>
    <t>Número de municipios no certificados articulados con los lineamientos de política pública</t>
  </si>
  <si>
    <t>CIENCIA Y TECNOLOGÍA E INNOVACIÓN</t>
  </si>
  <si>
    <t>CIENCIA Y TECNOLOGÍA</t>
  </si>
  <si>
    <t>Fomento de acciones y recursos para gestionar proyectos de ciencia y tecnología en competitividad, superación de la pobreza extrema y mitigación del riesgo</t>
  </si>
  <si>
    <t>Porcentaje de acciones para gestionar proyectos de ciencia, tecnología e innovación</t>
  </si>
  <si>
    <t>EJE</t>
  </si>
  <si>
    <t>INDICADOR</t>
  </si>
  <si>
    <t>↑5%</t>
  </si>
  <si>
    <t>↑4%</t>
  </si>
  <si>
    <t>Porcentaje de aumento del promedio de resultados de las pruebas saber 11 en matemáticas y lenguaje</t>
  </si>
  <si>
    <t>↑3%</t>
  </si>
  <si>
    <t>Porcentaje de aumento de la tasa de cobertura de educación superior</t>
  </si>
  <si>
    <t>Porcentaje de establecimientos oficiales de municipios no certificados que incorporan estrategias de bilingüismo</t>
  </si>
  <si>
    <t>Salud eficiente, con transparencia y sin corrupción.</t>
  </si>
  <si>
    <t>Porcentaje de personas del Departamento en situación de pobreza extrema afiliadas al sistema general de seguridad social en salud</t>
  </si>
  <si>
    <t>↓3</t>
  </si>
  <si>
    <t>↓10</t>
  </si>
  <si>
    <t>Puntos de disminución de porcentaje de la razón de mortalidad materna por cien mil nacidos vivos</t>
  </si>
  <si>
    <t>Porcentaje en calidad de salud alcanzado. (50% a 80%)</t>
  </si>
  <si>
    <t>↓25%</t>
  </si>
  <si>
    <t>Porcentaje de disminución de muertes por accidentes o enfermedades profesionales por cien mil</t>
  </si>
  <si>
    <t>Infraestructura de obras y servicios para el desarrollo</t>
  </si>
  <si>
    <t>Vivienda con entorno social y saludable para los cordobeses.</t>
  </si>
  <si>
    <t>Porcentaje de disminución del déficit habitacional departamental</t>
  </si>
  <si>
    <t>Recreación y deporte, para la salud,  la competencia y la sana convivencia.</t>
  </si>
  <si>
    <t>Juventud participativa, responsable y dinámica.</t>
  </si>
  <si>
    <t>Inclusión social de las personas en condición de discapacidad física y/o mental.</t>
  </si>
  <si>
    <t>Número de personas en situación de discapacidad física o cognitiva cubiertas por las actividades del eje</t>
  </si>
  <si>
    <t>Cultura para el desarrollo integral.</t>
  </si>
  <si>
    <t>Número de personas participantes a las diferentes actividades culturales del Departamento</t>
  </si>
  <si>
    <t xml:space="preserve">Número de campesinos apoyados o beneficiados </t>
  </si>
  <si>
    <t xml:space="preserve">Número de plantas de desarrollo  industrial puestas en marcha mediante alianzas </t>
  </si>
  <si>
    <t>Parque Tecnológico del Sinú y San Jorge construido y puesto en marcha</t>
  </si>
  <si>
    <t>Plan de ordenamiento minero puesto en marcha</t>
  </si>
  <si>
    <t>Seguridad, orden público y convivencia.</t>
  </si>
  <si>
    <t>↓10%</t>
  </si>
  <si>
    <t>Porcentaje de disminución de homicidios en el Departamento</t>
  </si>
  <si>
    <t>Porcentaje de víctimas del conflicto armado atendidas con algún servicio de la oferta pública</t>
  </si>
  <si>
    <t>Estrategia de fortalecimiento al sistema departamental de gestión de riesgo</t>
  </si>
  <si>
    <t>Número de puestos de trabajo nuevos temporales y definitivos generados</t>
  </si>
  <si>
    <t>Buen gobierno para la eficiencia Administrativa y la transparencia</t>
  </si>
  <si>
    <t>Porcentaje de compromisos financieros de la administración honrados</t>
  </si>
  <si>
    <t>PONDERADOR</t>
  </si>
  <si>
    <t>METAS RESULTADO                                                     CUATRIENIO   2012-2015    %</t>
  </si>
  <si>
    <t>LINEA BASE</t>
  </si>
  <si>
    <t>VALOR ESPERADO 2015</t>
  </si>
  <si>
    <t xml:space="preserve">VALOR ESPERADO </t>
  </si>
  <si>
    <t>VALOR ESPERADO</t>
  </si>
  <si>
    <t>TOTAL</t>
  </si>
  <si>
    <t xml:space="preserve"> RESPONSABLE</t>
  </si>
  <si>
    <t xml:space="preserve">FORMATO </t>
  </si>
  <si>
    <t>VERSION: 02</t>
  </si>
  <si>
    <t xml:space="preserve">PLAN INDICATIVO </t>
  </si>
  <si>
    <t>FECHA: 26-06-2012</t>
  </si>
  <si>
    <t xml:space="preserve">PROCESO DE PLANIFICACIÓN DEPARTAMENTAL </t>
  </si>
  <si>
    <t xml:space="preserve">PAGINA: 1 de 1 </t>
  </si>
  <si>
    <t>OBJETIVO :</t>
  </si>
  <si>
    <t>ASEGURAMIENTO</t>
  </si>
  <si>
    <t>PRESTACIÓN DE SERVICIOS DE SALUD</t>
  </si>
  <si>
    <t>PREVENCIÓN, VIGILANCIA Y CONTROL DE RIESGOS PROFESIONALES</t>
  </si>
  <si>
    <t>EMERGENCIAS Y DESASTRES</t>
  </si>
  <si>
    <t>PROMOCIÓN SOCIAL</t>
  </si>
  <si>
    <t>SALUD PÚBLICA DE INTERVENCIONES COLECTIVAS</t>
  </si>
  <si>
    <t>CIENCIA TECNOLOGÍA E INNOVACIÓN</t>
  </si>
  <si>
    <t>CIENCIA PARA LA SALUD</t>
  </si>
  <si>
    <t>VÍAS PARA LA PROSPERIDAD</t>
  </si>
  <si>
    <t>APOYO A LA RECREACIÓN</t>
  </si>
  <si>
    <t>APOYO A EQUIPAMIENTO URBANO Y MEJORAMIENTO URBANÍSTICO</t>
  </si>
  <si>
    <t>GESTIÓN DEL RIESGO</t>
  </si>
  <si>
    <t>MITIGACIÓN</t>
  </si>
  <si>
    <t>SERVICIOS PÚBLICOS PARA TODOS</t>
  </si>
  <si>
    <t>AGUA Y SANEAMIENTO PARA LA PROSPERIDAD</t>
  </si>
  <si>
    <t>Fortalecimiento del aseguramiento</t>
  </si>
  <si>
    <t>Acciones de promoción de la salud y calidad de vida en ámbitos laborales</t>
  </si>
  <si>
    <t>Inducción a la demanda de servicios de promoción de la salud, prevención de los riesgos en salud en ámbitos laborales</t>
  </si>
  <si>
    <t>Promoción  de la salud, prevención de riesgos y atención de las poblaciones especiales.</t>
  </si>
  <si>
    <t>Prevención de los riesgos y recuperación y superación de los daños en la salud oral</t>
  </si>
  <si>
    <t>Tuberculosis</t>
  </si>
  <si>
    <t>Lepra</t>
  </si>
  <si>
    <t>Estilos de vida saludable para prevención de enfermedades crónicas no transmisibles</t>
  </si>
  <si>
    <t>Salud sexual y reproductiva</t>
  </si>
  <si>
    <t>Salud mental</t>
  </si>
  <si>
    <t>Seguridad alimentaria y nutricional</t>
  </si>
  <si>
    <t>Salud infantil</t>
  </si>
  <si>
    <t>Vigilancia en salud y gestión del conocimiento</t>
  </si>
  <si>
    <t>Vigilancia en salud pública - Laboratorio de salud pública</t>
  </si>
  <si>
    <t>Implementar la política de salud ambiental en las entidades territoriales.</t>
  </si>
  <si>
    <t>Fortalecimiento de Competencias para la Gestión de los Planes de Salud Pública.</t>
  </si>
  <si>
    <t>Fomento de un instituto científico de enfermedades tropicales</t>
  </si>
  <si>
    <t>MODERNIZACIÓN DE LA RED PÚBLICA</t>
  </si>
  <si>
    <t>ENFERMEDADES PROFESIONALES</t>
  </si>
  <si>
    <t>PROMOCIÓN EN SALUD A MINORÍAS</t>
  </si>
  <si>
    <t>MECANISMOS DE PARTICIPACIÓN SOCIAL</t>
  </si>
  <si>
    <t>SALUD ORAL</t>
  </si>
  <si>
    <t>PREVENCIÓN  Y CONTROL DE ENFERMEDADES TRASMISIBLES Y ZOONOSIS</t>
  </si>
  <si>
    <t>PREVENCIÓN DE ENFERMEDADES CRÓNICAS NO TRASMISIBLES</t>
  </si>
  <si>
    <t>VIGILANCIA SANITARIA</t>
  </si>
  <si>
    <t>11 * 100.000</t>
  </si>
  <si>
    <t>3 * 100.000</t>
  </si>
  <si>
    <t>&gt;32</t>
  </si>
  <si>
    <t>&lt; 12,7</t>
  </si>
  <si>
    <t>&gt;2</t>
  </si>
  <si>
    <t xml:space="preserve">Mantener en menos de 1 caso </t>
  </si>
  <si>
    <t>&gt; 1</t>
  </si>
  <si>
    <t>45 x 100 mil nacidos vivos</t>
  </si>
  <si>
    <t xml:space="preserve">2 *100.000 </t>
  </si>
  <si>
    <t>2 por mujer</t>
  </si>
  <si>
    <t>&gt;230</t>
  </si>
  <si>
    <t>2 meses</t>
  </si>
  <si>
    <t>15 x 1.000 nacidos vivos</t>
  </si>
  <si>
    <t xml:space="preserve">40 x 100.000 </t>
  </si>
  <si>
    <t>Número de cupos contratados en el régimen subsidiado</t>
  </si>
  <si>
    <t>De población desplazada o con prioridad de las personas en condición de vulnerabilidad o contexto de emergencia  incluida  en el régimen subsidiado</t>
  </si>
  <si>
    <t>Porcentaje de afiliados al régimen contributivo con acciones de seguimiento para el aseguramiento</t>
  </si>
  <si>
    <t>Porcentaje de población con capacidad de pago vinculados al régimen contributivo</t>
  </si>
  <si>
    <t>Número  de ESE´S en proceso de acreditación, vigiladas y controladas</t>
  </si>
  <si>
    <t>Porcentaje de IPS con el PAMEC implementado y desarrollado</t>
  </si>
  <si>
    <t>Porcentaje de emisores en EPS de Rx ionizantes vigilados</t>
  </si>
  <si>
    <t>Porcentaje de prestadores de servicios de salud con adherencia a guías en los procesos prioritarios y seguimiento a riesgo</t>
  </si>
  <si>
    <t>Porcentaje de cumplimiento en los prestadores de la  normas del SOGCS verificado</t>
  </si>
  <si>
    <t>Porcentaje de prestadores de servicios de salud vigilados en  el proceso de tecnología biomédica</t>
  </si>
  <si>
    <t>Número de IPS públicas con programas de reorganización, rediseño y modernización de la red.</t>
  </si>
  <si>
    <t>Número de instituciones prestadores de servicios de salud nivel de la red pública con financiamiento del plan de reforzamiento estructural</t>
  </si>
  <si>
    <t>Porcentaje de niños con paladar hendido intervenidos</t>
  </si>
  <si>
    <t>Unidad  Materno Infantil construida y dotada</t>
  </si>
  <si>
    <t>Plan de mantenimiento de las unidades de apoyo de la E.S.E Hospital Jerónimo de Montería implementado y puesto en marcha</t>
  </si>
  <si>
    <t>Homocentro de Córdoba construido y puesto en marcha con al menos 4 unidades móviles</t>
  </si>
  <si>
    <t>Sede de la Secretaría de Salud construida</t>
  </si>
  <si>
    <t>Número de muertes por enfermedades profesionales por cada cien mil habitantes</t>
  </si>
  <si>
    <t>Número de muertes por accidentes de trabajo por cada cien mil habitantes</t>
  </si>
  <si>
    <t xml:space="preserve">Porcentaje de brigadas de salud articuladas con las EPS y direcciones locales de salud en el suministro de medicamentos y gestión de  kit de parto limpio, planificación familiar y post exposición abuso sexual en situación de emergencia. </t>
  </si>
  <si>
    <t>Número de municipios con jornadas de capacitación a víctimas y población en riesgo sobre minas anti personas</t>
  </si>
  <si>
    <t>Número de municipios del departamento de Córdoba con Estrategia de Atención Primara implementada</t>
  </si>
  <si>
    <t xml:space="preserve">Número de municipios con estrategias IEC desarrolladas </t>
  </si>
  <si>
    <t>Número  de municipios capacitados en la estrategia escuelas y entorno saludable en población con énfasis en la población más vulnerable</t>
  </si>
  <si>
    <t>Edad mínima de inicio del consumo de cigarrillos en población menor de 18 años</t>
  </si>
  <si>
    <t>Número por debajo de casos de mortalidad de dengue y de malaria</t>
  </si>
  <si>
    <t>Número de casos de incidencia de rabia canina</t>
  </si>
  <si>
    <t>Porcentaje  de curación de casos basilos copia positiva detectados</t>
  </si>
  <si>
    <t>Número de instituciones educativas por municipio con implementación de la estrategia “ Libres de Humo”</t>
  </si>
  <si>
    <t xml:space="preserve"> Número de municipios donde se realiza inducción a la demanda de servicios de promoción de la salud, prevención de riesgos y atención de la salud visual. </t>
  </si>
  <si>
    <t>Porcentaje de EPS que desarrollan acciones de tamizaje en el Departamento</t>
  </si>
  <si>
    <t>Porcentaje de EPS que implementan el modelo  de prevención y control de la enfermedad renal crónica</t>
  </si>
  <si>
    <t xml:space="preserve">Tasa de fecundidad en mujeres de 15 a 49 años  </t>
  </si>
  <si>
    <t>Prevalencias del  VIH/sida,</t>
  </si>
  <si>
    <t xml:space="preserve">Número de reportes de casos nuevos de violencia sexual y doméstica </t>
  </si>
  <si>
    <t>Porcentaje de la población  cubierta con estrategias IEC</t>
  </si>
  <si>
    <t xml:space="preserve">Porcentaje de desnutrición crónica </t>
  </si>
  <si>
    <t xml:space="preserve">Tiempo de lactancia materna exclusiva en el recién nacido </t>
  </si>
  <si>
    <t>Porcentaje de  cobertura a notificación al sistema de vigilancia</t>
  </si>
  <si>
    <t>Porcentaje de  oportunidad de la notificación al sistema de vigilancia</t>
  </si>
  <si>
    <t>Porcentaje de ESES y EPS con acciones de asistencia técnica y seguimiento.</t>
  </si>
  <si>
    <t xml:space="preserve">Porcentaje de respuesta a los eventos de interés en Salud Pública a la vigilancia por laboratorio de Salud Pública </t>
  </si>
  <si>
    <t>Política de salud ambiental implementada</t>
  </si>
  <si>
    <t>Instituto fomentado</t>
  </si>
  <si>
    <t>1400 cupos al año 2011</t>
  </si>
  <si>
    <t>30 en marcha</t>
  </si>
  <si>
    <t>10 Instituciones municipales actualmente integrados al programa</t>
  </si>
  <si>
    <t>12.7 años edad de inicio de consumo de cigarrillo en menor de 18 años</t>
  </si>
  <si>
    <t>1 año 2011</t>
  </si>
  <si>
    <t>11.458 en malaria y 1.070 cuatrienio anterior</t>
  </si>
  <si>
    <t>0  para el año 2011</t>
  </si>
  <si>
    <t>Menos de 1 caso</t>
  </si>
  <si>
    <t>4 municipios con 10 instituciones educativas del Departamento</t>
  </si>
  <si>
    <t>30 municipios</t>
  </si>
  <si>
    <t>1 municipio, Montería</t>
  </si>
  <si>
    <t>55.3 X 100.000 nacidos vivos</t>
  </si>
  <si>
    <t>2.78*100.000 mujeres</t>
  </si>
  <si>
    <t xml:space="preserve"> 2.3  por mujer </t>
  </si>
  <si>
    <t>230 para el 2011</t>
  </si>
  <si>
    <t>1.1 mes</t>
  </si>
  <si>
    <t>19.8 x 1000 nacidos vivos</t>
  </si>
  <si>
    <t xml:space="preserve">56.92 x 100.000 </t>
  </si>
  <si>
    <t>TRÁNSITO Y MOVILIDAD</t>
  </si>
  <si>
    <t>Infraestructura</t>
  </si>
  <si>
    <t>Atención y/o prevención de emergencia en los servicios públicos</t>
  </si>
  <si>
    <t>Esquemas supra regionales en los municipios limítrofes Córdoba - Antioquia</t>
  </si>
  <si>
    <t>Apoyo y gestión para el aseguramiento de la prestación de los servicios</t>
  </si>
  <si>
    <t>Operatividad del PDA</t>
  </si>
  <si>
    <t>Calidad del agua para consumo humano</t>
  </si>
  <si>
    <t>Construcción de Subestaciones eléctricas</t>
  </si>
  <si>
    <t>Apoyar la Normalización de Redes Eléctricas Urbanas</t>
  </si>
  <si>
    <t>Apoyar aumento de cobertura de gas natural domiciliario</t>
  </si>
  <si>
    <t>Construcción de Redes Eléctricas Rurales</t>
  </si>
  <si>
    <t>Implementación de una estrategia  de comunicación social para la gestión del riesgos</t>
  </si>
  <si>
    <t>Apoyo a la mitigación de puntos críticos sobre la zona litoral Cordobesa</t>
  </si>
  <si>
    <t>Mitigación de puntos críticos en la cuenca del San Jorge</t>
  </si>
  <si>
    <t>Mitigación de puntos críticos en la cuenca del Sinú</t>
  </si>
  <si>
    <t>Sistemas de alertas tempranas</t>
  </si>
  <si>
    <t>Apalancamiento de iniciativas con base en alianzas público privadas para el desarrollo de la  infraestructura del Departamento</t>
  </si>
  <si>
    <t>Apoyo a proyectos tendientes al sano esparcimiento y disfrute de Cordobeses</t>
  </si>
  <si>
    <t>Gestión para la terminación de las obras enmarcadas en el Plan 2500 Km</t>
  </si>
  <si>
    <t>Mantenimiento y rehabilitación de puentes</t>
  </si>
  <si>
    <t>Construcción  de puentes viales</t>
  </si>
  <si>
    <t>Apoyo a la pavimentación de vías urbanas</t>
  </si>
  <si>
    <t>Mejoramiento de la vía Puerto Libertador- Montelíbano</t>
  </si>
  <si>
    <t>Mejoramiento de la vía Momil-Sabaneta-Límites con Sucre</t>
  </si>
  <si>
    <t>Mejoramiento de la vía Ciénaga de Oro- Chimá- Cruce ruta 68</t>
  </si>
  <si>
    <t>Mejoramiento de la vía Valencia-Límites con Antioquia</t>
  </si>
  <si>
    <t>Mejoramiento de la vía Km 15 - Tierralta</t>
  </si>
  <si>
    <t>Sistema de seguimiento a los compromisos contractuales por las que se crearon las concesiones que cruzan por el Departamento en coordinación con los Departamentos vecinos</t>
  </si>
  <si>
    <t>Sistema creado  y puesto en marcha</t>
  </si>
  <si>
    <t>Número de kilómetros rehabilitados</t>
  </si>
  <si>
    <t>Número de kilómetros pavimentados</t>
  </si>
  <si>
    <t>Número de kilómetros construidos, pavimentados, en mantenimiento o rehabilitados</t>
  </si>
  <si>
    <t>Número de puentes intervenidos</t>
  </si>
  <si>
    <t>Número de kilómetros gestionados</t>
  </si>
  <si>
    <t>Número de parques lineales a las riveras de cuerpos hídricos apoyados</t>
  </si>
  <si>
    <t>Número de proyectos de equipamiento urbano o mejoramiento urbanístico apoyados</t>
  </si>
  <si>
    <t>Número de proyectos estructurados</t>
  </si>
  <si>
    <t>Número de sistemas creados e implementados en la cuenca del río Sinú o río San Jorge</t>
  </si>
  <si>
    <t>Número de puntos de mitigación en la cuenca del río Sinú</t>
  </si>
  <si>
    <t>Número de puntos de mitigación en la cuenca del río San Jorge</t>
  </si>
  <si>
    <t>Número de puntos de mitigación sobre la zona litoral Cordobesa apoyado</t>
  </si>
  <si>
    <t>Estrategia formulada  e implementada</t>
  </si>
  <si>
    <t>Número de kilómetros de  redes construidas</t>
  </si>
  <si>
    <t>Número de Municipios del Departamento apoyados</t>
  </si>
  <si>
    <t>Porcentaje de nuevos proyectos de gas proyectados apoyados</t>
  </si>
  <si>
    <t>Número de kilómetros de redes construidas por normalización</t>
  </si>
  <si>
    <t>Número de subestaciones eléctricas construidas</t>
  </si>
  <si>
    <t>Porcentaje de cobertura en acueducto urbano</t>
  </si>
  <si>
    <t>Número de nuevos usuarios de acueducto de la zona rural del Departamento</t>
  </si>
  <si>
    <t>Porcentaje de cobertura en alcantarillado de la población urbana del Departamento</t>
  </si>
  <si>
    <t>Número de nuevos habitantes de la zona rural del Departamento con acceso a sistema de alcantarillado individual</t>
  </si>
  <si>
    <t>Porcentaje máximo de disminución del IRCA mediante apoyo a la gestión</t>
  </si>
  <si>
    <t>Porcentaje de cobertura en disposición de aguas residuales mediante gestión Institucional</t>
  </si>
  <si>
    <t>Porcentaje de apoyo en la gestión de la solución en las emergencias presentadas</t>
  </si>
  <si>
    <t>Número de municipios semaforizados</t>
  </si>
  <si>
    <t>Número de municipios señalizados</t>
  </si>
  <si>
    <r>
      <t xml:space="preserve">Zoonosis (Rabia urbana y silvestre </t>
    </r>
    <r>
      <rPr>
        <sz val="8"/>
        <color indexed="8"/>
        <rFont val="Arial"/>
        <family val="2"/>
      </rPr>
      <t>lectospirosis,</t>
    </r>
    <r>
      <rPr>
        <sz val="10"/>
        <color indexed="8"/>
        <rFont val="Arial"/>
        <family val="2"/>
      </rPr>
      <t xml:space="preserve"> brucelosis, teniasis cisticercosis, encefalitis equina entre otras)</t>
    </r>
  </si>
  <si>
    <t>96.55 Km Construidos al año 2011</t>
  </si>
  <si>
    <t>4 Subestaciones eléctricas construidas cuatrienio anterior</t>
  </si>
  <si>
    <t>85%  de cobertura 2010</t>
  </si>
  <si>
    <t>52% de cobertura 2010</t>
  </si>
  <si>
    <t>Índice de riesgo de calidad del agua (IRCA) 15%</t>
  </si>
  <si>
    <t>Solo el 52% de los municipios del departamento de Córdoba, tienen disposición de aguas residuales.</t>
  </si>
  <si>
    <t>CONCESIONES VIALES</t>
  </si>
  <si>
    <t>CONSTRUCCIÓN Y MEJORAMIENTO VIAL</t>
  </si>
  <si>
    <t>AMPLIACIÓN DE REDES</t>
  </si>
  <si>
    <t>MEJORAMIENTO DEL SISTEMA ELÉCTRICO DEPARTAMENTAL</t>
  </si>
  <si>
    <t>COBERTURA DE SERVICIOS PÚBLICOS</t>
  </si>
  <si>
    <t>GESTIÓN AMBIENTAL</t>
  </si>
  <si>
    <t>ESTADO DE LA PRESTACIÓN DE LOS SSPP</t>
  </si>
  <si>
    <t>ATENCIÓN O PREVENCIÓN DE EMERGENCIA EN LOS SERVICIOS PÚBLICOS</t>
  </si>
  <si>
    <t>PREVENCIÓN VIAL</t>
  </si>
  <si>
    <t>DIVULGACIÓN DERECHOS DE LAS MUJERES</t>
  </si>
  <si>
    <t>ASESORAMIENTO TÉCNICO INTERINSTITUCIONAL</t>
  </si>
  <si>
    <t>Elaboración y fomento de la Política Pública Departamental de la Mujer.</t>
  </si>
  <si>
    <t>Diagnóstico de las Organizaciones Sociales de Mujeres con enfoque diferencial en el Departamento.</t>
  </si>
  <si>
    <t>Organización y fortalecimiento de  Consejos Comunitarios de Mujeres.</t>
  </si>
  <si>
    <t>Promoción y sensibilización frente a la Ley 1257 de 2008 y sus Decretos reglamentarios.</t>
  </si>
  <si>
    <t>Fortalecimiento de las rutas de atención a víctimas  de las violencias basadas en género en cada uno Municipios del Departamento.</t>
  </si>
  <si>
    <t>Acompañamiento y seguimiento a la ejecución de programas de mujer y familia en los municipios del Departamento</t>
  </si>
  <si>
    <t>Asesoría técnica  sobre las políticas de equidad, de género y participación de la mujer.</t>
  </si>
  <si>
    <t>Fortalecimiento y apoyo a la casa de la mujer en el Departamento.</t>
  </si>
  <si>
    <t>Fortalecimiento a las redes sociales y organizaciones de mujeres del Departamento</t>
  </si>
  <si>
    <t>Coordinación interinstitucional para el programa de salud sexual y reproductiva.</t>
  </si>
  <si>
    <t>Política Pública Departamental de la mujer creada</t>
  </si>
  <si>
    <t>Diagnóstico sobre Organizaciones Sociales de Mujeres con enfoque diferencial realizado</t>
  </si>
  <si>
    <t>Número de mujeres y hombres enterados y sensibilizados sobre la Ley 1257 de 2008</t>
  </si>
  <si>
    <t>Ruta de atención a mujeres víctimas de violencia intrafamiliar construida y divulgada</t>
  </si>
  <si>
    <t>Número de Municipios con estrategias de seguimiento desarrolladas</t>
  </si>
  <si>
    <t>Número de equipos municipales asesorados sobre las políticas de equidad, género y participación de la mujer</t>
  </si>
  <si>
    <t>Casa de la mujer instaurada dentro de la estructura de la Gobernación</t>
  </si>
  <si>
    <t>Número de redes sociales u organizaciones de mujeres fortalecidos</t>
  </si>
  <si>
    <t>Número de redes sociales u organizaciones de mujeres apoyadas en su creación</t>
  </si>
  <si>
    <t>Estrategia de coordinación de salud sexual y reproductiva formulada y puesta en marcha</t>
  </si>
  <si>
    <t>SIEMPRE PROTEGIDOS</t>
  </si>
  <si>
    <t>Fortalecimiento al centro de vida del adulto mayor indigente</t>
  </si>
  <si>
    <t>Diagnóstico para conocer el número de adultos mayores que no son atendidos en el Departamento.</t>
  </si>
  <si>
    <t>Encuentros Departamentales y Municipales, para rescatar los valores culturales y la expresión artística del adulto mayor.</t>
  </si>
  <si>
    <t>Formulación e implementación de una Política Pública Departamental de Envejecimiento y Vejez.</t>
  </si>
  <si>
    <t>Atención integral a los adultos mayores ubicados en el Centro Rosa Mística.</t>
  </si>
  <si>
    <t>Capacitación y sensibilización en los Municipios para dar a conocer la Ley de Vejez y Envejecimiento.</t>
  </si>
  <si>
    <t>Número de Centros de Vida para el adulto Mayor fortalecidos</t>
  </si>
  <si>
    <t>Diagnóstico sobre cobertura en atención al adulto mayor realizado</t>
  </si>
  <si>
    <t>Número de encuentros Municipales para rescatar los valores culturales y expresión artística del adulto mayor apoyados</t>
  </si>
  <si>
    <t>Política Pública Departamental de Envejecimiento y Vejez creada</t>
  </si>
  <si>
    <t>Número de adultos mayores atendidos en el centro Rosa Mística por  año</t>
  </si>
  <si>
    <t>Número de capacitaciones subregionales realizados para divulgar la Ley de Vejez y Envejecimiento</t>
  </si>
  <si>
    <t>INFANCIA Y ADOLESCENCIA</t>
  </si>
  <si>
    <t>INFANCIA Y ADOLESCENCIA CORDOBESA</t>
  </si>
  <si>
    <t>Sensibilización a la familia de los niños, niñas y adolescentes para erradicar el trabajo infantil.</t>
  </si>
  <si>
    <t>Aplicación de la estrategia Nacional de erradicación trabajo infantil</t>
  </si>
  <si>
    <t>Prevención de las explotaciones sexuales en niños niñas y adolescentes en cada Municipio del Departamento.</t>
  </si>
  <si>
    <t>Capacitación en modelos de convivencia e interacción familiar para la prevención de la violencia y maltrato infantil en todas sus manifestaciones en los Municipios del Departamento.</t>
  </si>
  <si>
    <t>Realizar campañas de sensibilización, divulgación y jornadas de registro civil en el Departamento.</t>
  </si>
  <si>
    <t>Diseño y aplicación de un modelo de ruta de atención del maltrato infantil en el Departamento</t>
  </si>
  <si>
    <t>Prestar atención integral a los niños, niñas y adolescentes en situación de amenaza  o vulneración de derechos conforme a la Ley 1098 de 2006.</t>
  </si>
  <si>
    <t>Apoyo y corresponsabilidad al sistema de responsabilidad penal para adolescentes en el Departamento</t>
  </si>
  <si>
    <t>Adecuación de los Centros de Orientación Juvenil para garantizar una digna atención integral y Casa del Menor Villa Luz</t>
  </si>
  <si>
    <t>Formulación y promoción de la  política pública de infancia y adolescencia en el Departamento</t>
  </si>
  <si>
    <t>Número de familias sensibilizadas sobre la problemática del  trabajo infantil</t>
  </si>
  <si>
    <t>Número de Alcaldías articuladas con la estrategia Nacional</t>
  </si>
  <si>
    <t>Número de niños, niñas y adolescentes informados sobre explotación sexual</t>
  </si>
  <si>
    <t>Número de familias capacitadas</t>
  </si>
  <si>
    <t>Número de campañas de sensibilización, divulgación de registro civil</t>
  </si>
  <si>
    <t>Ruta de atención del maltrato infantil en el Departamento, diseñada y aplicada</t>
  </si>
  <si>
    <t>Número de niños, niñas y adolescentes en situación de amenaza  o vulneración de derechos atendidos conforme a la Ley 1098 de 2006.</t>
  </si>
  <si>
    <t>Número de Municipios articulados y apoyados en el sistema</t>
  </si>
  <si>
    <t>Número de centros adecuados</t>
  </si>
  <si>
    <t>Política pública formulada y en marcha</t>
  </si>
  <si>
    <t>POBREZA EXTREMA</t>
  </si>
  <si>
    <t>Fomento de acciones y recursos para gestionar proyectos de ciencia y tecnología, competitividad, superación de la pobreza extrema y mitigación del riesgo</t>
  </si>
  <si>
    <t>Porcentaje de acciones para gestionar proyectos de ciencia y tecnología, competitividad y superación de la pobreza extrema</t>
  </si>
  <si>
    <t>JUVENTUD</t>
  </si>
  <si>
    <t>FOMENTO DE LA POLÍTICA PÚBLICA DE JUVENTUD</t>
  </si>
  <si>
    <t>JÓVENES RESPONSABLES Y ACTIVOS EN LA SOLUCIÓN A SUS PROBLEMÁTICAS</t>
  </si>
  <si>
    <t>Creación de los 19 Consejos Municipales de Juventud faltantes en el departamento de Córdoba</t>
  </si>
  <si>
    <t>Fortalecimiento de los Consejos Municipales de Juventud existentes</t>
  </si>
  <si>
    <t>Fortalecimiento a las Secretarías, Oficinas o Casas de Juventud</t>
  </si>
  <si>
    <t>Jóvenes con proyectos de vida y atención psicosocial</t>
  </si>
  <si>
    <t>Capacitar a jóvenes en derechos sexuales y reproductivos con énfasis en salud preventiva y CONPES 147</t>
  </si>
  <si>
    <t>Jóvenes Pasantes</t>
  </si>
  <si>
    <t>POBREZA EXTREMA E INNOVACIÓN</t>
  </si>
  <si>
    <t>Número de Consejos Municipales conformados.</t>
  </si>
  <si>
    <t>Número de consejos Municipales apoyados en su gestión</t>
  </si>
  <si>
    <t>Número de Municipios asesorados y apoyados en la creación e implementación de la Política Pública Departamental de juventud</t>
  </si>
  <si>
    <t>Número de Secretarías, Oficinas o Casas de Juventud fortalecidas</t>
  </si>
  <si>
    <t>Número de jóvenes capacitados en iniciativas en proyectos de vida y atención psicosocial</t>
  </si>
  <si>
    <t>Número de jóvenes capacitados en derecho sexual y reproductivo con énfasis en salud preventiva</t>
  </si>
  <si>
    <t>Número de eventos realizados</t>
  </si>
  <si>
    <t>Número de pasantes articulados a Entidades</t>
  </si>
  <si>
    <t>Número de campeonatos de Golombiao realizados</t>
  </si>
  <si>
    <t>Número de jóvenes sensibilizados acerca de la delincuencia y el conflicto armado</t>
  </si>
  <si>
    <t>INCLUSIÓN SOCIAL</t>
  </si>
  <si>
    <t>APOYO A PERSONAS EN CONDICIÓN DE DISCAPACIDAD FÍSICA</t>
  </si>
  <si>
    <t>APOYO A PERSONAS EN CONDICIÓN DE DISCAPACIDAD CONGNITIVA</t>
  </si>
  <si>
    <t>Política Pública Departamental de Discapacidad</t>
  </si>
  <si>
    <t>Plan de acción de discapacidad</t>
  </si>
  <si>
    <t>Banco de ayudas técnicas</t>
  </si>
  <si>
    <t>Centro de Apoyo Comunitario a personas en condición de discapacidad cognitiva</t>
  </si>
  <si>
    <t>Política Pública Departamental  creada</t>
  </si>
  <si>
    <t>Plan formulado y puesto en marcha</t>
  </si>
  <si>
    <t>Banco de ayudas técnicas para personas en condición de discapacidad física con énfasis en víctimas de minas anti persona formulado y puesto en marcha</t>
  </si>
  <si>
    <t>Centro de Apoyo Comunitario a personas en condición de discapacidad cognitiva en marcha</t>
  </si>
  <si>
    <t>SISTEMA DEPARTAMENTAL DE CULTURA</t>
  </si>
  <si>
    <t>ESCUELA DE BELLAS ARTES</t>
  </si>
  <si>
    <t>Fortalecimiento del Sistema Departamental  de cultura</t>
  </si>
  <si>
    <t>Escuela de Bellas Artes y Humanidades</t>
  </si>
  <si>
    <t>Número de espacios de cultura coordinados</t>
  </si>
  <si>
    <t>Número de Consejos Municipales de Cultura creados</t>
  </si>
  <si>
    <t>Número de Consejos de Cultura fortalecidos</t>
  </si>
  <si>
    <t>Plan Decenal de Cultura elaborado, adoptado e implementado</t>
  </si>
  <si>
    <t>Número de asesorías técnicas realizadas en la operatividad de los Consejos Municipales de cultura y la funcionalidad del que hacer cultural</t>
  </si>
  <si>
    <t>Número de sesiones de formación en gestión cultural</t>
  </si>
  <si>
    <t>Número de jornadas culturales realizadas</t>
  </si>
  <si>
    <t>Casas de la cultura asesoradas acompañadas</t>
  </si>
  <si>
    <t>Red de casas de la cultura creada y fortalecida</t>
  </si>
  <si>
    <t>Actualización anual al Sistema de Información Cultural del -SINIC- Córdoba</t>
  </si>
  <si>
    <t>FORMACIÓN ARTÍSTICA Y CULTURAL</t>
  </si>
  <si>
    <t>INFRAESTRUCTURA MUSICAL</t>
  </si>
  <si>
    <t>ÁREAS ARTÍSTICAS</t>
  </si>
  <si>
    <t>Fomento a la difusión de la música</t>
  </si>
  <si>
    <t>Fortalecimiento en áreas artísticas</t>
  </si>
  <si>
    <t>Número de Escuelas de música creadas</t>
  </si>
  <si>
    <t>Número de bandas de música creadas o apoyadas</t>
  </si>
  <si>
    <t>Número de bandas juveniles creadas o apoyadas</t>
  </si>
  <si>
    <t>Número de grupos de danza fortalecidos</t>
  </si>
  <si>
    <t>Número de grupos de teatro apoyados</t>
  </si>
  <si>
    <t>Número de grupos de literatura o escritores apoyados</t>
  </si>
  <si>
    <t>Número de grupos de artes plásticas apoyados</t>
  </si>
  <si>
    <t>GESTIÓN PARA LA CONSERVACION, PROTECCIÓN, SALVAGUARDIA Y SOTENIBILIDAD DEL PATRIMONIO CULTURAL MATERIAL E INMATERIAL</t>
  </si>
  <si>
    <t>APROPIACIÓN DEL PATRIMONIO</t>
  </si>
  <si>
    <t>INVESTIGACIÓN Y ATENCIÓN A LOS GRUPOS ÉTNICOS Y POBLACIONALES</t>
  </si>
  <si>
    <t>GESTIÓN DE DOCUMENTOS Y PATRIMONIO DOCUMENTAL</t>
  </si>
  <si>
    <t>Desarrollo Patrimonial</t>
  </si>
  <si>
    <t>Investigación y atención a los grupos étnicos y poblacionales</t>
  </si>
  <si>
    <t>Gestión documental integral</t>
  </si>
  <si>
    <t>Consejo Departamental de Patrimonio Cultural funcionando</t>
  </si>
  <si>
    <t>Número de inventarios culturales actualizados en el departamento de Córdoba</t>
  </si>
  <si>
    <t>Número de grupos de Vigías de Patrimonio Cultural conformados</t>
  </si>
  <si>
    <t>Número de Declaratorias de bienes de interés cultural apoyados, como patrimonio cultural Departamental</t>
  </si>
  <si>
    <t>Número de  Bienes Patrimoniales del Departamento, impulsados como Patrimonio Cultural de la Nación.</t>
  </si>
  <si>
    <t>Número de ediciones y publicaciones de libros, y/o corto metrajes, catálogos, revistas de divulgación del Patrimonio Cultural del Departamento realizadas</t>
  </si>
  <si>
    <t>Número de seminarios talleres sobre teoría, legislación y normatividad relacionada con los grupos indígenas, gitano ROM y afrodescendientes</t>
  </si>
  <si>
    <t>Caracterización de Grupos Étnicos y Poblacionales del departamento de Córdoba</t>
  </si>
  <si>
    <t>Número de estudios de investigaciones a sociocultural de los grupos indígenas Zenú y Embera Katíos,  población afrodescendientes, el pueblo gitano o rom, y los grupos en situación del vulnerabilidad realizados</t>
  </si>
  <si>
    <t>Número de encuentros interculturales de las etnias Zenúes, de la etnia Embera Katíos, de la población Afrodescendientes, del pueblo gitano o rom, o encuentros de los grupos en situación de vulnerabilidad, como espacios articuladores de integración cultural, identificación y legitimación de sus imaginarios colectivos.</t>
  </si>
  <si>
    <t>Número de estudios sobre Etnolingüística en las comunidades indígenas realizado</t>
  </si>
  <si>
    <t>Número de intercambios culturales que se realicen fuera del Departamento para comunidades indígenas, la población afrodescendientes, el pueblo gitano o rom y los grupos en situación de vulnerabilidad</t>
  </si>
  <si>
    <t>Número de folios  organizados y conservados en el Archivo Histórico de Córdoba.</t>
  </si>
  <si>
    <t>Número de programa de gestión documental Departamental implementados</t>
  </si>
  <si>
    <t>Número de folios automatizados, digitalizados, restaurados  de los documentos de mayor valor histórico e interés cultural que se encuentran en el Archivo Histórico o General del Departamento.</t>
  </si>
  <si>
    <t>Número de eventos anuales de Capacitación y /o Formación,  en Legislación Archivística, Normas Técnicas Colombianas de Archivos, Gestión Documental,  Archivística Básica, Historia Regional, dirigido a jefes de archivos de Alcaldías Municipales y Jefes de Archivos de Entidades Públicas y Privadas que cumplan funciones públicas en el Departamento.</t>
  </si>
  <si>
    <t>Archivo Fotográfico, Visual y Sonoro del departamento de Córdoba creado</t>
  </si>
  <si>
    <t>Número de Consejos Municipales de archivos conformados</t>
  </si>
  <si>
    <t>Número de archivos generales Municipales apoyados en su conformación</t>
  </si>
  <si>
    <t>Número de Comités de archivos Municipales apoyados</t>
  </si>
  <si>
    <t>Archivos de Resguardo Indígena conformado</t>
  </si>
  <si>
    <t>PROMOCIÓN Y FORTALECIMIENTO DE LA LECTURA, ESCRITURA, Y BIBLIOTECAS PÚBLICAS</t>
  </si>
  <si>
    <t>CAPACITACIÓN Y FORMACIÓN A BIBLIOTECARIOS PÚBLICOS MUNICIPALES</t>
  </si>
  <si>
    <t>Capacitación y formación a bibliotecarios públicos municipales</t>
  </si>
  <si>
    <t>CÓRDOBA LECTORA Y ESCRITORA</t>
  </si>
  <si>
    <t>Remodelación y modernización de la Biblioteca Pública Departamental "David Martínez"</t>
  </si>
  <si>
    <t>Número de eventos anuales de Capacitación y Formación a bibliotecarios públicos municipales, comunitarios y escolares en: bibliotecología, procesos técnicos, atención al público, empastes de documentos y encuadernación de libros y primeros auxilios, políticas de descartes, y asepsia de documentos realizados</t>
  </si>
  <si>
    <t>Remodelación y Adecuación del Edificio de la Biblioteca Departamental David Martínez</t>
  </si>
  <si>
    <t>Dotación a la Biblioteca Departamental de materiales bibliográficos y equipos de nuevas tecnologías que amplíen y diversifiquen número de usuarios y garantice el acceso a la información y el disfrute de las consultas.</t>
  </si>
  <si>
    <t>Número de eventos anuales de formación de formadores</t>
  </si>
  <si>
    <t>Número de asesorías técnicas a las Bibliotecas Públicas Municipales en la implementación del Plan Nacional de Lectura y Bibliotecas realizadas</t>
  </si>
  <si>
    <t>Inventario diagnóstico sobre población lectora y usuarios de las bibliotecas públicas realizado</t>
  </si>
  <si>
    <t>Número de campañas de promoción de la lectura en toda la población y Realizar campañas de promoción de la Lectura y Escritura en espacios No convencionales realizados</t>
  </si>
  <si>
    <t>Plan de maletas viajeras de colecciones bibliográficas y de cine a zonas rurales implementado</t>
  </si>
  <si>
    <t>Número de salas de lectura implementadas (sala infantil de lectura Departamental, la sala de lectura para personas con limitaciones visuales y la sala virtual en la Biblioteca Departamental David Martínez.)</t>
  </si>
  <si>
    <t>Número de talleres de producción de material de divulgación de los servicios de la Biblioteca Departamental David Martínez realizados</t>
  </si>
  <si>
    <t>Número de Cineclubs en los Municipios del Departamento creados</t>
  </si>
  <si>
    <t>Número de talleres de Formación de Promoción de Lectura y Escritura, dígitos a Mediadores de Lectura y Escritura(Directivos Docentes, maestros, padres de familia, madres comunitarias, y estudiantes realizados</t>
  </si>
  <si>
    <t>Número de Bibliotecas Públicas y Comunitarias conectadas con internet</t>
  </si>
  <si>
    <t>Biblioteca Pública Municipal de Colección Generales y del Patrimonio Literario Cordobés dotada</t>
  </si>
  <si>
    <t>Número de eventos Nacionales al año relacionados con la lectura y la escritura con participación de la Secretaría de Cultura</t>
  </si>
  <si>
    <t>Participación anual en la Feria Internacional del Libro.</t>
  </si>
  <si>
    <t>NIÑOS LECTORES Y ESCRITORES</t>
  </si>
  <si>
    <t>Niños lectores y escritores</t>
  </si>
  <si>
    <t>Dotación de Colecciones Infantiles Bibliográficos, Audiovisual, Musical y Lúdico.</t>
  </si>
  <si>
    <t>Taller Lúdico, dirigidos a los niños y niñas realizado al año</t>
  </si>
  <si>
    <t>Taller de Reconocimiento, y apropiación de la Cultura Cordobesa dirigidos a los niños y niñas realizado al año</t>
  </si>
  <si>
    <t>Convocatoria a los artistas para el Diseño de material didáctico de acercamiento a los niños a la cultura Cordobesa realizado al año</t>
  </si>
  <si>
    <t>FORTALECER LOS ESPACIOS CULTURALES Y LA DIVULGACIÓN DE LAS EXPRESIONES ARTÍSTICAS Y CULTURALES</t>
  </si>
  <si>
    <t>PROMOCIÓN DE EVENTOS DE CULTURA POPULAR</t>
  </si>
  <si>
    <t>EVENTOS Y EXPRESIONES CULTURALES ACADÉMICAS</t>
  </si>
  <si>
    <t>Eventos y expresiones culturales académicas</t>
  </si>
  <si>
    <t>Promoción de eventos de cultura popular</t>
  </si>
  <si>
    <t>Registro, evaluación y jerarquización de  los eventos culturales de acuerdo a  la  importancia cultural y artística a nivel Municipal, Departamental y Nacional</t>
  </si>
  <si>
    <t>Número de apoyos a la realización y participación en eventos folclóricos y culturales.</t>
  </si>
  <si>
    <t>Número de apoyos con asesoría técnica la realización de eventos culturales y artísticos a nivel Municipal, Departamental y Nacional según jerarquización</t>
  </si>
  <si>
    <t>Número de apoyos a la premiación en los eventos Municipales del departamento de Córdoba que según jerarquización ameriten premiación.</t>
  </si>
  <si>
    <t>Número de eventos académicos Departamentales</t>
  </si>
  <si>
    <t>Número de eventos académicos Nacionales e Internacionales</t>
  </si>
  <si>
    <t>Número de ediciones y publicaciones de autores Cordobeses editadas y publicadas</t>
  </si>
  <si>
    <t>SEGURIDAD SOCIAL, ESTÍMULOS A  ACTORES  Y CONCERTACIÓN A GESTORES  CULTURALES</t>
  </si>
  <si>
    <t>DIFUSIÓN Y PROMOCIÓN DE LOS PROGRAMAS DE ESTÍMULOS Y CONCERTACIÓN</t>
  </si>
  <si>
    <t>ESTÍMULOS Y CONCERTACIÓN DE CÓRDOBA</t>
  </si>
  <si>
    <t>SEGURIDAD SOCIAL DE LOS ARTISTAS</t>
  </si>
  <si>
    <t>Difusión y promoción de los programas de estímulos y concertación</t>
  </si>
  <si>
    <t>Estímulos y concertación de Córdoba</t>
  </si>
  <si>
    <t>Seguridad social de los artistas</t>
  </si>
  <si>
    <t>Número de eventos concertados con el Ministerio de Cultura</t>
  </si>
  <si>
    <t>Número de apoyos y estímulos a actores culturales del Departamento</t>
  </si>
  <si>
    <t>Plan de estímulos para la seguridad social de los artistas acordado y puesto en marcha</t>
  </si>
  <si>
    <t>MEDIOS CIUDADANOS</t>
  </si>
  <si>
    <t>FORTALECIMIENTO DE LOS MEDIOS</t>
  </si>
  <si>
    <t>MEDIOS CIUDADANOS Y CULTURA CORDOBESA</t>
  </si>
  <si>
    <t>Fortalecimiento de los medios</t>
  </si>
  <si>
    <t>Medios ciudadanos y cultura Cordobesa</t>
  </si>
  <si>
    <t>Plan de aprovisionamiento  de  materiales, equipos y mobiliario a emisoras comunitarias, canales de televisión comunitaria local, y canales de Televisión Regional</t>
  </si>
  <si>
    <t>Porcentaje de aumento de la parrilla de contenidos del Departamento en el canal Regional</t>
  </si>
  <si>
    <t>Número de producciones del Noticiero Cultural Departamental</t>
  </si>
  <si>
    <t>EMPRENDIMIENTO Y LAS INDUSTRIAS CULTURALES</t>
  </si>
  <si>
    <t>PRODUCTIVIDAD E INNOVACIÓN</t>
  </si>
  <si>
    <t>Productividad e innovación</t>
  </si>
  <si>
    <t>Número de convenios con las Universidades para los procesos de formación de los agentes culturales</t>
  </si>
  <si>
    <t>VIVIENDA DIGNA PARA LA PROSPERIDAD DE CÓRDOBA</t>
  </si>
  <si>
    <t>VIVIENDA NUEVA URBANA Y RURAL</t>
  </si>
  <si>
    <t>Promover y cofinanciar la construcción de diez mil nuevas viviendas de interés social prioritario en zona urbana y rural</t>
  </si>
  <si>
    <t>Modelo de prototipo de viviendas adaptativas en zonas inundables</t>
  </si>
  <si>
    <t>Mega proyectos de vivienda en zonas limítrofes departamentales</t>
  </si>
  <si>
    <t>Vivienda para personas destacadas en el departamento de Córdoba</t>
  </si>
  <si>
    <t>Fondo para la promoción de la vivienda en Córdoba</t>
  </si>
  <si>
    <t>Número de viviendas iniciadas en el cuatrienio</t>
  </si>
  <si>
    <t>Modelo desarrollado y puesto en marcha</t>
  </si>
  <si>
    <t>Mega proyectos de vivienda iniciados</t>
  </si>
  <si>
    <t>Número de viviendas construidas y asignadas</t>
  </si>
  <si>
    <t>Fondo para la vivienda en Córdoba apoyado</t>
  </si>
  <si>
    <t>MEJORAMIENTO DE VIVIENDA URBANA Y RURAL</t>
  </si>
  <si>
    <t>Promover y cofinanciar el mejoramiento de mil viviendas de interés social prioritario en zona urbana y rural</t>
  </si>
  <si>
    <t>Número de viviendas mejoradas en el cuatrenio</t>
  </si>
  <si>
    <t>TITULACIÓN DE PREDIOS PÚBLICOS CON VOCACIÓN DE VIVIENDA</t>
  </si>
  <si>
    <t>Promover la vinculación de todos los treinta municipios del Departamento al programa nacional de titulación de bienes fiscales ocupados ilegalmente con vivienda de interés social</t>
  </si>
  <si>
    <t>Gestionar una nueva ordenanza para la exención de la boleta fiscal de las resoluciones que se generen dentro del programa de titulación de bienes fiscales entre el ministerio de vivienda, ciudad y territorio y los municipios del Departamento</t>
  </si>
  <si>
    <t>Número de municipios que suscriben convenio con el Ministerio de Vivienda, Ciudad y Territorio</t>
  </si>
  <si>
    <t>Número de ordenanzas aprobadas</t>
  </si>
  <si>
    <t>RECREACIÓN Y DEPORTE SOCIAL COMUNITARIO</t>
  </si>
  <si>
    <t>FORMACION Y MASIFICACIÓN DEPORTIVA</t>
  </si>
  <si>
    <t>Centros de iniciación y formación deportiva</t>
  </si>
  <si>
    <t>Juegos Inter colegiados</t>
  </si>
  <si>
    <t>Número de jóvenes voluntarios participantes</t>
  </si>
  <si>
    <t>Número de participantes en actividades en los municipios donde se desarrollan</t>
  </si>
  <si>
    <t>900 adultos mayores participantes</t>
  </si>
  <si>
    <t>DEPORTE ASOCIADO, COMPETITIVO Y DE ALTO RENDIMIENTO</t>
  </si>
  <si>
    <t>Apoyo a deportistas de alto rendimiento</t>
  </si>
  <si>
    <t>Modelo Sistemático de evaluación, valoración  y control morfo funcional de deportistas Selecciones Córdoba</t>
  </si>
  <si>
    <t>Número de deportistas de alto rendimiento apoyados</t>
  </si>
  <si>
    <t>deportistas valorados mediante el modelo de evaluación, valoración  y Control morfo funcional de deportistas Selecciones Córdoba</t>
  </si>
  <si>
    <t>3 deportistas</t>
  </si>
  <si>
    <t>Infraestructura deportiva</t>
  </si>
  <si>
    <t>Infraestructura necesaria para los juegos operando</t>
  </si>
  <si>
    <t>40% de escenarios deportivos inconclusos</t>
  </si>
  <si>
    <t>Articulación Institucional</t>
  </si>
  <si>
    <t>Número de personas del sistema departamental de deportes capacitados</t>
  </si>
  <si>
    <t>Plan Departamental de Deportes creado y articulado con las demás dependencias</t>
  </si>
  <si>
    <t>Impulso a los agentes culturales</t>
  </si>
  <si>
    <t>INFRAESTRUCTURA CULTURAL</t>
  </si>
  <si>
    <t>REMODELACIÓN Y ADECUACIÓN DE EDIFICACIONES CULTURALES</t>
  </si>
  <si>
    <t>GESTIÓN DE PROYECTOS PARA MEJORAR EL EQUIPAMIENTO CULTURAL</t>
  </si>
  <si>
    <t>Remodelación y adecuación de edificaciones culturales</t>
  </si>
  <si>
    <t>Gestión de proyectos para mejorar el equipamiento cultural</t>
  </si>
  <si>
    <t>Remodelación y adecuación del Edificio de la Biblioteca Departamental David Martínez. y  el Archivo Histórico de Córdoba</t>
  </si>
  <si>
    <t>Remodelación y adecuación del Edificio del Archivo Histórico de Córdoba</t>
  </si>
  <si>
    <t>Gestión ante el Ministerio de Cultura la Construcción de la Sede de la Escuela de Bellas Artes  y Humanidades del departamento de Córdoba.</t>
  </si>
  <si>
    <t>Gestión ante el Ministerio de Cultura la Construcción del Centro Cultural del departamento de Córdoba</t>
  </si>
  <si>
    <t>Apoyo al proyecto interinstitucional Parque del Sombrero Zenú construido.</t>
  </si>
  <si>
    <t>Parque temático del porro construido</t>
  </si>
  <si>
    <t>Apoyo al proyecto Interinstitucional Centro de acopio para la artesanía "Mexión" construido y en funcionamiento.</t>
  </si>
  <si>
    <t>Gestionar ante el Ministerio de Cultura la construcción del Museo Histórico de Córdoba</t>
  </si>
  <si>
    <t>DESARROLLO AGROINDUSTRIAL</t>
  </si>
  <si>
    <t>DESARROLLO AGRÍCOLA</t>
  </si>
  <si>
    <t>DESARROLLO PECUARIO</t>
  </si>
  <si>
    <t>DESARROLLO RURAL TERRITORIAL</t>
  </si>
  <si>
    <t>ASISTENCIA TECNICA RURAL A PEQUEÑOS Y MEDIANOS PRODUCTORES</t>
  </si>
  <si>
    <t>DESARROLLO ACUÍCOLA</t>
  </si>
  <si>
    <t>Establecimiento y recuperación de 10.000 Hectáreas de cultivos</t>
  </si>
  <si>
    <t>Desarrollo y mejoramiento de condiciones de vida del campesino en Córdoba (Proyectos Productivos)</t>
  </si>
  <si>
    <t>Apoyo a la agro industrialización de la materia prima</t>
  </si>
  <si>
    <t>Apoyo  a proyectos de  rehabilitación de sistemas de riegos y drenajes</t>
  </si>
  <si>
    <t>Apoyo al acceso a tierras con un componente productivo</t>
  </si>
  <si>
    <t>Investigación y desarrollo de nuevas especies para la producción de biodiesel</t>
  </si>
  <si>
    <t>Número de hectáreas nuevas cultivadas</t>
  </si>
  <si>
    <t>Número de unidades productivas implementados</t>
  </si>
  <si>
    <t>Número de plantas de proceso instaladas y activas</t>
  </si>
  <si>
    <t>Proyectos apoyados</t>
  </si>
  <si>
    <t>Número de componentes productivos apoyados</t>
  </si>
  <si>
    <t>Número de hectáreas nuevas establecidas</t>
  </si>
  <si>
    <t>Apoyo a programas y proyectos de modernización de ganaderías bovina, porcina, ovino-caprina</t>
  </si>
  <si>
    <t>Implementación de Buenas Prácticas Ganaderas  y fomento de especies menores en el departamento de Córdoba</t>
  </si>
  <si>
    <t>Número de programas o proyectos de modernización apoyados</t>
  </si>
  <si>
    <t>Número de productores involucrados y capacitados</t>
  </si>
  <si>
    <t>Proyectos Integrales de desarrollo Rural con enfoque territorial PIDERT</t>
  </si>
  <si>
    <t>Seguimiento a la Asistencia técnica rural (Umatas,  EPSAGROS); CMDR, Evaluaciones Agropecuarias,  en los Municipios del Departamento.</t>
  </si>
  <si>
    <t>Número de áreas de desarrollo rural intervenidas</t>
  </si>
  <si>
    <t>Número de Municipios evaluados</t>
  </si>
  <si>
    <t>Fomento y apoyo a actividades acuícola y pesca en el departamento de Córdoba.</t>
  </si>
  <si>
    <t>Plantas de beneficio y transformación de  productos acuícolas y pesqueros</t>
  </si>
  <si>
    <t>Número de unidades piscícolas  productivas establecidas</t>
  </si>
  <si>
    <t>Número de plantas de beneficio creados y activos</t>
  </si>
  <si>
    <t>Número de alevinos sembrados en cuencas hidrográficas</t>
  </si>
  <si>
    <t>MINERÍA RESPONSABLE</t>
  </si>
  <si>
    <t>DESARROLLO MINERO</t>
  </si>
  <si>
    <t>Programa minero ambiental en el Departamento</t>
  </si>
  <si>
    <t>Plan Minero elaborado e implementado.</t>
  </si>
  <si>
    <t>DESARROLLO FORESTAL</t>
  </si>
  <si>
    <t>Ampliación de la oferta maderable, mediante el establecimiento de  plantaciones forestales y sistemas agroforestales</t>
  </si>
  <si>
    <t>Delimitación y caracterización del Parque Nudo de Paramillo</t>
  </si>
  <si>
    <t>Apoyo a erradicación y sustitución de cultivos ilícitos en Córdoba</t>
  </si>
  <si>
    <t>Número de hectáreas reforestadas</t>
  </si>
  <si>
    <t>Plan de acción de recuperación de zonas forestales creado, articulado y puesto en marcha para la zona del Nudo de Paramillo</t>
  </si>
  <si>
    <t>Plan de coordinación interinstitucional para erradicar y sustituir cultivos ilícitos en el sur del Departamento</t>
  </si>
  <si>
    <t>CÓRDOBA TURÍSTICA</t>
  </si>
  <si>
    <t>CÓRDOBA COMO DESTINO TURÍSTICO</t>
  </si>
  <si>
    <t>MARCA CÓRDOBA</t>
  </si>
  <si>
    <t>PRODUCTOS ARTESANALES</t>
  </si>
  <si>
    <t>CONSERVACIÓN DEL PATRIMONO NATURAL</t>
  </si>
  <si>
    <t>Apoyo o participación en eventos y ferias y acciones de promoción turísticas</t>
  </si>
  <si>
    <t>Diseño y  Promoción de productos turísticos: culturales-religiosos, playa y sol, agroturismo, ecoturismo, etnoturismo  en el departamento de Córdoba.</t>
  </si>
  <si>
    <t>Instalación y sostenimiento de puntos de información turístico</t>
  </si>
  <si>
    <t>Número de eventos de promoción y ferias apoyadas</t>
  </si>
  <si>
    <t>Número de productos turísticos diseñados y  promocionados</t>
  </si>
  <si>
    <t>Número de puntos de información turística instalados y puestos en marcha</t>
  </si>
  <si>
    <t>7 eventos y ferias ( 2008-2011)</t>
  </si>
  <si>
    <t>Diseño  y desarrollo de la Marca Córdoba</t>
  </si>
  <si>
    <t>Implementación de  BPA - BPM  y comercialización de productos artesanales</t>
  </si>
  <si>
    <t>Ecoturismo Comunitario</t>
  </si>
  <si>
    <t>Marca  diseñada y desarrollada</t>
  </si>
  <si>
    <t>Plan implementado y activo</t>
  </si>
  <si>
    <t>Implementación y puesta en marcha de un sistema eco turístico comunitario</t>
  </si>
  <si>
    <t>Fomento de acciones y recursos para gestionar proyectos de ciencia y tecnología e innovación en competitividad, superación de la pobreza extrema y mitigación del riesgo</t>
  </si>
  <si>
    <t>Porcentaje de acciones para gestionar proyectos de ciencia y tecnología</t>
  </si>
  <si>
    <t>N° de acciones para gestionar proyectos de ciencia, tecnología e innovación</t>
  </si>
  <si>
    <t>ND /  Plan de Gestión Ambiental Regional - Actualizado 2008 - 2019 (CVS)</t>
  </si>
  <si>
    <t>USO Y MANEJO SOSTENIBLE DEL SUELO</t>
  </si>
  <si>
    <t>PLANIFICACIÓN Y ORDENAMIENTO AMBIENTAL</t>
  </si>
  <si>
    <t>USO Y OCUPACIÓN DEL SUELO</t>
  </si>
  <si>
    <t>GESTIÓN INTEGRAL DE RIESGO</t>
  </si>
  <si>
    <t>Orientación y seguimiento para la inclusión del componente de riesgo en los POT´S</t>
  </si>
  <si>
    <t>Seguimiento a los ajustes de los POT´S en cuanto a las determinantes ambientales definidas por la CVS</t>
  </si>
  <si>
    <t>Apoyo a la Zonificación Ambiental Departamental de usos adecuados de la tierra definida y adoptada.</t>
  </si>
  <si>
    <t>Apoyo y participación continúa en la Implementación del Plan de Acción Departamental para el manejo de las inundaciones y control de la erosión.</t>
  </si>
  <si>
    <t>Número de Municipios con inclusión del componente de riesgo en el POT ajustados</t>
  </si>
  <si>
    <t>Número de Municipios con seguimiento a determinantes ambientales</t>
  </si>
  <si>
    <t>PROTECCIÓN Y CONSERVACIÓN DE LOS CUERPOS DE AGUA</t>
  </si>
  <si>
    <t>GESTIÓN PARA LOS PLANES DE ORDENAMIENTO Y MANEJO INTEGRAL DE CUENCAS Y MICROCUENCAS</t>
  </si>
  <si>
    <t>Apoyo a la implementación de los Planes de Ordenamiento y manejo integral de cuencas y humedales</t>
  </si>
  <si>
    <t>Apoyo a la política de gestión del recurso hídrico en el departamento de Córdoba</t>
  </si>
  <si>
    <t>Número de iniciativas en la implementación de los POMCAS apoyadas</t>
  </si>
  <si>
    <t>MANEJO SOSTENIBLE Y CONSERVACIÓN DE ZONAS COSTERAS</t>
  </si>
  <si>
    <t>CONTROL DE LA EROSIÓN COSTERA PARA LA MITIGACIÓN DE SUS EFECTOS</t>
  </si>
  <si>
    <t>Gestión para la formulación   del Plan de Acción para el Control y Mitigación de la Erosión en la Zona Costera del Departamento</t>
  </si>
  <si>
    <t>Plan de Acción formulado</t>
  </si>
  <si>
    <t>BUEN GOBIERNO PARA LA GESTIÓN AMBIENTAL</t>
  </si>
  <si>
    <t>Apoyos a los principales programas estratégicos ambientales en el departamento de Córdoba</t>
  </si>
  <si>
    <t>ORDEN PÚBLICO</t>
  </si>
  <si>
    <t>APOYO A LA SEGURIDAD</t>
  </si>
  <si>
    <t>PROMOCIÓN DE LA CONVIVENCIA Y DDHH</t>
  </si>
  <si>
    <t>Articulación con la población civil y las Instituciones encargadas de la seguridad del Departamento.</t>
  </si>
  <si>
    <t>Apoyo a eventos Nacionales realizados en el Departamento</t>
  </si>
  <si>
    <t>Todos identificados</t>
  </si>
  <si>
    <t>Plan de apoyo a la fuerza pública elaborado y ejecutado</t>
  </si>
  <si>
    <t>Plan de seguridad para los eventos elaborados y ejecutados.</t>
  </si>
  <si>
    <t>Número de libretas militares para personas en condición de pobreza extrema de 18 a 50 años expedidas en coordinación con la Red Unidos, las Alcaldías Municipales y la Registraduría Nacional y el Ejército Nacional</t>
  </si>
  <si>
    <t>Número de niños de  0 a 7 años con registro civil de nacimiento en articulación con las Alcaldías Municipales, la Registraduría y la Red Unidos</t>
  </si>
  <si>
    <t>66.504 niños de 0-7 años con registro civil en situación de pobreza extrema 2.009 -2.012. 86.368 estimados por el programas UNIDOS</t>
  </si>
  <si>
    <t>PLAN INTEGRAL DE CONVIVENCIA Y SEGURIDAD CIUDADANA
(DMS)</t>
  </si>
  <si>
    <t>Plan Nacional De Vigilancia Comunitaria Por Cuadrantes</t>
  </si>
  <si>
    <t>Número de municipios implementados, para que los Cordobeses sientan la presencia Policial más cercana</t>
  </si>
  <si>
    <t>Promoción y vigilancia de DDHH DIH</t>
  </si>
  <si>
    <t>Campañas del buen trato</t>
  </si>
  <si>
    <t>Observatorio de Derechos Humanos y Derecho Internacional Humanitario creado</t>
  </si>
  <si>
    <t>Unidad de Derechos Humanos y Derecho Internacional humanitario creado y funcionando</t>
  </si>
  <si>
    <t>Campaña y capacitación en riesgo de minas antipersonales a población en riesgo en la zona de consolidación</t>
  </si>
  <si>
    <t>Número de campañas por el respeto a la diversidad étnica, cultural o sexual y a la no discriminación</t>
  </si>
  <si>
    <t>Número de campañas de divulgación y promoción de la convivencia ciudadana y los derechos humanos desarrollada al año con énfasis en enfoque diferencial.</t>
  </si>
  <si>
    <t>Apoyo a población vulnerable</t>
  </si>
  <si>
    <t>Número de comunidades de los cinco Resguardos en situación de vulnerabilidad. (Zenú de San Andrés de Sotavento, Resguardo Indígena Embera Katío del Alto Sinú, Resguardo Indígena Zenú del Alto San Jorge, Resguardo Cañaveral y Resguardo Dochamá)  apoyados</t>
  </si>
  <si>
    <t>DESARROLLO COMUNITARIO</t>
  </si>
  <si>
    <t>Apoyo a comunidades afrocolombianas</t>
  </si>
  <si>
    <t>Apoyo a población reinsertada</t>
  </si>
  <si>
    <t>Desarrollo Comunal</t>
  </si>
  <si>
    <t>Número de resguardos  con actividades de fortalecimiento organizacional, de gestión y financiero</t>
  </si>
  <si>
    <t>Número de cabildos con actividades de fortalecimiento organizacional, de gestión y financiero</t>
  </si>
  <si>
    <t>Unidades productivas con mayoría de personas afrocolombianas fortalecidas</t>
  </si>
  <si>
    <t>Número de unidades productivas ya existentes fortalecidas al año</t>
  </si>
  <si>
    <t>Municipios articulados en la estrategia de  integración de Juntas de Acción Comunal</t>
  </si>
  <si>
    <t>Número de dignatarios de JAC capacitados sobre legislación vigente</t>
  </si>
  <si>
    <t>PREVENCIÓN Y PROTECCIÓN</t>
  </si>
  <si>
    <t>PLANES</t>
  </si>
  <si>
    <t>Planes de prevención</t>
  </si>
  <si>
    <t>Planes de contingencia</t>
  </si>
  <si>
    <t>Garantías de no repetición</t>
  </si>
  <si>
    <t>Plan de prevención realizado</t>
  </si>
  <si>
    <t>Plan de contingencia para atender las emergencias con el acompañamiento de la Unidad de Víctimas</t>
  </si>
  <si>
    <t>Porcentaje de garantías  de no repetición reglamentadas</t>
  </si>
  <si>
    <t>2 planes de Prevención y Protección protocolizados parcialmente Implementados</t>
  </si>
  <si>
    <t>AYUDA HUMANITARIA INMEDIATA</t>
  </si>
  <si>
    <t>ASISTENCIA Y ATENCIÓN</t>
  </si>
  <si>
    <t>REHABILITACIÓN</t>
  </si>
  <si>
    <t>Alimentación Transitoria</t>
  </si>
  <si>
    <t>Artículos de aseo, cocina y abastecimiento</t>
  </si>
  <si>
    <t>Alojamiento Transitorio</t>
  </si>
  <si>
    <t>Provisión de bóvedas y sepulturas, gastos de inhumación o cremación</t>
  </si>
  <si>
    <t>Costos funerarios y de traslado</t>
  </si>
  <si>
    <t>Hospedaje y alimentación</t>
  </si>
  <si>
    <t>Centros regionales de atención y reparación a víctimas</t>
  </si>
  <si>
    <t>Porcentaje de familias con alojamiento transitorio brindado</t>
  </si>
  <si>
    <t>Porcentaje de víctimas con artículos de aseo y cocina suministrados</t>
  </si>
  <si>
    <t>450 personas atendidas en alimentación transitoria</t>
  </si>
  <si>
    <t>Porcentaje de víctimas con bóvedas y sepulturas provisionadas</t>
  </si>
  <si>
    <t>Porcentaje de costos funerarios y de traslado cubiertos</t>
  </si>
  <si>
    <t>Porcentaje de costos de hospedaje y alimentación cubiertos</t>
  </si>
  <si>
    <t>Número de centros regionales de atención y reparación articulados con los municipios para su implementación</t>
  </si>
  <si>
    <t>Municipios del Departamento donde se presente el hecho victimizante</t>
  </si>
  <si>
    <t>Fortalecimiento de las organizaciones de víctimas</t>
  </si>
  <si>
    <t>Porcentaje de víctimas con acompañamiento jurídico ofrecido</t>
  </si>
  <si>
    <t>Porcentaje de víctimas con acompañamiento psicosocial ofrecido</t>
  </si>
  <si>
    <t>Porcentaje de Organizaciones de Víctimas fortalecidas</t>
  </si>
  <si>
    <t>6 organizaciones fortalecidas</t>
  </si>
  <si>
    <t>SATISFACCCIÓN</t>
  </si>
  <si>
    <t>Medidas de satisfacción</t>
  </si>
  <si>
    <t>Coordinación institucional</t>
  </si>
  <si>
    <t>Campaña de difusión de las medidas de satisfacción realizada</t>
  </si>
  <si>
    <t>Porcentaje de acciones coordinadas para la atención de población en desplazamiento en los municipios</t>
  </si>
  <si>
    <t xml:space="preserve">PREVENCIÓN, MITIGACIÓN , ATENCIÓN E INTERVENCIÓN   </t>
  </si>
  <si>
    <t>Estrategia de fortalecimiento desarrollada y puesta en marcha</t>
  </si>
  <si>
    <t>ENCADENAMIENTOS PRODUCTIVOS</t>
  </si>
  <si>
    <t>CADENAS PRODUCTIVAS</t>
  </si>
  <si>
    <t>Fortalecimiento de las cadenas productivas y cadenas del sector turísticos</t>
  </si>
  <si>
    <t>Alianzas productivas</t>
  </si>
  <si>
    <t>Número de cadenas productivas  fortalecidas</t>
  </si>
  <si>
    <t>Número de líneas temáticas abordadas</t>
  </si>
  <si>
    <t>Número de nuevas alianzas productivas establecidas</t>
  </si>
  <si>
    <t xml:space="preserve">Capacitación en 
post cosecha, transformación, planes de negocios, exportaciones, Mercado Internacional
</t>
  </si>
  <si>
    <t>15 cadenas productivas existentes</t>
  </si>
  <si>
    <t>DESARROLLO EMPRESARIAL</t>
  </si>
  <si>
    <t>FORTALECIMIENTO DEL SECTOR EMPRESARIAL DEL DEPARTAMENTO DE CÓRDOBA</t>
  </si>
  <si>
    <t>Promoción y desarrollo empresarial</t>
  </si>
  <si>
    <t>Apoyo y desarrollo a la CRC, programas de transformación productiva y desarrollo de mercados</t>
  </si>
  <si>
    <t>Coordinación Interinstitucional de la Comisión Regional de la Competitividad,  MIPYMES, red de emprendimiento</t>
  </si>
  <si>
    <t>Feria de MIPYMES y exhibiciones productos</t>
  </si>
  <si>
    <t>Formación y Formalización empresarial, asistencia técnica, control,  seguimiento y acompañamiento a la micro, pequeña y mediana empresa MIPYMES</t>
  </si>
  <si>
    <t>Asociatividad de productores, transformadores y/o comercializadores  agropecuarios</t>
  </si>
  <si>
    <t>Conformación y fortalecimiento de empresas asociativas y sector turístico</t>
  </si>
  <si>
    <t>Estrategia de coordinación institucional con Entidades Financieras,    Fondo Nacional de Garantías “FNG” y  Fondo Agropecuario de Garantías “FAG” para apalancar recursos de créditos a los microempresarios y productores de los sectores primarios de producción</t>
  </si>
  <si>
    <t>Fortalecimiento de Microempresas rurales</t>
  </si>
  <si>
    <t>Programa de promoción y desarrollo empresarial formulado y puesto en marcha</t>
  </si>
  <si>
    <t>Porcentaje de acciones de apoyo, coordinación  y desarrollo de la competitividad en el departamento de Córdoba</t>
  </si>
  <si>
    <t>Porcentaje de acciones de coordinación interinstitucional</t>
  </si>
  <si>
    <t>Numero de ferias MIPYMES apoyadas</t>
  </si>
  <si>
    <t>Número de MIPYMES fortalecidas</t>
  </si>
  <si>
    <t>Número de empresas asociativas,  turísticas conformadas, consolidadas y activas</t>
  </si>
  <si>
    <t>Número de créditos avalados o garantizados</t>
  </si>
  <si>
    <t>Número de proyectos y microempresas fortalecidas</t>
  </si>
  <si>
    <t>EMPLEO CON ENFOQUE DE GÉNERO</t>
  </si>
  <si>
    <t>EMPLEO PARA LA MUJER</t>
  </si>
  <si>
    <t>Fomento de autoempleo en la mujer</t>
  </si>
  <si>
    <t>Número de mujeres atendidas mediante cursos cortos no formales</t>
  </si>
  <si>
    <t>Número de unidades productivas de mujeres fortalecidas</t>
  </si>
  <si>
    <t>20 unidades productivas actuales</t>
  </si>
  <si>
    <t>De acciones para gestionar proyectos de ciencia y tecnología</t>
  </si>
  <si>
    <t>OPERACIÓN Y FUNCIONAMIENTO DE LA GOBERNACIÓN</t>
  </si>
  <si>
    <t>ESTRUCTURA EFICIENTE</t>
  </si>
  <si>
    <t>Capacitación y bienestar a servidores públicos</t>
  </si>
  <si>
    <t>Mantenimiento y mejoramiento de los edificios y sedes de la Gobernación</t>
  </si>
  <si>
    <t>Actualización tecnológica de la Gobernación</t>
  </si>
  <si>
    <t>FORTALECIMIENTO DE LAS FINANZAS PÚBLICAS</t>
  </si>
  <si>
    <t>Pago de Honorarios, salarios, mesadas y auxilios funerarios</t>
  </si>
  <si>
    <t>Pago de acreencias del acuerdo de restructuración de pasivos (Ley 550)</t>
  </si>
  <si>
    <t>Pago de compromisos financieros</t>
  </si>
  <si>
    <t>Porcentaje de compromisos laborales pagados de acuerdo al plan de personal creado</t>
  </si>
  <si>
    <t>Porcentaje de acreencias pagadas de acuerdo al escenario financiero</t>
  </si>
  <si>
    <t>Porcentaje de compromisos financieros pagados de acuerdo al plan de pasivos elaborado</t>
  </si>
  <si>
    <t>23% del acuerdo pago a 31-12-2011.</t>
  </si>
  <si>
    <t>A 31-12-2011 deudas por 68.114.286.431</t>
  </si>
  <si>
    <t>FORTALECIMIENTO AL SISTEMA DE HACIENDA, JURIDICA Y PLANEACIÓN DE LA GOBERNACIÓN</t>
  </si>
  <si>
    <t>DESARROLLO DEL SISTEMA DE HACIENDA CORDOBÉS</t>
  </si>
  <si>
    <t>CÓRDOBA PLANEA</t>
  </si>
  <si>
    <t>Organización e implementación del sistema de cobro de acreencias exigibles de la Gobernación</t>
  </si>
  <si>
    <t>Fortalecimiento de la defensa judicial de la Gobernación</t>
  </si>
  <si>
    <t>Programa de control a la evasión en marcha</t>
  </si>
  <si>
    <t>Oficina jurídica sistematizada y fortalecida</t>
  </si>
  <si>
    <t>1 sistema en marcha</t>
  </si>
  <si>
    <t xml:space="preserve">Fortalecimiento y depuración del Banco de Programas y Proyectos </t>
  </si>
  <si>
    <t>Fortalecimiento del Sistema de Gestión de Calidad</t>
  </si>
  <si>
    <t>Apoyo a la actualización de la estratificación de municipios</t>
  </si>
  <si>
    <t>Sistema puesto en marcha y revisión del 100% de los procesos de la gobernación</t>
  </si>
  <si>
    <t>Número de municipios apoyados en la actualización de la estratificación</t>
  </si>
  <si>
    <t>Valor gestionado para proyectos, inversión, relaciones institucionales   incluidos en el Plan de Desarrollo</t>
  </si>
  <si>
    <t>TRANSPARENCIA EN LA GESTIÓN PÚBLICA</t>
  </si>
  <si>
    <t>CÓRDOBA TRANSPARENTE</t>
  </si>
  <si>
    <t>Rendición de Cuentas y Veeduría ciudadana</t>
  </si>
  <si>
    <t>Número de jornadas de rendición de cuentas efectuadas</t>
  </si>
  <si>
    <t>Porcentaje de aumento de hectáreas cultivadas</t>
  </si>
  <si>
    <t>Porcentaje de aumento de cobertura de agua potable y saneamiento básico urbano con calidad y eficiencia</t>
  </si>
  <si>
    <t>METAS DE RESULTADO</t>
  </si>
  <si>
    <t>METAS DE PRODUCTO</t>
  </si>
  <si>
    <t>META DE RESULTADO</t>
  </si>
  <si>
    <t>META DE PRODUTO</t>
  </si>
  <si>
    <t>Administrar la prestación del servicio educativo a partir de un modelo gerencial que posibilite el logro de la excelencia en el marco de una atención integral orientada al mejoramiento de la calidad educativa, disminución de las brechas de acceso y permanencia, incorporación de innovación y educación con pertinencia produciendo una generación con capacidad para afrontar de manera eficiente y eficaz las necesidades de técnicos y Profesionales que requiere el departamento de Córdoba</t>
  </si>
  <si>
    <t>META DE PRODUCTO</t>
  </si>
  <si>
    <t>RECURSOS FINANCIEROS EN MILLONES DE $</t>
  </si>
  <si>
    <t>EDUCACION DE CALIDAD PARA LA PROSPERIDAD DE TODOS LOS CORDOBESES</t>
  </si>
  <si>
    <t>Porcentaje de aumento de cobertura educativa</t>
  </si>
  <si>
    <t>AREA COBERTURA: PRIMERA INFANCIA</t>
  </si>
  <si>
    <t>Porcentaje de aumento de cobertura educativa en educación básica y media</t>
  </si>
  <si>
    <t>AREA COBERTURA</t>
  </si>
  <si>
    <r>
      <t xml:space="preserve">Desarrollo de estrategias cognitivas y  metas cognitivas en ambientes digitales para la </t>
    </r>
    <r>
      <rPr>
        <sz val="9"/>
        <rFont val="Arial"/>
        <family val="2"/>
      </rPr>
      <t>autorregulación</t>
    </r>
    <r>
      <rPr>
        <sz val="10"/>
        <rFont val="Arial"/>
        <family val="2"/>
      </rPr>
      <t xml:space="preserve"> del aprendizaje</t>
    </r>
  </si>
  <si>
    <t>AREA CALIDAD</t>
  </si>
  <si>
    <t>Porcentaje de puntos de aumento pruebas Saber pro</t>
  </si>
  <si>
    <t>22%  dde EE acompañados</t>
  </si>
  <si>
    <t>26% de EE acompañados</t>
  </si>
  <si>
    <t>Estrategias de Comunicación como Mediación de relaciones de convivencia, Construcción de Ciudadanía,  Inclusión y Cultura Ambiental en el departamento de Córdoba.</t>
  </si>
  <si>
    <r>
      <t>Fortalecimiento</t>
    </r>
    <r>
      <rPr>
        <sz val="10"/>
        <rFont val="Arial"/>
        <family val="2"/>
      </rPr>
      <t xml:space="preserve"> del SER y Hacer  del maestro Cordobés</t>
    </r>
  </si>
  <si>
    <r>
      <t>Autoevaluación</t>
    </r>
    <r>
      <rPr>
        <sz val="10"/>
        <rFont val="Arial"/>
        <family val="2"/>
      </rPr>
      <t xml:space="preserve"> institucional como estrategia de mejoramiento de la calidad educativa</t>
    </r>
  </si>
  <si>
    <t>Nivel de cumplimiento y eficiencia en los procesos</t>
  </si>
  <si>
    <r>
      <t>Fortalecimiento</t>
    </r>
    <r>
      <rPr>
        <sz val="10"/>
        <rFont val="Arial"/>
        <family val="2"/>
      </rPr>
      <t xml:space="preserve"> del gobierno escolar</t>
    </r>
  </si>
  <si>
    <t>AREA INSPECCION Y VIGILANICA</t>
  </si>
  <si>
    <t>AREA FINANCIERA</t>
  </si>
  <si>
    <t xml:space="preserve">AREA MODERNIZACION </t>
  </si>
  <si>
    <t>Porcentaje de proyectos de ciencia y tecnologia priorizados, viabilidados y ejecutados</t>
  </si>
  <si>
    <t>TOTAL PLAN INDICATIVO DEL EJE EDUCACION DE CALIDAD PARA LA PROSPERIDAD DE TODOS LOS CORDOBESES</t>
  </si>
  <si>
    <t>SECRETARIO DE EDUCACION</t>
  </si>
  <si>
    <t>PLAN INDICATIVO 2012-2015</t>
  </si>
  <si>
    <r>
      <rPr>
        <sz val="10"/>
        <color indexed="62"/>
        <rFont val="Arial"/>
        <family val="2"/>
      </rPr>
      <t xml:space="preserve">Número de </t>
    </r>
    <r>
      <rPr>
        <sz val="10"/>
        <rFont val="Arial"/>
        <family val="2"/>
      </rPr>
      <t xml:space="preserve"> Modelos de atención integral a la primera infancia de cero a siempre diseñado e implementado</t>
    </r>
  </si>
  <si>
    <r>
      <rPr>
        <sz val="10"/>
        <color indexed="62"/>
        <rFont val="Arial"/>
        <family val="2"/>
      </rPr>
      <t xml:space="preserve">Número de  </t>
    </r>
    <r>
      <rPr>
        <sz val="10"/>
        <rFont val="Arial"/>
        <family val="2"/>
      </rPr>
      <t>Políticas públicas Departamental de Primera Infancia construida e implementada.</t>
    </r>
  </si>
  <si>
    <r>
      <rPr>
        <sz val="10"/>
        <color indexed="62"/>
        <rFont val="Arial"/>
        <family val="2"/>
      </rPr>
      <t xml:space="preserve">Número de </t>
    </r>
    <r>
      <rPr>
        <sz val="10"/>
        <rFont val="Arial"/>
        <family val="2"/>
      </rPr>
      <t xml:space="preserve"> Unidades o Direcciones Técnica de primera infancia - de cero a siempre en la Gobernación de Córdoba adscrita a la Secretaría de Educación Departamental creada.</t>
    </r>
  </si>
  <si>
    <r>
      <rPr>
        <sz val="10"/>
        <color indexed="62"/>
        <rFont val="Arial"/>
        <family val="2"/>
      </rPr>
      <t xml:space="preserve">Número de  </t>
    </r>
    <r>
      <rPr>
        <sz val="10"/>
        <rFont val="Arial"/>
        <family val="2"/>
      </rPr>
      <t>Congresos Internacionales de profundización  en la atención integral a la primera infancia - de cero a siempre</t>
    </r>
  </si>
  <si>
    <r>
      <rPr>
        <sz val="10"/>
        <color indexed="62"/>
        <rFont val="Arial"/>
        <family val="2"/>
      </rPr>
      <t>Número de</t>
    </r>
    <r>
      <rPr>
        <sz val="10"/>
        <rFont val="Arial"/>
        <family val="2"/>
      </rPr>
      <t xml:space="preserve"> Políticas de prevención del reclutamiento de niños y jóvenes a grupos al margen de la Ley  y derechos humanos- DIH</t>
    </r>
  </si>
  <si>
    <r>
      <rPr>
        <sz val="10"/>
        <color indexed="62"/>
        <rFont val="Arial"/>
        <family val="2"/>
      </rPr>
      <t>Número de</t>
    </r>
    <r>
      <rPr>
        <sz val="10"/>
        <rFont val="Arial"/>
        <family val="2"/>
      </rPr>
      <t xml:space="preserve"> Políticas Departamental de inclusión y diversidad, desde la perspectiva de derechos humanos formulada</t>
    </r>
  </si>
  <si>
    <r>
      <rPr>
        <sz val="10"/>
        <color indexed="62"/>
        <rFont val="Arial"/>
        <family val="2"/>
      </rPr>
      <t>Número</t>
    </r>
    <r>
      <rPr>
        <sz val="10"/>
        <rFont val="Arial"/>
        <family val="2"/>
      </rPr>
      <t xml:space="preserve"> de Intituciones Educativas con un programa de incubación empresas asociativas como elemento generador de capital económico, social y humano desarrollado</t>
    </r>
  </si>
  <si>
    <r>
      <rPr>
        <sz val="10"/>
        <color indexed="62"/>
        <rFont val="Arial"/>
        <family val="2"/>
      </rPr>
      <t xml:space="preserve">Número </t>
    </r>
    <r>
      <rPr>
        <sz val="10"/>
        <rFont val="Arial"/>
        <family val="2"/>
      </rPr>
      <t>de Universidades Públicas apoyadas (Universidad de Córdoba)</t>
    </r>
  </si>
  <si>
    <r>
      <rPr>
        <sz val="10"/>
        <color indexed="62"/>
        <rFont val="Arial"/>
        <family val="2"/>
      </rPr>
      <t>Número</t>
    </r>
    <r>
      <rPr>
        <sz val="10"/>
        <rFont val="Arial"/>
        <family val="2"/>
      </rPr>
      <t xml:space="preserve"> de Estudiantes de la Universidad de Córdoba  con subsidio de transporte</t>
    </r>
  </si>
  <si>
    <r>
      <rPr>
        <sz val="10"/>
        <color indexed="44"/>
        <rFont val="Arial"/>
        <family val="2"/>
      </rPr>
      <t xml:space="preserve">Número </t>
    </r>
    <r>
      <rPr>
        <sz val="10"/>
        <rFont val="Arial"/>
        <family val="2"/>
      </rPr>
      <t xml:space="preserve">de Modelos de desarrollo de estrategias y aplicación para mejorar la calidad del aprendizaje  en ambientes mediados   diseñado y puesto en marcha                                                                                                                                                                                                              </t>
    </r>
  </si>
  <si>
    <r>
      <rPr>
        <sz val="10"/>
        <color indexed="44"/>
        <rFont val="Arial"/>
        <family val="2"/>
      </rPr>
      <t>Número de</t>
    </r>
    <r>
      <rPr>
        <sz val="10"/>
        <rFont val="Arial"/>
        <family val="2"/>
      </rPr>
      <t xml:space="preserve"> Plataformas web (PHEIM) Itinerarios de aprendizaje para la implementación de Estrategias de intervención meta cognitiva diseñado y puesto en marcha</t>
    </r>
  </si>
  <si>
    <r>
      <rPr>
        <sz val="10"/>
        <color indexed="62"/>
        <rFont val="Arial"/>
        <family val="2"/>
      </rPr>
      <t>Número d</t>
    </r>
    <r>
      <rPr>
        <sz val="10"/>
        <rFont val="Arial"/>
        <family val="2"/>
      </rPr>
      <t xml:space="preserve">e Procesos de apoyo a la formación de docentes de las comunidades indígenas y afro para el mejoramiento de la calidad </t>
    </r>
  </si>
  <si>
    <r>
      <rPr>
        <sz val="10"/>
        <color indexed="62"/>
        <rFont val="Arial"/>
        <family val="2"/>
      </rPr>
      <t>Número</t>
    </r>
    <r>
      <rPr>
        <sz val="10"/>
        <rFont val="Arial"/>
        <family val="2"/>
      </rPr>
      <t xml:space="preserve"> de Escuelas de Maestros creada y funcionando </t>
    </r>
  </si>
  <si>
    <r>
      <rPr>
        <sz val="10"/>
        <color indexed="62"/>
        <rFont val="Arial"/>
        <family val="2"/>
      </rPr>
      <t>Número</t>
    </r>
    <r>
      <rPr>
        <sz val="10"/>
        <rFont val="Arial"/>
        <family val="2"/>
      </rPr>
      <t xml:space="preserve"> de Planes de capacitación a personal Secretaria de Educación formulado y puesto en marcha</t>
    </r>
  </si>
  <si>
    <r>
      <rPr>
        <sz val="10"/>
        <color indexed="62"/>
        <rFont val="Arial"/>
        <family val="2"/>
      </rPr>
      <t>Número d</t>
    </r>
    <r>
      <rPr>
        <sz val="10"/>
        <rFont val="Arial"/>
        <family val="2"/>
      </rPr>
      <t>e Plan de modernización estatal formulado y puesto en marcha</t>
    </r>
  </si>
  <si>
    <t>Número de raciones otorgadas</t>
  </si>
  <si>
    <t>Número de beneficiarios de raciones otorgadas</t>
  </si>
  <si>
    <t>DIRECTOR ADMINISTRATIVO CON FUNCIONES EN EL PROGRAMA DE SEGURIDAD ALIMENTARIA</t>
  </si>
  <si>
    <t>200 (5%)</t>
  </si>
  <si>
    <t>2,300 (10%)</t>
  </si>
  <si>
    <t xml:space="preserve">Numero de aumento en cupos = N° de cupos de transición / N° de niños, niñas en edad de transición </t>
  </si>
  <si>
    <r>
      <rPr>
        <sz val="10"/>
        <color indexed="62"/>
        <rFont val="Arial"/>
        <family val="2"/>
      </rPr>
      <t>Número de</t>
    </r>
    <r>
      <rPr>
        <sz val="10"/>
        <rFont val="Arial"/>
        <family val="2"/>
      </rPr>
      <t xml:space="preserve"> Foros Departamentales de profundización en la atención integral a la primera infancia - de cero a siempre y experiencia significativa</t>
    </r>
  </si>
  <si>
    <t>70000 (5%)</t>
  </si>
  <si>
    <t>Disminución en el nùmero de analfabetas en el departamento de Córdoba</t>
  </si>
  <si>
    <t>Número matriculas de jovenes y adultos contratadas mediante prestaciòn de servicio educativo</t>
  </si>
  <si>
    <t>Número de paquetes nutricionales otorgados (50% de Beneficiarios)</t>
  </si>
  <si>
    <t>9000 (4%)</t>
  </si>
  <si>
    <t>Disminución de deserción educativa</t>
  </si>
  <si>
    <t>15000 (6,2%)</t>
  </si>
  <si>
    <t>12500 (5%)</t>
  </si>
  <si>
    <t>Disminución de la repitencia escolar</t>
  </si>
  <si>
    <t>10 (10%)</t>
  </si>
  <si>
    <t>Nùmero  de instituciones educativas con resultados muy inferior, inferior, bajo al nivel medio durante el cuatrienio</t>
  </si>
  <si>
    <t>111 (10%)</t>
  </si>
  <si>
    <t>Numero de Instituciones, centros y sus respectivas sedes con mejora en la infraestructura educativas</t>
  </si>
  <si>
    <t>819 (21%)</t>
  </si>
  <si>
    <t>Nùmero de maestros capacitados en distintas áreas</t>
  </si>
  <si>
    <t>392 (100%)</t>
  </si>
  <si>
    <t>Nùmero de colegios operando</t>
  </si>
  <si>
    <t>10780 (100%)</t>
  </si>
  <si>
    <t>Nùmero de docentes y funcionarios de la nómina del magisterio y nómina administrativa del sector educativo de municipios no certificados operando</t>
  </si>
  <si>
    <t>Número matriculas contratadas mediante prestaciòn de servicio educativo del banco de oferentes</t>
  </si>
  <si>
    <t>20 (100%)</t>
  </si>
  <si>
    <t>Nùmero de acciones para gestionar proyectos de ciencia, tecnología e innovación, para superación de pobreza extrema, mitigacion del riesgo y competitividad</t>
  </si>
  <si>
    <t xml:space="preserve">Fortalecimiento del Aseguramiento </t>
  </si>
  <si>
    <t>Secretario de Salud</t>
  </si>
  <si>
    <t>Mejoramineto de la calidad en atencion en salud</t>
  </si>
  <si>
    <t>Fortalecer el componente de Sistema Obligatorio de Garantía de la Calidad en los prestadores de servicios de salud.</t>
  </si>
  <si>
    <t>Mejoramiento de la eficiencia en la prestación en los servicios de salud y sostenibilidad financiera de las IPS públicas</t>
  </si>
  <si>
    <t>INFRAESTRUCTURA EN SALUD</t>
  </si>
  <si>
    <t>Mejoramiento del acceso a la oferta de servicios de salud</t>
  </si>
  <si>
    <t>Unidades renales  construida y puesta en macha</t>
  </si>
  <si>
    <t>1 estrategia (equivalente al 100%)</t>
  </si>
  <si>
    <t>Porcentaje de Estrategia de telemedicina implantada en seis Empresas Sociales del Estado( ESE)</t>
  </si>
  <si>
    <t>1 (100%)</t>
  </si>
  <si>
    <t xml:space="preserve">Número de ESE con promoción de telemedicina </t>
  </si>
  <si>
    <t xml:space="preserve">13.8 muertes por cada 100.000 habitantes </t>
  </si>
  <si>
    <t>accidentes de trabajo</t>
  </si>
  <si>
    <t xml:space="preserve">5.2 muertes por cada 100.000 habitantes </t>
  </si>
  <si>
    <t xml:space="preserve">Porcentaje de municipios Articulados en  el plan local para emergencias y desastres </t>
  </si>
  <si>
    <t>Atencion de eventos de emergencia y desastres</t>
  </si>
  <si>
    <t>Gestion para la identificacion y priorizacion de los riesgos para emergencias y desatres</t>
  </si>
  <si>
    <t>Numero de ESEs capacitado en proceso de referencia, contrarefernecia y seguimiento</t>
  </si>
  <si>
    <t>Numero de equipos de ESEs capacitados en el manejo de urgencias y emergencias medicas con enfasis en las 10 priemras causas de remision del CRUE</t>
  </si>
  <si>
    <t>Numero de IPS señalizados con el emblema de Mision Medica</t>
  </si>
  <si>
    <t>Articulacion de acciones con la Red de Comités de Salud Ocupacional Dptal y Municipales para la promocion de derechos y deberes en el SGRP y de Salud</t>
  </si>
  <si>
    <t>Numero de ESEs con planes hospitalarios para emergencias y hospitales seguros</t>
  </si>
  <si>
    <t xml:space="preserve">Acciones para el fortalecimiento institucional para la respuesta territorial ante las situaciones de emergencias y desastres </t>
  </si>
  <si>
    <t>Numero de ESEs interconectadas a la Red de comunicaciones del sector salud del CRUE</t>
  </si>
  <si>
    <t>Centro Regulador de Urgencias y Emergencias CRUE</t>
  </si>
  <si>
    <t>Un Plan de mejoramiento del sistema de referencia y contra referencia implementado y puesto en marcha</t>
  </si>
  <si>
    <t>Numero de Kit de equipos  de  comunicaciones (RPT) y elementos para   el funcionamiento del CRUE y Centro de Reserva adquirido</t>
  </si>
  <si>
    <t>Un Software para el procesamiento y análisis de la información que se genera en el CRUE instalado e implementado</t>
  </si>
  <si>
    <t xml:space="preserve">  Porcentaje de beneficiarios DE POBLACION VULNERABLE EN PROMOCIONES DE ATENCION EN SALUD  CON ENFOQUE DIFERENCIAL  </t>
  </si>
  <si>
    <t>Un Diagnóstico de la situación de salud del Departamento  por grupos étnicos, de género y ciclo de vida</t>
  </si>
  <si>
    <t>Total de población por grupos étnicos de género y ciclo de vida sujetos de promoción de la salud y prevención de riesgo</t>
  </si>
  <si>
    <t>Porcentaje de Municipios que  desarrollan actividades  de  IEC participación social</t>
  </si>
  <si>
    <t>Acciones educativas de carácter no formal dirigidos a líderes comunitarios, profesionales y técnicos sobre participación social, entornos saludables, desplazamiento, constitución de redes, adulto mayor</t>
  </si>
  <si>
    <r>
      <rPr>
        <sz val="10"/>
        <color indexed="8"/>
        <rFont val="Arial"/>
        <family val="2"/>
      </rPr>
      <t xml:space="preserve">Lograr ? un índice de Cariado Opturado Perdido </t>
    </r>
    <r>
      <rPr>
        <sz val="10"/>
        <color indexed="60"/>
        <rFont val="Arial"/>
        <family val="2"/>
      </rPr>
      <t>porcentaje de disminución de cariado opturado perdido</t>
    </r>
  </si>
  <si>
    <r>
      <t>2291</t>
    </r>
    <r>
      <rPr>
        <sz val="11"/>
        <rFont val="Arial"/>
        <family val="2"/>
      </rPr>
      <t>(20%)</t>
    </r>
  </si>
  <si>
    <t>porcentaje o indice de disminución de casos de dengue y malaria</t>
  </si>
  <si>
    <r>
      <t xml:space="preserve">Prevención de los riesgos y recuperación y superación de los daños de </t>
    </r>
    <r>
      <rPr>
        <sz val="10"/>
        <color indexed="8"/>
        <rFont val="Arial"/>
        <family val="2"/>
      </rPr>
      <t>enfermedades transmitidas por vectores (dengue, malaria, fiebre amarilla y leishmaniosis)</t>
    </r>
  </si>
  <si>
    <t>Numero de casos de malaria y de dengue reportados</t>
  </si>
  <si>
    <t>Porcentaje de la poblacion canina y felina vacunado</t>
  </si>
  <si>
    <t>Porcentaje de vacunación realizada a la población canina y felina</t>
  </si>
  <si>
    <t>Una Alianza con actores clave en el desarrollo de acciones de promoción y vigilancia de las enfermedades transmisibles y zoonosis conformada</t>
  </si>
  <si>
    <t>Aumentar la tasa de curación de los casos de tuberculosis pulmonar en pacientes con baciloscopia positiva</t>
  </si>
  <si>
    <t xml:space="preserve">Alcanzar la meta de eliminación de la lepra en 30 municipios. </t>
  </si>
  <si>
    <t>Nuemro de casos de lepra por cada 10.000 habitantes</t>
  </si>
  <si>
    <t xml:space="preserve">Reducir la poblacion de 18 a 69 años fumadora </t>
  </si>
  <si>
    <t>Una Estrategia para fomento de la recreación con Indeportes, Secretaría de Educación, ICBF, Salud y PONAL</t>
  </si>
  <si>
    <t>Una Política para promoción del transporte masivo y desplazamiento activo implementada.</t>
  </si>
  <si>
    <r>
      <t xml:space="preserve">Puntos de disminución de porcentaje de la razón de mortalidad materna por cien mil nacidos vivos </t>
    </r>
    <r>
      <rPr>
        <sz val="10"/>
        <rFont val="Arial"/>
        <family val="2"/>
      </rPr>
      <t>(4 disminuir el indice)</t>
    </r>
  </si>
  <si>
    <t>Disminución de la razón de mortalidad materna y prenatal</t>
  </si>
  <si>
    <t>Disminución de la razón de incidencia de cáncer de seno, mama en mujeres y próstata en hombres.</t>
  </si>
  <si>
    <t>2,78%</t>
  </si>
  <si>
    <t>2,5%</t>
  </si>
  <si>
    <t>2,3%</t>
  </si>
  <si>
    <t xml:space="preserve">Porcentaje de embarazos en adolescentes </t>
  </si>
  <si>
    <t>Reducir el consumo de sustancia Psicoactiva</t>
  </si>
  <si>
    <t>Un Modelo de Atención Primaria en Salud Mental APS implementado y puesto en marcha</t>
  </si>
  <si>
    <t>Desminuir la desnutricion global</t>
  </si>
  <si>
    <t xml:space="preserve">Desminuir la desnutricion cronica </t>
  </si>
  <si>
    <t>3 meses</t>
  </si>
  <si>
    <t>1.5 meses</t>
  </si>
  <si>
    <t xml:space="preserve">Puntos de disminución de porcentaje de la razón de mortalidad infantil por  mil nacidos vivos </t>
  </si>
  <si>
    <t>Disminución de mortalidad infantil en niños menores de 1 año</t>
  </si>
  <si>
    <t>19x1000</t>
  </si>
  <si>
    <t>18x1000</t>
  </si>
  <si>
    <t>17x1000</t>
  </si>
  <si>
    <t>15x1000</t>
  </si>
  <si>
    <t>Disminución de mortalidad infantil en niños menores de 5 años</t>
  </si>
  <si>
    <t>Porcentaje de municipios con la politica de salud ambiental</t>
  </si>
  <si>
    <r>
      <t xml:space="preserve">VIGILANCIA DE SALUD PÚBLICA DE RIESGOS Y DAÑOS BIOLÓGICOS Y DEL </t>
    </r>
    <r>
      <rPr>
        <sz val="10"/>
        <color indexed="8"/>
        <rFont val="Arial"/>
        <family val="2"/>
      </rPr>
      <t>COMPORTAMIENTO.</t>
    </r>
  </si>
  <si>
    <t>Porcentaje  de las Direcciones Locales de Salud del Departamento de Córdoba con asistencia técnica y seguimiento.</t>
  </si>
  <si>
    <t>Porcentaje de personas del departamento en situación de pobreza extrema afiliadas al sistema general de seguridad social en salud</t>
  </si>
  <si>
    <t>↓3 Puntos de disminución de porcentaje de la razón de mortalidad infantil por mil nacidos vivos</t>
  </si>
  <si>
    <t>Estrategia de telemedicina implantada</t>
  </si>
  <si>
    <t>5 meses (101%)</t>
  </si>
  <si>
    <t>6 meses  (100%)</t>
  </si>
  <si>
    <t xml:space="preserve">Porcentaje de  tiempo de lactancia materna incrementado </t>
  </si>
  <si>
    <t>SECRETARIA DE SALUD</t>
  </si>
  <si>
    <t>0.25%</t>
  </si>
  <si>
    <t>Porcentaje de aumento en la cobertura de Deporte, Recreacion, Actividad Fisica y Aprovechamiento del Tiempo Libre.</t>
  </si>
  <si>
    <t>Apoyo a  activades recreo deportivo para adultos mayores de 65 años</t>
  </si>
  <si>
    <t>Número de adultos mayores participantes.</t>
  </si>
  <si>
    <t>INDEPORTES CORDOBA - SECRETARIA MUJER Y GENERO</t>
  </si>
  <si>
    <t>Apoyo a los Juegos Deportivos Departamentales</t>
  </si>
  <si>
    <t>INDEPORTES CORDOBA</t>
  </si>
  <si>
    <t>Apoyo a niños, niñas y jóvenes para la formación en las diferentes disciplina  Deportivas</t>
  </si>
  <si>
    <t>Centros de iniciación y formación deportiva funcionando.</t>
  </si>
  <si>
    <t>Número de estudiantes  participantes del sector escolar.</t>
  </si>
  <si>
    <t>6.000 participantes 2011</t>
  </si>
  <si>
    <t>Apoyo a los campamentos juveniles</t>
  </si>
  <si>
    <t>300 jóvenes participantes</t>
  </si>
  <si>
    <t>Apoyo al programa Hábitos y estilos de vida saludable</t>
  </si>
  <si>
    <t>800 personas participantes</t>
  </si>
  <si>
    <t>Número de puestos ganados en el escalafón de los juegos nacionales</t>
  </si>
  <si>
    <t>APOYO AL DEPORTE ASOCIADO, COMPETITIVO Y DE ALTO RENDIMIENTO.</t>
  </si>
  <si>
    <t>Apoyo al Fomento y desarrollo del deporte asociado, competitivo y de alto rendimiento</t>
  </si>
  <si>
    <t>Número de deportistas participantes en el Deporte Asociado, Competitivo y de Alto Rendimiento</t>
  </si>
  <si>
    <t>Preparacion y participacion XIX Juegos Deportivos Nacionales 2012</t>
  </si>
  <si>
    <t>Número de deportistas que representaran al departamento en Juegos Nacionales.</t>
  </si>
  <si>
    <t>ORGANIZACIÓN Y FORTALECIMIENTO INSTITUCIONAL</t>
  </si>
  <si>
    <t>Porcentaje de aumento en los servicios que se ofertan a los organismos del Sistema Departamental del Deporte..</t>
  </si>
  <si>
    <t>Organización y fortalecimiento Institucional del SDD.</t>
  </si>
  <si>
    <t>Apoyo al Sistema Departamental de capacitación</t>
  </si>
  <si>
    <t xml:space="preserve">Número de políticas diferenciales implementadas, difundidas y apoyadas  </t>
  </si>
  <si>
    <t>FOMENTO POLITICA PÚBLICA DE MUJER Y GÉNERO</t>
  </si>
  <si>
    <t>O</t>
  </si>
  <si>
    <t>Numero de Consejos Comunicatorios de Mujeres conformados</t>
  </si>
  <si>
    <t>Numero de Consejos Comunicatorios de Mujeres fortalecidos</t>
  </si>
  <si>
    <t>SECRETARIA DE MUJER</t>
  </si>
  <si>
    <t>INDICADOR RESULTADO</t>
  </si>
  <si>
    <t>INDICADOR PRODUCTO</t>
  </si>
  <si>
    <t>RECURSOS (MILLONES DE $)</t>
  </si>
  <si>
    <t xml:space="preserve">EJE ESTRATÉGICO </t>
  </si>
  <si>
    <t xml:space="preserve">PONDERADOR  % </t>
  </si>
  <si>
    <t>PROGRAMAS</t>
  </si>
  <si>
    <t xml:space="preserve"> INDICADOR</t>
  </si>
  <si>
    <t>SUBPROGRAMA</t>
  </si>
  <si>
    <t>PROYECTO</t>
  </si>
  <si>
    <t xml:space="preserve">META PRODUCTO CUATRIENIO </t>
  </si>
  <si>
    <t>2012-2015</t>
  </si>
  <si>
    <t>CÓRDOBA  PRODUCTIVA, EMPORIO DE RIQUEZA AGROINDUSTRIAL Y COMERCIAL</t>
  </si>
  <si>
    <t>3.14</t>
  </si>
  <si>
    <t>149.000 área total agrícola</t>
  </si>
  <si>
    <t>SEC. DESARROLLO ECONOMICO</t>
  </si>
  <si>
    <t xml:space="preserve"> </t>
  </si>
  <si>
    <t xml:space="preserve">260 UPA </t>
  </si>
  <si>
    <t>00.00</t>
  </si>
  <si>
    <t>0.000</t>
  </si>
  <si>
    <t>0.00</t>
  </si>
  <si>
    <t>0.0</t>
  </si>
  <si>
    <t>↑6%</t>
  </si>
  <si>
    <t xml:space="preserve">5.97% </t>
  </si>
  <si>
    <t>11.97%</t>
  </si>
  <si>
    <t>1.0</t>
  </si>
  <si>
    <t>6.0</t>
  </si>
  <si>
    <t xml:space="preserve">225 Granjas activas con actividad acuícola </t>
  </si>
  <si>
    <t>258.82</t>
  </si>
  <si>
    <t>919.82</t>
  </si>
  <si>
    <t>Repoblamiento de cuencas  hidrográficas en el  Departamento.</t>
  </si>
  <si>
    <t>609.4</t>
  </si>
  <si>
    <t>502.63</t>
  </si>
  <si>
    <t>799.7</t>
  </si>
  <si>
    <t>1.943.73</t>
  </si>
  <si>
    <t>401.4</t>
  </si>
  <si>
    <t>342.53</t>
  </si>
  <si>
    <t>419.7</t>
  </si>
  <si>
    <t>1.203.63</t>
  </si>
  <si>
    <t>NA</t>
  </si>
  <si>
    <t>23.3%</t>
  </si>
  <si>
    <t>47.92%</t>
  </si>
  <si>
    <t>73.05%</t>
  </si>
  <si>
    <t>15.852.</t>
  </si>
  <si>
    <t>Elevar el compromiso institucional público, para propiciar procesos de producción en concordancia con el sector privado generando empleo productivo sostenible.</t>
  </si>
  <si>
    <t>GENERACIÓN Y FORTALECIMIENTO DE EMPLEO PRODUCTIVO</t>
  </si>
  <si>
    <t>1.53</t>
  </si>
  <si>
    <t>10.0</t>
  </si>
  <si>
    <t>81.4</t>
  </si>
  <si>
    <t>72.63</t>
  </si>
  <si>
    <t>304.7</t>
  </si>
  <si>
    <t>468.73</t>
  </si>
  <si>
    <t>SEC. DESARROLLO ECONOM,ICO Y AGROINDUSTRIAL</t>
  </si>
  <si>
    <t>20.0</t>
  </si>
  <si>
    <t>100% Plan  regional de competitividad</t>
  </si>
  <si>
    <t>Conformación de comités de coordinación</t>
  </si>
  <si>
    <t>00.000</t>
  </si>
  <si>
    <t>21 Convenio Bancoldex</t>
  </si>
  <si>
    <t>Número de organizaciones de productores, transformadores y comercializadores creadas y consolidadas</t>
  </si>
  <si>
    <t xml:space="preserve">15 operaciones crediticias con Microempresas por valor de $5.000.000.000 y 200 operaciones crediticias a Pequeños productores. </t>
  </si>
  <si>
    <t xml:space="preserve">3.500 capacitadas </t>
  </si>
  <si>
    <t>.5000</t>
  </si>
  <si>
    <t>45.0</t>
  </si>
  <si>
    <t>606.87</t>
  </si>
  <si>
    <t>726.12</t>
  </si>
  <si>
    <t>2.343.99</t>
  </si>
  <si>
    <t>SEC. MUJER Y GENERO - DESARROLLO ECONOMICO Y AGROINDUSTRIAL</t>
  </si>
  <si>
    <t>910.29</t>
  </si>
  <si>
    <t>1.089.18</t>
  </si>
  <si>
    <t>3.468.47</t>
  </si>
  <si>
    <t>23.30%</t>
  </si>
  <si>
    <t>47.93%</t>
  </si>
  <si>
    <t>73.06%</t>
  </si>
  <si>
    <t>100.00%</t>
  </si>
  <si>
    <t>PAGINA WEB DE LA GOBERNACIÓN INTERACTIVA CON EL CIUDADANO</t>
  </si>
  <si>
    <t>NÚMERO DE ACTUALIZACIONES SEMANALES DE LA PÁGINA WEB DE LA GOBERNACIÓN</t>
  </si>
  <si>
    <t>Dr. MIGUEL BURGOS DAVID</t>
  </si>
  <si>
    <t>FORTALECIMIENTO DE LA ATENCIÓN DEL CIUDADANO</t>
  </si>
  <si>
    <t>PORCENTAJE DE DÍAS HÁBILES DE ATENCIÓN AL CIUDADANO</t>
  </si>
  <si>
    <t>NÚMERO DE FUNCIONARIOS CON USO AVANZADO DE LAS TICS Y HERRAMIENTAS OFIMATICAS.</t>
  </si>
  <si>
    <t>SECRETARIA DE GESTIÓN ADMINISTRATIVA</t>
  </si>
  <si>
    <t>SOFTWARE DE GESTIÓN DOCUMENTAL IMPLEMENTADO Y PUESTO EN MARCHA</t>
  </si>
  <si>
    <t>SECRETARIA DE HACIENDA</t>
  </si>
  <si>
    <t>1(100%)</t>
  </si>
  <si>
    <t>Porcentaje de ejecución de la estrategia de actualización y apropiación de TICS implementada dentro de la administración departamental</t>
  </si>
  <si>
    <t>Implementación de un sistema de información para el Fortalecimiento de la defensa judicial de la Gobernación</t>
  </si>
  <si>
    <t>JEFE OFICINA ASESORA JURÍDICA</t>
  </si>
  <si>
    <t>Departamento Administrativo de Planeación. Coordinación Banco de Proyectos</t>
  </si>
  <si>
    <t>Número de capacitaciones dirigidas a los funcionarios municipales y departamentales en el manejo del SSEPI y formulación de proyectos en MGA</t>
  </si>
  <si>
    <t xml:space="preserve">Número de informes de seguimiento al avance de los proyectos radicados en el Banco de Programas y Proyectos de Inversión Departamental </t>
  </si>
  <si>
    <t>1.25</t>
  </si>
  <si>
    <t>1.50</t>
  </si>
  <si>
    <t>1.75</t>
  </si>
  <si>
    <t>2.0</t>
  </si>
  <si>
    <t>Estudio contratado y ejecutado</t>
  </si>
  <si>
    <t xml:space="preserve">Departamento Administrativo de Planeación. </t>
  </si>
  <si>
    <t>Número de Sistemas diseñados y puesto en marcha</t>
  </si>
  <si>
    <t>NÚMERO DE PLANES DE GESTIÓN DOCUMENTAL DE ARCHIVO FISICO IMPLEMENTADO Y PUESTO EN MARCHA</t>
  </si>
  <si>
    <t xml:space="preserve"> Número de macro procesos del Sistema General de Regalías y de cooperaciion credo e implementado</t>
  </si>
  <si>
    <t xml:space="preserve">DEPTO ADMINISTRATIVO DE PLANEACION - OFICINA DE COMUNICACIONES, PRENSA Y PROTOCOLO </t>
  </si>
  <si>
    <t>SUBTOTAL DAP</t>
  </si>
  <si>
    <t>GESTION ADMINSITRATIVA</t>
  </si>
  <si>
    <t>DIRECCION DE REGALIAS Y O COOPERACION</t>
  </si>
  <si>
    <t>Número de proyectos gestionados con recursos de cooperación y SGR</t>
  </si>
  <si>
    <t xml:space="preserve">Número de proyectos  inscritos en  el BPP sistematizados </t>
  </si>
  <si>
    <t>Porcentaje de la Estrategia de actualización y apropiación de TICS implementada dentro de la administración departamental</t>
  </si>
  <si>
    <t>Ejercer los principios de buen gobierno con sentido de pertenencia para alcanzar la eficiencia y transparecnia administrastiva  en todos los niveles</t>
  </si>
  <si>
    <t>Porcentaje de planificación logrado</t>
  </si>
  <si>
    <t>1 (una actualizacion semanal)</t>
  </si>
  <si>
    <t>100%(240 días al año)</t>
  </si>
  <si>
    <t>Dr. MIGUEL BURGOS DAVID- (recursos  de gestión administrativa parte superior de la matriz)</t>
  </si>
  <si>
    <t>Número de oficinas de cooperación creadas e implementadas</t>
  </si>
  <si>
    <t xml:space="preserve">Porcentaje de avance de Oficina creada </t>
  </si>
  <si>
    <t>Porcentaje de estrategia de cooperación e inversión formulada y coordinada</t>
  </si>
  <si>
    <t>NÜMERO DE PLANES DE ACTUALIZACIÓN TECNOLÓGICA CREADOS Y PUESTOS EN MARCHA</t>
  </si>
  <si>
    <t>NÚMERO DE PLANES  DE APROVISIONAMIENTO Y ALMACENAMIENTO CREADO Y PUESTO EN MARCHA</t>
  </si>
  <si>
    <t>Número de gravámenes administrados desde el software de gestión de impuestos de consumo</t>
  </si>
  <si>
    <t>TOTAL EJE</t>
  </si>
  <si>
    <t>PONDERADOR % *</t>
  </si>
  <si>
    <t>PONDERADOR % **</t>
  </si>
  <si>
    <t>PONDERADOR % ***</t>
  </si>
  <si>
    <t>Crear e imlementar  una Oficina de Cooperación  para la gestión de proyectos de inversión en el Departamento de Córdoba</t>
  </si>
  <si>
    <t>Creare  implementar un Sistema de integración de la información sectorial para la inversión del departamento de Córdoba</t>
  </si>
  <si>
    <t>SUBTOTAL JURIDICA</t>
  </si>
  <si>
    <t>Elaboración de Estudio para solucionar el diferendo limitrofe entre Cordóba y  Antioquia</t>
  </si>
  <si>
    <t>SUBTOTAL HACIENDA</t>
  </si>
  <si>
    <t xml:space="preserve">SUBTOTAL GESTIÓN </t>
  </si>
  <si>
    <t xml:space="preserve">Elaborar e implementar un Macro proceso del SGR y de Cooperación </t>
  </si>
  <si>
    <t xml:space="preserve">Gestionar recursos del SGR y Cooperación para  inversión de proyectos de impacto </t>
  </si>
  <si>
    <t>Radicar, Inscribir y Certificar Proyectos de impacto para inversión con reursos del  SGR  y Cooperación</t>
  </si>
  <si>
    <t xml:space="preserve">Número de acciones,  alianzas, redes y espacios establecidas, </t>
  </si>
  <si>
    <t>Fortalecer el Comité de Cooperación Internacional, a través del establecimiento de  acciones, alianzas,construcción de redes y espacios de interlocución con diferentes actores</t>
  </si>
  <si>
    <t>ELABORCIÓN E IMPLEMENTACIÓN DE UN SISTEMA DE GESTIÓN DOCUMENTAL</t>
  </si>
  <si>
    <t xml:space="preserve">ELABORACIÓN  E IMPLEMENTACIÓN DE UN PLAN APROVISIONAMIENTO Y ALMACENAMIENTO DE BIENES Y SERVICIOS PARA EL FUNCIONAMIENTO  ADMINISTRATIVO DE FORMA EFICIENTE  </t>
  </si>
  <si>
    <t>NÚMERO DE EDIFICIOS CON PROGRAMA DE MANTENIMIENTO EJECUTADO DE PROPIEDAD O RESPONSABILIDADE LA GOBERNACIÓN</t>
  </si>
  <si>
    <t>Desarrollo o implenetación  del sistema de gestión documental y trazabilidad para la administración de las cuentas de pago</t>
  </si>
  <si>
    <t xml:space="preserve">Número de funcionarios,  pensionados y libranzas, incluidos en base datos por secciones  </t>
  </si>
  <si>
    <t>Número de Planes de optimización de gestión de ingresos</t>
  </si>
  <si>
    <t>Número de Planes de fortalecimiento del Sistema financiero apoyados</t>
  </si>
  <si>
    <t>Número de Planes para  fortalecimiento del Sistema financiero implementado y operando</t>
  </si>
  <si>
    <t>Número de Sistemas organizados y en Operación</t>
  </si>
  <si>
    <t>Elaboración de un Plan para el Fortalecimiento del sistema y la administración tributaria del Departamento</t>
  </si>
  <si>
    <t>Elaboración de un Plan de  apoyo para fortalecimiento del  Sistema Financiero Departamental</t>
  </si>
  <si>
    <t>Número de entes territoriales y/o regionales  articulados, consolidados y asistidos técnicamente</t>
  </si>
  <si>
    <t>Reorganizar el sistema de nómina, pensiones y libranzas de la Gobernación</t>
  </si>
  <si>
    <t>TOTAL PROGRAMA</t>
  </si>
  <si>
    <t>55 MIL MILLONES</t>
  </si>
  <si>
    <t>80 MIL MILLONES</t>
  </si>
  <si>
    <t>81 MILLONES</t>
  </si>
  <si>
    <t>85 MIL MILLONES</t>
  </si>
  <si>
    <t>* Ponderador con respecto al total de  los recursos financieros del Plan Plurianual de inversiones del PDD 2012-2015</t>
  </si>
  <si>
    <t>Articulación,  consolidación y asistencia técnica para el desarrollo  territorial y  regional</t>
  </si>
  <si>
    <t>RECURSOS EN  PESOS</t>
  </si>
  <si>
    <t xml:space="preserve">Los recuros 2012  de la Oficina Jurídica y DAP fueron tomados de la información que envió la Oficina Jurídica y DAP para la vigencia 2012  </t>
  </si>
  <si>
    <t>Nota: los recursos de la vigencia 2012, de las Secretarías de Hacienda y Gestión  fueron tomadas del Plan de Inversiones del Plan de Desarrollo 2012-2015, debido a que aun no se tenía el ajuste del presupusto para  dicha vigencia</t>
  </si>
  <si>
    <t>Los  recursos de Gestión fueron modificados por no coincidir con los del Plan de Inversiones,  en el informe que la Secretaría pasó</t>
  </si>
  <si>
    <t>** Ponderador con respecto al  impacto del programa para el eje</t>
  </si>
  <si>
    <t>***Ponderador con respecto al impacto del proyecto para el programa</t>
  </si>
  <si>
    <t>TOTAL SUBPROGRAMA</t>
  </si>
  <si>
    <t xml:space="preserve">TOTAL GESTION </t>
  </si>
  <si>
    <t>DIRECCION DE REGALIAS Y DLLO ECONOMICO</t>
  </si>
  <si>
    <t>SUB TOTAL GESTION -SISTEMAS</t>
  </si>
  <si>
    <t>VERSIÓN: 02</t>
  </si>
  <si>
    <t>EJE INFRAESTRUCTURA DE OBRAS Y SERVICIOS PARA EL DESARROLLO</t>
  </si>
  <si>
    <t>LÍNEA BASE</t>
  </si>
  <si>
    <t>LÍNEA DE BASE</t>
  </si>
  <si>
    <t>Porcentaje de vías secundarias y terciarias intervenidas</t>
  </si>
  <si>
    <t>Secretaría de Infraestructura</t>
  </si>
  <si>
    <r>
      <t xml:space="preserve">VÍAS SECUNDARIAS </t>
    </r>
    <r>
      <rPr>
        <sz val="8"/>
        <color indexed="8"/>
        <rFont val="Arial"/>
        <family val="2"/>
      </rPr>
      <t>DEPARTAMENTALES ESTRATÉGICAS</t>
    </r>
  </si>
  <si>
    <t>Número de puentes construidos</t>
  </si>
  <si>
    <t>Porcentaje de Población beneficiada con proyectos de recreación, equipamiento urbano o mejoramiento urbanístico</t>
  </si>
  <si>
    <t>Apoyo a nuevos proyectos de equipamiento urbano  y mejoramiento urbanístico, Incluida la construcción, mejoramiento o mantenimiento de edificaciones públicas</t>
  </si>
  <si>
    <r>
      <t xml:space="preserve">DESARROLLO DE LA </t>
    </r>
    <r>
      <rPr>
        <sz val="8"/>
        <color indexed="8"/>
        <rFont val="Arial"/>
        <family val="2"/>
      </rPr>
      <t>INFRAESTRUCTURA PRODUCTIVA DEL DEPARTAMENTO</t>
    </r>
  </si>
  <si>
    <t>Porcentaje de alianzas público - privadas apoyadas</t>
  </si>
  <si>
    <t>Porcentaje de proyectos ejecutados para la mitigación del riesgo y atención de desastres</t>
  </si>
  <si>
    <r>
      <t xml:space="preserve">DESARROLLO DE </t>
    </r>
    <r>
      <rPr>
        <sz val="8"/>
        <color indexed="8"/>
        <rFont val="Arial"/>
        <family val="2"/>
      </rPr>
      <t>INFRAESTRUCTURA PARA LA GESTIÓN DE RIESGOS</t>
    </r>
  </si>
  <si>
    <t>Apoyo a proyectos de mitigación del riesgo y atención  de emergencias y desastres</t>
  </si>
  <si>
    <t>Número de proyectos de mitigación  del riesgo y atención  de emergencias y desastres</t>
  </si>
  <si>
    <t>Porcentaje de nuevos suscriptores de viviendas con energía eléctrica en zona rural</t>
  </si>
  <si>
    <t>Apoyar la gestión para el aumento de cobertura del alumbrado público</t>
  </si>
  <si>
    <t xml:space="preserve">↑5% cobertura acueducto y ↑8% cobertura alcantarillado </t>
  </si>
  <si>
    <t>85% acueducto y 52% alcantarillado</t>
  </si>
  <si>
    <t>90% acueducto y 60% alcantarillado</t>
  </si>
  <si>
    <t>Construcción ampliación y optimización del sistema de acueducto urbano</t>
  </si>
  <si>
    <t>Secretaría de Infraestructura
Aguas de Córdoba SA ESP</t>
  </si>
  <si>
    <t>Construcción ampliación y optimización del sistema de acueducto rural</t>
  </si>
  <si>
    <t>Construcción ampliación y optimización del sistema de alcantarillado urbano</t>
  </si>
  <si>
    <t xml:space="preserve">Construcción de soluciones individuales de alcantarillado en la zona rural. </t>
  </si>
  <si>
    <t>Construcción y optimización de sistemas de disposición de aguas residuales en los municipios del departamento de Córdoba.</t>
  </si>
  <si>
    <t>Construcción de sistemas de disposición final de residuos sólidos en los municipios del departamento de Córdoba</t>
  </si>
  <si>
    <t>Numero de municipios apoyados en la gestión de una solución económicamente viable para disposición de residuos sólidos.</t>
  </si>
  <si>
    <t>Solo 8  de los 30 municipios del departamento de Córdoba, tienen una disposición económicamente viable.</t>
  </si>
  <si>
    <t xml:space="preserve">Apoyo a la gestión de proyectos de recarga hídrica </t>
  </si>
  <si>
    <t>Número de Zonas de recarga hídrica apoyadas</t>
  </si>
  <si>
    <t>Se ha dado a apoyo a 2 proyectos de recargas hídricas</t>
  </si>
  <si>
    <t>Un PDA  operando</t>
  </si>
  <si>
    <t>Número de Municipios apoyados  o articulados</t>
  </si>
  <si>
    <t>Número de Esquemas supra regionales para la prestación de los servicios públicos apoyados y gestionados</t>
  </si>
  <si>
    <t>Porcentaje de disminución de accidentalidad</t>
  </si>
  <si>
    <t>Campañas de divulgación y sensibilización en el conocimiento de las normas de transito y la prevención vial.</t>
  </si>
  <si>
    <t>Número de campañas sobre conocimiento de las normas de transito y la prevención vial realizadas</t>
  </si>
  <si>
    <t>Secretaría de Transito y Transporte</t>
  </si>
  <si>
    <t>Estudio de Viabilidad y Movilidad Vial Departamental.</t>
  </si>
  <si>
    <t>Estudio de viabilidad vial y movilidad departamental</t>
  </si>
  <si>
    <t>Creación de la mesa departamental y Formulación de la Política de Seguridad Vial.</t>
  </si>
  <si>
    <t>Mesa departamental vial constituida.</t>
  </si>
  <si>
    <r>
      <t xml:space="preserve">SEÑALIZACIÓN Y </t>
    </r>
    <r>
      <rPr>
        <sz val="8"/>
        <color indexed="8"/>
        <rFont val="Arial"/>
        <family val="2"/>
      </rPr>
      <t>SEMAFORIZACIÓN</t>
    </r>
  </si>
  <si>
    <t>Movilidad Vial</t>
  </si>
  <si>
    <t>Sede de tránsito y movilidad construida o adecuada.</t>
  </si>
  <si>
    <t>Observaciones:</t>
  </si>
  <si>
    <t>*Para cumplir con las metas del Subprograma VÍAS SECUNDARIAS DEPARTAMENTALES ESTRATÉGICAS se requieren $27.151.000.000, adicionales a los recursos disponibles de acuerdo al Presupuesto de la vigencia 2012 y lo contemplado en el PLAN PLURIANUAL DE INVERSIONES para las vigencias 2013, 2014 y 2015. Para la vigencia 2012 los recursos pasaron de $ 24.564.064.763, contemplado en el PLAN PLURIANUAL DE INVERSIONES, a $ 0.
*En el Subprograma MITIGACIÓN existe un Superávit de$ 20.935.000.000, el cual se incluyó en los proyectos de Mitigación de puntos críticos en las cuencas del Sinú y San Jorge, con los cuales se podrían mitigar 5 puntos adicionales en cada cuenca.
*En el Subprograma MEJORAMIENTO DEL SISTEMA ELÉCTRICO DEPARTAMENTAL existe un Superávit de$ 8.569.000.000, el cual se incluyó en el proyecto Apoyar la Normalización de Redes Eléctricas Urbanas.
*La Secretaría de Tránsito y Transporte solicito a Planeación por oficio el retiro del proyecto Sede de tránsito y movilidad construida o adecuada, por acomodarse mejor al eje de Fortalecimiento institucional. 
*La Secretaría de Tránsito y Transporte deja constancia que en el plan de desarrollo aparecen asignados a dicha dependencia $18.000.000.000, los cuales no han sido certificados por presupuesto. La Secretaría de Tránsito y Transporte cree que es un error de digitación por cuanto se construirá el nuevo edificio y el costo estimado del mismo es de $1.700.000.000; por lo que la Secretaría de Tránsito y Transporte cree que lo que se presupuestaron fueron $1.800.000.000 millones y no $18.000.000.000; pero eso no ha sido confirmado.</t>
  </si>
  <si>
    <t>MUJER Y GENERO PARA EL DESARROLLO CORDOBES</t>
  </si>
  <si>
    <t>DESARROLLAR ESTRATEGIAS DE DIFUSION, PREVENCION Y APOYO DE POLITICAS PUBLICAS DIFERENCIALES A MUJER, ADULTOS MAYORES E INFANCIA Y ADOLESCENCIA</t>
  </si>
  <si>
    <t>MUJER Y GÉNERO PARA EL DESARROLLO CORDOBÉS</t>
  </si>
  <si>
    <t>PROMOCIÓN Y EXIGIBILIDAD DE DERECHOS DE LA MUJER</t>
  </si>
  <si>
    <t>ATENCIÓN INTEGRAL AL ADULTO MAYOR</t>
  </si>
  <si>
    <t>SUPERACIÓN DE LA POBREZA EXTREMA Y ENFOQUE DIFERENCIAL</t>
  </si>
  <si>
    <t>TOTAL  EJE</t>
  </si>
  <si>
    <t>SECRETARIA DE MUJER , DIRECCION DE REGALIAS</t>
  </si>
  <si>
    <t>TOTAL  PROGRAMA</t>
  </si>
  <si>
    <t>CORDOBA AMBIENTALMENTE SOSTENIBLE</t>
  </si>
  <si>
    <t xml:space="preserve">Porcentaje de Investigaciones realizadas sobre la diversidad Cordobesa y Estrategia para innovación de sistemas energéticos alternativos en instituciones </t>
  </si>
  <si>
    <t>Porcentaje de municipios con Planes de Uso y Manejo Sostenible del Suelo</t>
  </si>
  <si>
    <t>100% (30)</t>
  </si>
  <si>
    <t>Secretaría del Interior y Participación Ciudadana</t>
  </si>
  <si>
    <t>Elaboración e implementación del SIGAM (Sistema de Gestiòn Ambiental Municipal)</t>
  </si>
  <si>
    <t>Número de Municipios con seguimiento a los SIGAM</t>
  </si>
  <si>
    <t>Número de Municipios acompañados en la implementación del plan Departamental para el manejo de las Inundaciones</t>
  </si>
  <si>
    <t>Participación en la formulación e implementación del Plan Departamental de Gestión del Riesgo y  las Estrategias para la Emergencia</t>
  </si>
  <si>
    <t xml:space="preserve"> Un Plan Departamental de Gestión del Riesgo y una Estrategia, Formulado e Implementados</t>
  </si>
  <si>
    <t>Orientación y segumiento para la elaboración de los  los planes Municipales de Gestión del Riesgo y las Estrategias para la Emergencia</t>
  </si>
  <si>
    <t>Número de Municipios orientados y con seguimiento en la elaboración e implementación del Plan Municipal  de gestión del riesgo</t>
  </si>
  <si>
    <t>Orientación y Segumiento a la elaboración de los planes de Contingencias para Incendios Forestales</t>
  </si>
  <si>
    <t>Número de Municipios orientados y con seguimiento en la elaboración  de los Plan de Contigencia para Incendios Forestales</t>
  </si>
  <si>
    <t>Porcentaje de apoyos implementados para la protección y conservación de los cuerpos de agua</t>
  </si>
  <si>
    <t xml:space="preserve">Número de Aspectos  Apoyados para la implementación de la Política de Gestiòn Integral del Recurrso Hídrico </t>
  </si>
  <si>
    <t>Porcentaje de Plan de Acción Ejecutado para el Control y Mitigación de la Erosión en la Zona Costera del Departamento</t>
  </si>
  <si>
    <t>Porcentaje de Programas Estratégicos abientales apoyados</t>
  </si>
  <si>
    <t>Articulación de actividades con la Sistema Nacional de Gestión del Riesgo de Desastres</t>
  </si>
  <si>
    <t>Plan operativo de articulación formulado y/o actualizado y puesto  en marcha</t>
  </si>
  <si>
    <t>Número de Programas estratégicos ambientales apoyados</t>
  </si>
  <si>
    <t>DIRECCION DE REGALIAS DR. ZAPA</t>
  </si>
  <si>
    <t>SUBTOLAL PROGRAMA</t>
  </si>
  <si>
    <t>SUBTOTAL PROGRAMA</t>
  </si>
  <si>
    <t>TOTLA EJE</t>
  </si>
  <si>
    <t xml:space="preserve">Proporcionar y facilitar los espacios requeridos para la participación comunitaria, a través de la preservación del orden público, la atención integral y permanente a la polación victima, la atención de desastre dentro de un estado social de derecho. </t>
  </si>
  <si>
    <t>196.068 personas entre 18 y 50 años en situación de pobreza extrema sin libreta militar. 2% avance en 2009 - 2012 (192.146,6)</t>
  </si>
  <si>
    <t>0.10</t>
  </si>
  <si>
    <t>0.35</t>
  </si>
  <si>
    <t>0.60</t>
  </si>
  <si>
    <t>0.40</t>
  </si>
  <si>
    <t>0.80</t>
  </si>
  <si>
    <t>0.25</t>
  </si>
  <si>
    <t>0.50</t>
  </si>
  <si>
    <t>0.75</t>
  </si>
  <si>
    <t>81.6</t>
  </si>
  <si>
    <t>Secretaria DEL INTERIOR</t>
  </si>
  <si>
    <t>978.7</t>
  </si>
  <si>
    <t>Secretaria del INTERIOR</t>
  </si>
  <si>
    <t>0.5</t>
  </si>
  <si>
    <t>0.15</t>
  </si>
  <si>
    <t>Porcentaje de familias con alimentacion transitorio brindado</t>
  </si>
  <si>
    <t>2.5%</t>
  </si>
  <si>
    <t>7.5%</t>
  </si>
  <si>
    <t>450 personas atendidas en alojamiento transitorio</t>
  </si>
  <si>
    <t>Acompañamiento Jurídico</t>
  </si>
  <si>
    <t>Acompañamiento psicosocial</t>
  </si>
  <si>
    <t>RETORNO Y REUBICACIÓN A POBLACIÓN EN DESPLAZAMIENTO</t>
  </si>
  <si>
    <t>63.9</t>
  </si>
  <si>
    <t xml:space="preserve">Asistencia técnica y Capacitaciones en Gestión de riesgo y Adaptación al Cambio Climático </t>
  </si>
  <si>
    <t xml:space="preserve">Número de capacitaciones en Gestión del riesgo y adaptación al cambio climático            </t>
  </si>
  <si>
    <t>Fortalecimiento de los Consejos Municipales para la Gestión del Riesgo de Desastres</t>
  </si>
  <si>
    <t>Número de Consejos Municipales asesorados técnicamente en gestión del riesgo</t>
  </si>
  <si>
    <t>Fortalecimiento para el Consejo Departamental para la Gestión del Riesgo de Desastres</t>
  </si>
  <si>
    <t>Atención e intervención para el Manejo de Emergencias y Desastres</t>
  </si>
  <si>
    <t>Nùmero de acciones coordinadas para la atención e intervención de emergencias y desastres</t>
  </si>
  <si>
    <t>Número de familias atendidas durante las emergencias o desastres</t>
  </si>
  <si>
    <t>* El número de personas atendidas esta sujetos a los fenómenos naturales que ocurran en el departamento.</t>
  </si>
  <si>
    <t>?</t>
  </si>
  <si>
    <t>Los ponderadores de los proyectos son con respecto al programa y debe sumar el 100% del programa</t>
  </si>
  <si>
    <t>Número de estratégias de apoyo y ascesorías de las casas de la mujer en los municipios del Departamento</t>
  </si>
  <si>
    <t>Secretaría del Interior y Participación Ciudadana - Aguas de Còrdoba - Secretaría de Infraestructura</t>
  </si>
  <si>
    <t>GUSTAVO CÉSPEDES</t>
  </si>
  <si>
    <t>Escuela creada y en funcionando</t>
  </si>
  <si>
    <t>ROSARIO OYOLA</t>
  </si>
  <si>
    <t>x</t>
  </si>
  <si>
    <t>ALEXIS ZAPATA</t>
  </si>
  <si>
    <t>Número de Bienes Municipales de cultura  apoyados en la declaratoria de Patrimonio culturales  del Municipio</t>
  </si>
  <si>
    <t>Número apoyo a los Planes Especiales de Manejo y Protección PEMP de Bienes Muebles e Inmuebles de Interés Cultural</t>
  </si>
  <si>
    <t>Número de Apoyo a Planes Especiales de Salvaguardia de Manifestaciones del Patrimonio Cultural Inmaterial incluidas en las Listas Representativas</t>
  </si>
  <si>
    <t>Numero de Apoyo a los Museos, Archivos, Bibliotecas Patrimoniales, Centros de Memoria.</t>
  </si>
  <si>
    <t>Número de Apoyo a  Programas Culturales y Artísticos de Gestores y Creadores con Discapacidad.</t>
  </si>
  <si>
    <t>Número de Apoyo a Programas de Promoción y Difusión del Patrimonio Cultural</t>
  </si>
  <si>
    <t>Plan especial de salvaguardia de grupos étnicos elaborado</t>
  </si>
  <si>
    <t>ALONSO PACHECO</t>
  </si>
  <si>
    <t>MARÍA ANGÉLICA CORREA</t>
  </si>
  <si>
    <t>REMODELACIÓN Y MODERNIZACIÓN DE LA BIBLIOTECA DEPARTAMENTAL "DAVID MARTÍNEZ"</t>
  </si>
  <si>
    <t>Córdoba lectora y escritora</t>
  </si>
  <si>
    <t>Números de Ediciones, Públicaciones y promoción de Autores Cordobeses</t>
  </si>
  <si>
    <t>LAURA PUCHE</t>
  </si>
  <si>
    <t>Caracterización de los medios ciudadanos y comunitarios en el Departamento</t>
  </si>
  <si>
    <t>Número de Apoyos a Productores y Directores de Cine en el Departamento</t>
  </si>
  <si>
    <t>Número de Apoyos a Eventos de Promoción y Dufusión del Cine en Córdoba</t>
  </si>
  <si>
    <t>Número de Investigaciones a Manifestaciones Culturales de Córdoba</t>
  </si>
  <si>
    <t xml:space="preserve">Investigaciones sobre Mapas Culturales de Córdoba </t>
  </si>
  <si>
    <t>investigación a los medios de comunicación simbólicos</t>
  </si>
  <si>
    <t>apoyo a la investigación sobre mundos de creencias y valores</t>
  </si>
  <si>
    <t>apoyo a la investigaciones sobre forma de vida económica Antropológicas del Córdobés</t>
  </si>
  <si>
    <t>Falta ciencia y tecnologia</t>
  </si>
  <si>
    <t xml:space="preserve">Apoyar técnica y/o financieramente al fortalecimiento en la
organización
y gestión de resguardos
</t>
  </si>
  <si>
    <t>Apoyar técnica y/o financieramente al fortalecimiento en la
organización
y gestión
de cabildos</t>
  </si>
  <si>
    <t xml:space="preserve">  Convocatorias para fortalecer y capacitar a las comunidades organizadas del depto realizadas</t>
  </si>
  <si>
    <t>2008-2011</t>
  </si>
  <si>
    <t>ASISTENCIA, ATENCIÓN Y REPARACIÓN INTEGRAL A LAS VÍCTIMAS**</t>
  </si>
  <si>
    <t>** Número de desplazados 2008-2011  es de 571,836 personas. Número de victimas atendidas es de 11,100 personas del 2008-2011, para un pocentaje atendido del 1,94%</t>
  </si>
  <si>
    <t>Desplazados</t>
  </si>
  <si>
    <t>Victimas atendiadas</t>
  </si>
  <si>
    <t>100% de los resguardos y 4,11% de los cabildos</t>
  </si>
  <si>
    <t>100% resguardos y 4,11 cabildos</t>
  </si>
  <si>
    <t>Generar condiciones en infraestructura, movilidad y cobertura de servicios públicos adecuadas para el incremento de la competitividad y la productividad del Departamento.</t>
  </si>
  <si>
    <t>5 UP:  100% resguardos y cabildos JAC, y municipios</t>
  </si>
  <si>
    <t>Número de JAC 1980, Número de Resguardos 5,  Número de Cabildos 483, Unidades Productivas bases 5, y 30 municipios</t>
  </si>
  <si>
    <t>Número de inclusión de niños y niñas de los grados jardín y pre-jardín</t>
  </si>
  <si>
    <t xml:space="preserve">Cumplimiento en la estrategia de participación y movilización social </t>
  </si>
  <si>
    <t>Construcción, Mantenimiento,pavimentación o rehabilitación de vías secundarias</t>
  </si>
  <si>
    <t>Apoyo a la construcción, mantenimiento,pavimentación o rehabilitación de vías terciarias</t>
  </si>
  <si>
    <t>NOTA: 1. Referente al proyecto "Gestión para la formulación   del Plan de Acción para el Control y Mitigación de la Erosión en la Zona Costera del Departamento",  este se encuentra incluido en el eje temàtico de infraestructura dentro del programa gestión del riesgo, subprograma mitigación, proyecto "Apoyo a la mitigación de puntos críticos sobre la zona litoral Cordobesa".</t>
  </si>
  <si>
    <t>Nota: Se incluyeron 4 nuevos indicadores con sus respectivas metas de resultado, ya de acuerdo al Artículo 16: Indicadores de los Objetivos Temáticos, solo Se colocaron el el plan de desarrollo los referentes a Ciencia y Tecnología</t>
  </si>
  <si>
    <t>SUBTOTAL</t>
  </si>
  <si>
    <t>RECURSOS ASIGNADOS EN  PESOS</t>
  </si>
  <si>
    <t>Fomentar las expresiones artísticas culturales así como la difusión del patrimonio cultural del Departamento.</t>
  </si>
  <si>
    <t>Numero de Actividades relacionadas con la Conservación de los Bienes de Interés Cultural bajo situación de Riesgo</t>
  </si>
  <si>
    <t>IMPULSO A LOS AGENTES E INDUSTRIAS CULTURALES</t>
  </si>
  <si>
    <t>Número de Estímulos y Apoyos  en procesos de Formación, Adquisición y Transferencia de Tecnología a los Agentes e Industrias Culturales</t>
  </si>
  <si>
    <t>Apoyo a la investigación sobre grupos poblacionales</t>
  </si>
  <si>
    <t xml:space="preserve">Garantizar el desarrollo integral de los Jovenes con acciones estrategicas que permitan la construccion y preparacion de la Juventud en el desarrollo del Departamento  </t>
  </si>
  <si>
    <t>RECURSOS</t>
  </si>
  <si>
    <t>20 (20%)</t>
  </si>
  <si>
    <t>Porcentaje de Poblacion Juvenil con espacios de participacion y generacion de oportunidades</t>
  </si>
  <si>
    <t xml:space="preserve">11 
</t>
  </si>
  <si>
    <t>sec juventud</t>
  </si>
  <si>
    <t xml:space="preserve">Actualización, implementación y divulgación de la Política Pública Departamental de Juventud de Córdoba </t>
  </si>
  <si>
    <t>Apoyo a Campeonatos de Golombiao</t>
  </si>
  <si>
    <t>Apoyo a eventos de participación y fomento de la juventud</t>
  </si>
  <si>
    <t>Sensibilización  a Jóvenes  para la prevención sobre  delincuencia y conflicto armado</t>
  </si>
  <si>
    <t>Socialización de Ley de primer empleo en el departamento de Córdoba</t>
  </si>
  <si>
    <t>Número de Jornadas de socialización de la Ley del Primer Empleo</t>
  </si>
  <si>
    <t>Creación e implementación del Fondo de fomento del ingreso juvenil para el apoyo de iniciativas de emprendimiento y empresarialidad juvenil</t>
  </si>
  <si>
    <t>Fondo de fomento del ingreso juvenil creado e implementado</t>
  </si>
  <si>
    <t>Numero de emprendimientos juveniles apoyados</t>
  </si>
  <si>
    <t>Apoyo a proyectos de Innovación juvenil</t>
  </si>
  <si>
    <t>Número de Estrategias de innovación para el desarrollo del emprendimiento y formación</t>
  </si>
  <si>
    <t xml:space="preserve">Número de Proyectos de innovación juvenil apoyados </t>
  </si>
  <si>
    <t>100% ( 1)</t>
  </si>
  <si>
    <t>Número de de acciones para gestionar proyectos de superación de la pobreza extrema y mitigación del riesgo</t>
  </si>
  <si>
    <t>Total</t>
  </si>
  <si>
    <t>EDUCACION CON CALIDAD PARA LA PROSPERIDAD DE CORDOBA</t>
  </si>
  <si>
    <t>SALUD EFICIENTE CON TRANSPARENCIA Y SIN CORRPUCIÓN</t>
  </si>
  <si>
    <t>Garantizar la prestación de un servicio de calidad a la población del departamento, mediante el aseguramiento, la promoción, la prevención y la implementación de herramientas de salud pública en intervenciones colectivas</t>
  </si>
  <si>
    <t>Promover acciones orientadas a reconocer a los discapacitados como personas capaces de participar en los procesos sociales, educativos y productivos del Departamento.</t>
  </si>
  <si>
    <t>Córdoba ambientalmente sostenible</t>
  </si>
  <si>
    <t>Promover en los municipios del departamento de Córdoba la formulación y puesta en marcha de los programas encaminados a orientar el uso y manejo sostenible del suelo y la protección y conservación de los cuerpos de agua y zonas costeras.</t>
  </si>
  <si>
    <t>Seguridad, orden público y convivencia</t>
  </si>
  <si>
    <t>EJE:</t>
  </si>
  <si>
    <t>BUEN GOBIERNO PARA LA EFICIENCIA ADMINISTRATIVA Y LA TRANSPARENCIA</t>
  </si>
  <si>
    <t>Recreación y deporte, para la salud, la competencia y la sana convivencia</t>
  </si>
  <si>
    <t>Apoyar la práctica del deporte a nivel competitivo y recreativo de departamento como herramienta de mejora de la calidad de vida</t>
  </si>
  <si>
    <t>Córdoba productiva, emporio de riqueza agroindustrial y comercial</t>
  </si>
  <si>
    <t>Vivienda con entorno social y saludable para los cordobeses</t>
  </si>
  <si>
    <t>Reducir el déficit habitacional en el Departamento de Córdoba.</t>
  </si>
  <si>
    <t>Generación y fortalecimiento del empleo productivo</t>
  </si>
  <si>
    <t>Ayudar al desarrollo de la competitividad del Departamento y erradicación de la pobreza mediante el mejoramiento vial Departamental de vías secundarias que sirvan de corredores para el comercio de los productos y servicios producidos; aumento de cobertura y usuarios en acueducto y saneamiento básico en población rural y urbana y la implementación de un sistema de alertas en las principales cuencas hídricas del Departamento.</t>
  </si>
  <si>
    <t>Administrar la prestación del servicio educativo a partir de un modelo gerencial que posibilite el logro de la excelencia en el marco de una atención integral orientada al mejoramiento de la calidad educativa, disminución de las brechas de acceso y permanencia, incorporación de innovación y educación con pertinencia produciendo una generación con capacidad para afrontar de manera eficiente y eficaz las necesidades de técnicos y profesionales que requiere el departamento de Córdoba</t>
  </si>
  <si>
    <t>Trabajar en el aumento de calidad del servicio de salud en el Departamento, contribuyendo a que las víctimas del conflicto tengan acceso al sistema de seguridad social en salud y en la elaboración de estrategias que ayuden a la mejora de la eficiencia en la prestación del servicio a los Cordobeses. El eje tendrá un importante enfoque en la atención de emergencias y desastres, en especial los ocasionados por obra de la naturaleza y en la universalidad en las campañas de promoción social en salud; en torno a las principales enfermedades que intervienen en la salud pública, se buscará la disminución de la incidencia de las enfermedades crónicas. Todas las acciones anteriores tendrán un énfasis en la innovación en la prestación del servicio y en la incorporación de tecnología</t>
  </si>
  <si>
    <t>DESCRIPCION DEL  EJE</t>
  </si>
  <si>
    <t>DESCRIPCION DEL EJE</t>
  </si>
  <si>
    <t>DESCRIPCION DE EJE:</t>
  </si>
  <si>
    <t>Apoyar la construcción y adecuación o reparación de soluciones de vivienda dignas para la población vulnerable de Córdoba. Reconocer el aporte a la sociedad de personalidades o dignatarias del Departamento y ser corresponsales con las contribuciones de antaño dadas mediante la vivienda.</t>
  </si>
  <si>
    <t>DESCRIPCION DEL EJE:</t>
  </si>
  <si>
    <t>Acompañar y elaborar actividades que fomenten la recreación y el deporte a los adultos mayores, jóvenes y niños del Departamento e incentivar los logros de los atletas de alto rendimiento y selecciones federativas en el concierto nacional e internacional</t>
  </si>
  <si>
    <t>Contribuir al mejoramiento de las condiciones de poblaciones vulnerables como mujer, niños, adolescentes y adultos mayores en actividades de exigibilidad de sus derechos mediante la implementación y divulgación de políticas públicas diferenciales y de articulación de políticas Nacionales y Municipales</t>
  </si>
  <si>
    <t>Fomentar e impulsar la creación y fortalecimiento de espacios de participación para jóvenes como estrategia de construcción de la ciudadanía y de valores democráticos. Creación de oportunidades de empleo y emprendimiento juvenil</t>
  </si>
  <si>
    <t>Creación de soluciones tangibles para familias y personas en condición de discapacidad física o cognitiva; en especial aquellas que se encuentran en situación de vulnerabilidad social o pobreza extrema</t>
  </si>
  <si>
    <t>Abordar las diferentes ópticas culturales y artísticas del Departamento, con respeto hacia las diferencias étnicas, culturales y sexuales que enriquecen el acervo cultural. Dentro de este eje, se tendrán en cuenta el fortalecimiento del Sistema Departamental de Cultura como espacio de difusión y promoción de las diferentes expresiones; se tendrá especial atención a la gestión para la remodelación de los elementos inmuebles culturales estratégicos del Departamento y la construcción de parques temáticos que representen expresiones tan representativas como el porro y el sombrero Zenú. Por último, se creará un plan de incentivos a los artistas dentro de la normatividad para el aseguramiento de la seguridad social</t>
  </si>
  <si>
    <t>Generación de herramientas para que el sector agropecuario pueda ser competitivo, en especial para pequeños y medianos industriales del aparato productivo Departamental; desarrollo de un Plan de Ordenamiento Minero que defina las líneas generales de intervención con base en la identificación de los problemas que la minería presenta en el Departamento. Desarrollo de acciones turísticas para promoción del Departamento.</t>
  </si>
  <si>
    <t>Articulación de acciones con los Municipios del Departamento en la protección y conservación de los recursos naturales, en especial del recurso hídrico, la prevención y mitigación del riesgo y en la planificación del uso del suelo mediante la reglamentación de los planes de ordenamiento territorial</t>
  </si>
  <si>
    <t>Articular la estrategia de seguridad en el Departamento mediante el apoyo a la fuerza pública establecida así como desarrollar la oferta pública de atención a las víctimas del conflicto. Creación de estrategias de desarrollo comunitario para fortalecimiento de juntas de acción comunal y fortalecimiento de organizaciones de minorías étnicas y culturales</t>
  </si>
  <si>
    <t>La generación de empleo en el departamento depende en gran medida de la reactivación agroindustrial y del autoempleo mediante el fomento a la creación de micro y pequeñas empresas principalmente. Se busca mediante este eje, la generación de espacios de creación de empleo a la población de Córdoba, con un énfasis especial hacia la mujer</t>
  </si>
  <si>
    <t>Compilación de herramientas de buen gobierno y eficiencia administrativa en la administración de la correcta asignación de los recursos y en la sistematización de los procesos de recaudo de impuestos</t>
  </si>
  <si>
    <t>Apoyo al Consejo Territorial de Planeación</t>
  </si>
  <si>
    <t>Número de apoyos al Consejo Territorial de Planeación</t>
  </si>
  <si>
    <t>Departamento Administrativo de Planeación</t>
  </si>
  <si>
    <t xml:space="preserve">Proyecto de Vivienda de Interes Social Urbana denominado "Urbanizacion Villa Melisa" Municipio de Monteria, Departamento de Cordoba. </t>
  </si>
  <si>
    <t>Numero de Viviendas construidas Urbanizacion Villa Melisa</t>
  </si>
  <si>
    <t>DAP Direccion Tenica de Vivienda</t>
  </si>
  <si>
    <t>Apoyo a la estructuracion y formulacion de proyectos de Vivienda de Interes Social Urbana y rural en el Departamento de Cordoba</t>
  </si>
  <si>
    <t xml:space="preserve">Numero de apoyos para el acompañamiento a los programas de Vivienda de Interes Social y Urbana </t>
  </si>
  <si>
    <t>META DE PRODUCTO POR AÑO</t>
  </si>
  <si>
    <t>Número de centros de desarrollo infantil apoyados y creados</t>
  </si>
  <si>
    <t>AREA PRIMERA INFANCIA- EDUCACIÓN</t>
  </si>
  <si>
    <t>METAS RESULTADOCUATRIENIO 2012-2015 (%)</t>
  </si>
  <si>
    <t>VALOR ESPERADO 2012</t>
  </si>
  <si>
    <t>VALOR ESPERADO 2013</t>
  </si>
  <si>
    <t>VALOR ESPERADO 2014</t>
  </si>
  <si>
    <t>JUVENTUD PARTICPATIVA, RESPONSABLE Y DINÁMICA</t>
  </si>
  <si>
    <t xml:space="preserve">OBJETIVO : </t>
  </si>
  <si>
    <t>Incrementar el desarrollo tecnológico en los procesos productivos, reorientando la explotación de los recursos naturales, para dinamizar el desarrollo económico y turístico del Departamento.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</si>
</sst>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 #,##0\ _€_-;\-* #,##0\ _€_-;_-* &quot;-&quot;??\ _€_-;_-@_-"/>
    <numFmt numFmtId="174" formatCode="_ * #,##0.00_ ;_ * \-#,##0.00_ ;_ * &quot;-&quot;??_ ;_ @_ "/>
    <numFmt numFmtId="175" formatCode="_ * #,##0.00000_ ;_ * \-#,##0.00000_ ;_ * &quot;-&quot;??_ ;_ @_ "/>
    <numFmt numFmtId="176" formatCode="_ * #,##0_ ;_ * \-#,##0_ ;_ * &quot;-&quot;??_ ;_ @_ "/>
    <numFmt numFmtId="177" formatCode="_ * #,##0.0_ ;_ * \-#,##0.0_ ;_ * &quot;-&quot;??_ ;_ @_ "/>
    <numFmt numFmtId="178" formatCode="#,##0.0"/>
    <numFmt numFmtId="179" formatCode="0.0%"/>
    <numFmt numFmtId="180" formatCode="_(&quot;$&quot;\ * #,##0_);_(&quot;$&quot;\ * \(#,##0\);_(&quot;$&quot;\ * &quot;-&quot;??_);_(@_)"/>
    <numFmt numFmtId="181" formatCode="0.0"/>
    <numFmt numFmtId="182" formatCode="_(* #,##0.0_);_(* \(#,##0.0\);_(* &quot;-&quot;??_);_(@_)"/>
  </numFmts>
  <fonts count="146">
    <font>
      <sz val="11"/>
      <color theme="1"/>
      <name val="Calibri"/>
      <family val="2"/>
    </font>
    <font>
      <sz val="11"/>
      <color indexed="8"/>
      <name val="Calibri"/>
      <family val="2"/>
    </font>
    <font>
      <b/>
      <sz val="7"/>
      <name val="Calibri"/>
      <family val="2"/>
    </font>
    <font>
      <sz val="7"/>
      <name val="Calibri"/>
      <family val="2"/>
    </font>
    <font>
      <b/>
      <sz val="16"/>
      <name val="Arial"/>
      <family val="2"/>
    </font>
    <font>
      <b/>
      <sz val="7"/>
      <name val="Arial"/>
      <family val="2"/>
    </font>
    <font>
      <sz val="10"/>
      <color indexed="8"/>
      <name val="Arial"/>
      <family val="2"/>
    </font>
    <font>
      <sz val="8"/>
      <color indexed="8"/>
      <name val="Arial"/>
      <family val="2"/>
    </font>
    <font>
      <sz val="8"/>
      <name val="Arial"/>
      <family val="2"/>
    </font>
    <font>
      <b/>
      <sz val="10"/>
      <name val="Calibri"/>
      <family val="2"/>
    </font>
    <font>
      <b/>
      <sz val="8"/>
      <name val="Calibri"/>
      <family val="2"/>
    </font>
    <font>
      <sz val="11"/>
      <name val="Arial"/>
      <family val="2"/>
    </font>
    <font>
      <sz val="9"/>
      <name val="Arial"/>
      <family val="2"/>
    </font>
    <font>
      <sz val="10"/>
      <name val="Arial"/>
      <family val="2"/>
    </font>
    <font>
      <sz val="10"/>
      <color indexed="44"/>
      <name val="Arial"/>
      <family val="2"/>
    </font>
    <font>
      <sz val="10"/>
      <color indexed="62"/>
      <name val="Arial"/>
      <family val="2"/>
    </font>
    <font>
      <sz val="10"/>
      <color indexed="60"/>
      <name val="Arial"/>
      <family val="2"/>
    </font>
    <font>
      <sz val="14"/>
      <name val="Calibri"/>
      <family val="2"/>
    </font>
    <font>
      <b/>
      <sz val="12"/>
      <name val="Calibri"/>
      <family val="2"/>
    </font>
    <font>
      <sz val="10"/>
      <name val="Calibri"/>
      <family val="2"/>
    </font>
    <font>
      <sz val="7"/>
      <color indexed="56"/>
      <name val="Cambria"/>
      <family val="1"/>
    </font>
    <font>
      <b/>
      <sz val="8"/>
      <color indexed="8"/>
      <name val="Arial"/>
      <family val="2"/>
    </font>
    <font>
      <b/>
      <sz val="11"/>
      <name val="Arial"/>
      <family val="2"/>
    </font>
    <font>
      <b/>
      <sz val="10"/>
      <name val="Arial"/>
      <family val="2"/>
    </font>
    <font>
      <b/>
      <sz val="8"/>
      <name val="Arial"/>
      <family val="2"/>
    </font>
    <font>
      <sz val="11"/>
      <color indexed="8"/>
      <name val="Arial"/>
      <family val="2"/>
    </font>
    <font>
      <b/>
      <sz val="8"/>
      <color indexed="9"/>
      <name val="Arial"/>
      <family val="2"/>
    </font>
    <font>
      <b/>
      <sz val="8"/>
      <name val="Tahoma"/>
      <family val="2"/>
    </font>
    <font>
      <sz val="8"/>
      <name val="Tahoma"/>
      <family val="2"/>
    </font>
    <font>
      <b/>
      <sz val="9"/>
      <name val="Tahoma"/>
      <family val="2"/>
    </font>
    <font>
      <sz val="9"/>
      <name val="Tahoma"/>
      <family val="2"/>
    </font>
    <font>
      <sz val="8"/>
      <color indexed="56"/>
      <name val="Cambria"/>
      <family val="1"/>
    </font>
    <font>
      <b/>
      <sz val="7"/>
      <color indexed="56"/>
      <name val="Cambria"/>
      <family val="1"/>
    </font>
    <font>
      <sz val="10"/>
      <name val="Tahoma"/>
      <family val="2"/>
    </font>
    <font>
      <b/>
      <sz val="10"/>
      <name val="Tahoma"/>
      <family val="2"/>
    </font>
    <font>
      <b/>
      <sz val="12"/>
      <name val="Arial"/>
      <family val="2"/>
    </font>
    <font>
      <b/>
      <sz val="9"/>
      <name val="Calibri"/>
      <family val="2"/>
    </font>
    <font>
      <sz val="9"/>
      <name val="Calibri"/>
      <family val="2"/>
    </font>
    <font>
      <sz val="11"/>
      <name val="Calibri"/>
      <family val="2"/>
    </font>
    <font>
      <b/>
      <sz val="5"/>
      <name val="Calibri"/>
      <family val="2"/>
    </font>
    <font>
      <sz val="8"/>
      <name val="Calibri"/>
      <family val="2"/>
    </font>
    <font>
      <b/>
      <sz val="9"/>
      <color indexed="9"/>
      <name val="Calibri"/>
      <family val="2"/>
    </font>
    <font>
      <b/>
      <sz val="7"/>
      <color indexed="9"/>
      <name val="Calibri"/>
      <family val="2"/>
    </font>
    <font>
      <sz val="9"/>
      <color indexed="8"/>
      <name val="Arial"/>
      <family val="2"/>
    </font>
    <font>
      <sz val="8"/>
      <color indexed="8"/>
      <name val="Calibri"/>
      <family val="2"/>
    </font>
    <font>
      <sz val="11"/>
      <color indexed="10"/>
      <name val="Calibri"/>
      <family val="2"/>
    </font>
    <font>
      <sz val="10"/>
      <color indexed="10"/>
      <name val="Arial"/>
      <family val="2"/>
    </font>
    <font>
      <sz val="14"/>
      <color indexed="10"/>
      <name val="Calibri"/>
      <family val="2"/>
    </font>
    <font>
      <b/>
      <sz val="11"/>
      <color indexed="8"/>
      <name val="Calibri"/>
      <family val="2"/>
    </font>
    <font>
      <sz val="7"/>
      <color indexed="8"/>
      <name val="Calibri"/>
      <family val="2"/>
    </font>
    <font>
      <sz val="7"/>
      <color indexed="8"/>
      <name val="Arial"/>
      <family val="2"/>
    </font>
    <font>
      <b/>
      <sz val="7"/>
      <color indexed="8"/>
      <name val="Calibri"/>
      <family val="2"/>
    </font>
    <font>
      <b/>
      <sz val="7"/>
      <color indexed="8"/>
      <name val="Arial"/>
      <family val="2"/>
    </font>
    <font>
      <b/>
      <sz val="11"/>
      <color indexed="8"/>
      <name val="Arial"/>
      <family val="2"/>
    </font>
    <font>
      <b/>
      <sz val="11"/>
      <name val="Calibri"/>
      <family val="2"/>
    </font>
    <font>
      <b/>
      <sz val="8"/>
      <color indexed="8"/>
      <name val="Calibri"/>
      <family val="2"/>
    </font>
    <font>
      <sz val="7"/>
      <color indexed="63"/>
      <name val="Cambria"/>
      <family val="1"/>
    </font>
    <font>
      <sz val="8"/>
      <color indexed="10"/>
      <name val="Arial"/>
      <family val="2"/>
    </font>
    <font>
      <b/>
      <sz val="10"/>
      <color indexed="8"/>
      <name val="Arial"/>
      <family val="2"/>
    </font>
    <font>
      <b/>
      <sz val="7"/>
      <color indexed="63"/>
      <name val="Cambria"/>
      <family val="1"/>
    </font>
    <font>
      <sz val="7"/>
      <color indexed="63"/>
      <name val="Calibri"/>
      <family val="2"/>
    </font>
    <font>
      <sz val="7"/>
      <color indexed="10"/>
      <name val="Calibri"/>
      <family val="2"/>
    </font>
    <font>
      <sz val="7"/>
      <color indexed="8"/>
      <name val="Cambria"/>
      <family val="1"/>
    </font>
    <font>
      <b/>
      <sz val="9"/>
      <color indexed="9"/>
      <name val="Arial"/>
      <family val="2"/>
    </font>
    <font>
      <sz val="11"/>
      <color indexed="9"/>
      <name val="Calibri"/>
      <family val="2"/>
    </font>
    <font>
      <b/>
      <sz val="7"/>
      <color indexed="10"/>
      <name val="Calibri"/>
      <family val="2"/>
    </font>
    <font>
      <b/>
      <sz val="8"/>
      <color indexed="9"/>
      <name val="Calibri"/>
      <family val="2"/>
    </font>
    <font>
      <sz val="8"/>
      <color indexed="9"/>
      <name val="Calibri"/>
      <family val="2"/>
    </font>
    <font>
      <b/>
      <sz val="9"/>
      <color indexed="8"/>
      <name val="Calibri"/>
      <family val="2"/>
    </font>
    <font>
      <b/>
      <sz val="12"/>
      <color indexed="8"/>
      <name val="Calibri"/>
      <family val="2"/>
    </font>
    <font>
      <sz val="8"/>
      <color indexed="9"/>
      <name val="Arial"/>
      <family val="2"/>
    </font>
    <font>
      <sz val="9"/>
      <color indexed="8"/>
      <name val="Calibri"/>
      <family val="2"/>
    </font>
    <font>
      <sz val="5"/>
      <color indexed="8"/>
      <name val="Arial"/>
      <family val="2"/>
    </font>
    <font>
      <sz val="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Calibri"/>
      <family val="2"/>
    </font>
    <font>
      <sz val="10"/>
      <color rgb="FF000000"/>
      <name val="Arial"/>
      <family val="2"/>
    </font>
    <font>
      <sz val="9"/>
      <color rgb="FF000000"/>
      <name val="Arial"/>
      <family val="2"/>
    </font>
    <font>
      <sz val="8"/>
      <color rgb="FF000000"/>
      <name val="Arial"/>
      <family val="2"/>
    </font>
    <font>
      <sz val="11"/>
      <color rgb="FF000000"/>
      <name val="Arial"/>
      <family val="2"/>
    </font>
    <font>
      <sz val="8"/>
      <color theme="1"/>
      <name val="Arial"/>
      <family val="2"/>
    </font>
    <font>
      <sz val="8"/>
      <color theme="1"/>
      <name val="Calibri"/>
      <family val="2"/>
    </font>
    <font>
      <sz val="10"/>
      <color theme="1"/>
      <name val="Arial"/>
      <family val="2"/>
    </font>
    <font>
      <sz val="10"/>
      <color rgb="FFFF0000"/>
      <name val="Arial"/>
      <family val="2"/>
    </font>
    <font>
      <sz val="9"/>
      <color theme="1"/>
      <name val="Arial"/>
      <family val="2"/>
    </font>
    <font>
      <sz val="14"/>
      <color rgb="FFFF0000"/>
      <name val="Calibri"/>
      <family val="2"/>
    </font>
    <font>
      <sz val="7"/>
      <color theme="1"/>
      <name val="Calibri"/>
      <family val="2"/>
    </font>
    <font>
      <sz val="7"/>
      <color rgb="FF000000"/>
      <name val="Arial"/>
      <family val="2"/>
    </font>
    <font>
      <b/>
      <sz val="7"/>
      <color theme="1"/>
      <name val="Calibri"/>
      <family val="2"/>
    </font>
    <font>
      <b/>
      <sz val="8"/>
      <color rgb="FF000000"/>
      <name val="Arial"/>
      <family val="2"/>
    </font>
    <font>
      <b/>
      <sz val="7"/>
      <color rgb="FF000000"/>
      <name val="Arial"/>
      <family val="2"/>
    </font>
    <font>
      <b/>
      <sz val="11"/>
      <color rgb="FF000000"/>
      <name val="Arial"/>
      <family val="2"/>
    </font>
    <font>
      <b/>
      <sz val="8"/>
      <color theme="1"/>
      <name val="Calibri"/>
      <family val="2"/>
    </font>
    <font>
      <sz val="7"/>
      <color theme="1" tint="0.15000000596046448"/>
      <name val="Cambria"/>
      <family val="1"/>
    </font>
    <font>
      <sz val="11"/>
      <color theme="1"/>
      <name val="Arial"/>
      <family val="2"/>
    </font>
    <font>
      <sz val="8"/>
      <color rgb="FFFF0000"/>
      <name val="Arial"/>
      <family val="2"/>
    </font>
    <font>
      <b/>
      <sz val="8"/>
      <color rgb="FFFFFFFF"/>
      <name val="Arial"/>
      <family val="2"/>
    </font>
    <font>
      <b/>
      <sz val="10"/>
      <color rgb="FF000000"/>
      <name val="Arial"/>
      <family val="2"/>
    </font>
    <font>
      <b/>
      <sz val="7"/>
      <color theme="1" tint="0.15000000596046448"/>
      <name val="Cambria"/>
      <family val="1"/>
    </font>
    <font>
      <sz val="7"/>
      <color theme="1" tint="0.15000000596046448"/>
      <name val="Calibri"/>
      <family val="2"/>
    </font>
    <font>
      <sz val="7"/>
      <color rgb="FFFF0000"/>
      <name val="Calibri"/>
      <family val="2"/>
    </font>
    <font>
      <sz val="7"/>
      <color theme="1"/>
      <name val="Cambria"/>
      <family val="1"/>
    </font>
    <font>
      <b/>
      <sz val="9"/>
      <color rgb="FFFFFFFF"/>
      <name val="Arial"/>
      <family val="2"/>
    </font>
    <font>
      <b/>
      <sz val="7"/>
      <color rgb="FFFF0000"/>
      <name val="Calibri"/>
      <family val="2"/>
    </font>
    <font>
      <b/>
      <sz val="8"/>
      <color theme="0"/>
      <name val="Calibri"/>
      <family val="2"/>
    </font>
    <font>
      <sz val="8"/>
      <color theme="0"/>
      <name val="Calibri"/>
      <family val="2"/>
    </font>
    <font>
      <b/>
      <sz val="9"/>
      <color theme="1"/>
      <name val="Calibri"/>
      <family val="2"/>
    </font>
    <font>
      <b/>
      <sz val="9"/>
      <color theme="0"/>
      <name val="Calibri"/>
      <family val="2"/>
    </font>
    <font>
      <b/>
      <sz val="9"/>
      <color theme="0"/>
      <name val="Arial"/>
      <family val="2"/>
    </font>
    <font>
      <b/>
      <sz val="8"/>
      <color theme="0"/>
      <name val="Arial"/>
      <family val="2"/>
    </font>
    <font>
      <b/>
      <sz val="12"/>
      <color theme="1"/>
      <name val="Calibri"/>
      <family val="2"/>
    </font>
    <font>
      <b/>
      <sz val="8"/>
      <color rgb="FFFFFFFF"/>
      <name val="Calibri"/>
      <family val="2"/>
    </font>
    <font>
      <sz val="8"/>
      <color rgb="FFFFFFFF"/>
      <name val="Arial"/>
      <family val="2"/>
    </font>
    <font>
      <sz val="5"/>
      <color rgb="FF000000"/>
      <name val="Arial"/>
      <family val="2"/>
    </font>
    <font>
      <sz val="5"/>
      <color theme="1"/>
      <name val="Calibri"/>
      <family val="2"/>
    </font>
    <font>
      <sz val="9"/>
      <color theme="1"/>
      <name val="Calibri"/>
      <family val="2"/>
    </font>
    <font>
      <sz val="7"/>
      <color theme="1" tint="0.04998999834060669"/>
      <name val="Calibri"/>
      <family val="2"/>
    </font>
    <font>
      <b/>
      <sz val="8"/>
      <color theme="1" tint="0.04998999834060669"/>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FFFFFF"/>
        <bgColor indexed="64"/>
      </patternFill>
    </fill>
    <fill>
      <patternFill patternType="solid">
        <fgColor indexed="9"/>
        <bgColor indexed="64"/>
      </patternFill>
    </fill>
    <fill>
      <patternFill patternType="solid">
        <fgColor theme="6" tint="-0.24997000396251678"/>
        <bgColor indexed="64"/>
      </patternFill>
    </fill>
    <fill>
      <patternFill patternType="solid">
        <fgColor theme="2"/>
        <bgColor indexed="64"/>
      </patternFill>
    </fill>
    <fill>
      <patternFill patternType="solid">
        <fgColor theme="2" tint="-0.24997000396251678"/>
        <bgColor indexed="64"/>
      </patternFill>
    </fill>
    <fill>
      <patternFill patternType="solid">
        <fgColor rgb="FFFFC000"/>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2" tint="-0.24993999302387238"/>
        <bgColor indexed="64"/>
      </patternFill>
    </fill>
    <fill>
      <patternFill patternType="solid">
        <fgColor theme="9" tint="0.3999499976634979"/>
        <bgColor indexed="64"/>
      </patternFill>
    </fill>
    <fill>
      <patternFill patternType="solid">
        <fgColor theme="6" tint="0.3999499976634979"/>
        <bgColor indexed="64"/>
      </patternFill>
    </fill>
    <fill>
      <patternFill patternType="solid">
        <fgColor theme="7" tint="0.5999600291252136"/>
        <bgColor indexed="64"/>
      </patternFill>
    </fill>
    <fill>
      <patternFill patternType="solid">
        <fgColor theme="8" tint="0.3999499976634979"/>
        <bgColor indexed="64"/>
      </patternFill>
    </fill>
    <fill>
      <patternFill patternType="solid">
        <fgColor indexed="56"/>
        <bgColor indexed="64"/>
      </patternFill>
    </fill>
    <fill>
      <patternFill patternType="solid">
        <fgColor theme="3"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style="thin"/>
      <bottom/>
    </border>
    <border>
      <left/>
      <right style="thin"/>
      <top style="thin"/>
      <bottom/>
    </border>
    <border>
      <left style="thin"/>
      <right style="thin"/>
      <top/>
      <bottom style="thin"/>
    </border>
    <border>
      <left style="thin"/>
      <right/>
      <top/>
      <bottom/>
    </border>
    <border>
      <left/>
      <right style="thin"/>
      <top style="thin"/>
      <bottom style="thin"/>
    </border>
    <border>
      <left/>
      <right style="thin"/>
      <top/>
      <bottom style="thin"/>
    </border>
    <border>
      <left style="thin"/>
      <right/>
      <top style="thin"/>
      <bottom style="thin"/>
    </border>
    <border>
      <left/>
      <right style="thin"/>
      <top/>
      <bottom/>
    </border>
    <border>
      <left style="thin"/>
      <right/>
      <top style="thin"/>
      <bottom/>
    </border>
    <border>
      <left/>
      <right/>
      <top style="thin"/>
      <bottom style="thin"/>
    </border>
    <border>
      <left style="medium"/>
      <right/>
      <top/>
      <bottom style="thin"/>
    </border>
    <border>
      <left/>
      <right/>
      <top/>
      <bottom style="thin"/>
    </border>
    <border>
      <left/>
      <right style="medium"/>
      <top/>
      <bottom style="thin"/>
    </border>
    <border>
      <left/>
      <right style="medium"/>
      <top/>
      <bottom/>
    </border>
    <border>
      <left style="thin"/>
      <right/>
      <top/>
      <bottom style="thin"/>
    </border>
    <border>
      <left style="thin"/>
      <right style="thin"/>
      <top style="thin"/>
      <bottom style="medium"/>
    </border>
    <border>
      <left style="thin"/>
      <right style="thin"/>
      <top style="medium"/>
      <bottom style="thin"/>
    </border>
    <border>
      <left/>
      <right style="thin"/>
      <top style="thin"/>
      <bottom style="medium"/>
    </border>
    <border>
      <left style="thin"/>
      <right/>
      <top style="thin"/>
      <bottom style="medium"/>
    </border>
    <border>
      <left style="thin"/>
      <right style="thin"/>
      <top style="medium"/>
      <bottom/>
    </border>
    <border>
      <left/>
      <right style="thin"/>
      <top style="medium"/>
      <bottom style="thin"/>
    </border>
    <border>
      <left/>
      <right/>
      <top style="medium"/>
      <bottom/>
    </border>
    <border>
      <left/>
      <right style="medium"/>
      <top style="medium"/>
      <bottom/>
    </border>
    <border>
      <left/>
      <right style="thin"/>
      <top style="medium"/>
      <bottom/>
    </border>
    <border>
      <left style="thin"/>
      <right style="thin"/>
      <top style="medium"/>
      <bottom style="medium"/>
    </border>
    <border>
      <left/>
      <right style="thin"/>
      <top style="medium"/>
      <bottom style="medium"/>
    </border>
    <border>
      <left/>
      <right/>
      <top/>
      <bottom style="medium"/>
    </border>
    <border>
      <left/>
      <right style="medium"/>
      <top style="thin"/>
      <bottom/>
    </border>
    <border>
      <left style="medium"/>
      <right/>
      <top style="thin"/>
      <bottom>
        <color indexed="63"/>
      </bottom>
    </border>
    <border>
      <left style="medium"/>
      <right style="thin"/>
      <top style="thin"/>
      <bottom>
        <color indexed="63"/>
      </bottom>
    </border>
    <border>
      <left style="medium"/>
      <right style="thin"/>
      <top>
        <color indexed="63"/>
      </top>
      <bottom style="thin"/>
    </border>
    <border>
      <left style="medium"/>
      <right/>
      <top/>
      <bottom/>
    </border>
    <border>
      <left style="thin"/>
      <right style="thin"/>
      <top/>
      <bottom style="mediu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3" fillId="29" borderId="1" applyNumberFormat="0" applyAlignment="0" applyProtection="0"/>
    <xf numFmtId="0" fontId="9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6" fillId="21" borderId="5"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0" borderId="7" applyNumberFormat="0" applyFill="0" applyAlignment="0" applyProtection="0"/>
    <xf numFmtId="0" fontId="92" fillId="0" borderId="8" applyNumberFormat="0" applyFill="0" applyAlignment="0" applyProtection="0"/>
    <xf numFmtId="0" fontId="102" fillId="0" borderId="9" applyNumberFormat="0" applyFill="0" applyAlignment="0" applyProtection="0"/>
  </cellStyleXfs>
  <cellXfs count="2355">
    <xf numFmtId="0" fontId="0" fillId="0" borderId="0" xfId="0" applyFont="1" applyAlignment="1">
      <alignment/>
    </xf>
    <xf numFmtId="0" fontId="2" fillId="0" borderId="10" xfId="0" applyFont="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xf>
    <xf numFmtId="0" fontId="2" fillId="0" borderId="0" xfId="0" applyFont="1" applyAlignment="1">
      <alignment horizontal="left"/>
    </xf>
    <xf numFmtId="0" fontId="103" fillId="33" borderId="11" xfId="0" applyFont="1" applyFill="1" applyBorder="1" applyAlignment="1">
      <alignment horizontal="center" vertical="center" wrapText="1"/>
    </xf>
    <xf numFmtId="0" fontId="103" fillId="33" borderId="11" xfId="0" applyFont="1" applyFill="1" applyBorder="1" applyAlignment="1">
      <alignment horizontal="center" wrapText="1"/>
    </xf>
    <xf numFmtId="0" fontId="103"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0" fillId="0" borderId="10" xfId="0" applyBorder="1" applyAlignment="1">
      <alignment/>
    </xf>
    <xf numFmtId="9" fontId="104" fillId="0" borderId="10" xfId="0" applyNumberFormat="1" applyFont="1" applyBorder="1" applyAlignment="1">
      <alignment horizontal="center" wrapText="1"/>
    </xf>
    <xf numFmtId="0" fontId="105" fillId="0" borderId="10" xfId="0" applyFont="1" applyBorder="1" applyAlignment="1">
      <alignment horizontal="center" vertical="top" wrapText="1"/>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105" fillId="0" borderId="10" xfId="0" applyFont="1" applyBorder="1" applyAlignment="1">
      <alignment horizontal="justify" wrapText="1"/>
    </xf>
    <xf numFmtId="0" fontId="106" fillId="0" borderId="15" xfId="0" applyFont="1" applyBorder="1" applyAlignment="1">
      <alignment wrapText="1"/>
    </xf>
    <xf numFmtId="0" fontId="106" fillId="0" borderId="10" xfId="0" applyFont="1" applyBorder="1" applyAlignment="1">
      <alignment wrapText="1"/>
    </xf>
    <xf numFmtId="0" fontId="0" fillId="0" borderId="16" xfId="0" applyBorder="1" applyAlignment="1">
      <alignment horizontal="center"/>
    </xf>
    <xf numFmtId="0" fontId="105" fillId="34" borderId="10" xfId="0" applyFont="1" applyFill="1" applyBorder="1" applyAlignment="1">
      <alignment horizontal="justify" wrapText="1"/>
    </xf>
    <xf numFmtId="0" fontId="107" fillId="0" borderId="0" xfId="0" applyFont="1" applyBorder="1" applyAlignment="1">
      <alignment vertical="top" wrapText="1"/>
    </xf>
    <xf numFmtId="0" fontId="105" fillId="34" borderId="10" xfId="0" applyFont="1" applyFill="1" applyBorder="1" applyAlignment="1">
      <alignment wrapText="1"/>
    </xf>
    <xf numFmtId="0" fontId="104" fillId="34" borderId="10" xfId="0" applyFont="1" applyFill="1" applyBorder="1" applyAlignment="1">
      <alignment horizontal="justify" wrapText="1"/>
    </xf>
    <xf numFmtId="0" fontId="104" fillId="34" borderId="10" xfId="0" applyFont="1" applyFill="1" applyBorder="1" applyAlignment="1">
      <alignment wrapText="1"/>
    </xf>
    <xf numFmtId="0" fontId="106" fillId="34" borderId="10" xfId="0" applyFont="1" applyFill="1" applyBorder="1" applyAlignment="1">
      <alignment vertical="top" wrapText="1"/>
    </xf>
    <xf numFmtId="0" fontId="0" fillId="0" borderId="16" xfId="0" applyBorder="1" applyAlignment="1">
      <alignment/>
    </xf>
    <xf numFmtId="0" fontId="105" fillId="34" borderId="10" xfId="0" applyFont="1" applyFill="1" applyBorder="1" applyAlignment="1">
      <alignment vertical="top" wrapText="1"/>
    </xf>
    <xf numFmtId="0" fontId="108" fillId="34" borderId="10" xfId="0" applyFont="1" applyFill="1" applyBorder="1" applyAlignment="1">
      <alignment horizontal="center" vertical="top" wrapText="1"/>
    </xf>
    <xf numFmtId="0" fontId="106" fillId="34" borderId="10" xfId="0" applyFont="1" applyFill="1" applyBorder="1" applyAlignment="1">
      <alignment horizontal="center" vertical="top"/>
    </xf>
    <xf numFmtId="0" fontId="108" fillId="34" borderId="10" xfId="0" applyFont="1" applyFill="1" applyBorder="1" applyAlignment="1">
      <alignment vertical="top" wrapText="1"/>
    </xf>
    <xf numFmtId="0" fontId="104" fillId="34" borderId="10" xfId="0" applyFont="1" applyFill="1" applyBorder="1" applyAlignment="1">
      <alignment vertical="center" wrapText="1"/>
    </xf>
    <xf numFmtId="0" fontId="103" fillId="33" borderId="15" xfId="0" applyFont="1" applyFill="1" applyBorder="1" applyAlignment="1">
      <alignment horizontal="center" vertical="center" wrapText="1"/>
    </xf>
    <xf numFmtId="0" fontId="103" fillId="33" borderId="12" xfId="0" applyFont="1" applyFill="1" applyBorder="1" applyAlignment="1">
      <alignment horizontal="center" vertical="center" wrapText="1"/>
    </xf>
    <xf numFmtId="9" fontId="106" fillId="34" borderId="10" xfId="0" applyNumberFormat="1" applyFont="1" applyFill="1" applyBorder="1" applyAlignment="1">
      <alignment horizontal="center" vertical="top" wrapText="1"/>
    </xf>
    <xf numFmtId="0" fontId="109" fillId="0" borderId="15" xfId="0" applyFont="1" applyBorder="1" applyAlignment="1">
      <alignment/>
    </xf>
    <xf numFmtId="0" fontId="106" fillId="0" borderId="15" xfId="0" applyFont="1" applyBorder="1" applyAlignment="1">
      <alignment horizontal="justify" wrapText="1"/>
    </xf>
    <xf numFmtId="0" fontId="106" fillId="0" borderId="15" xfId="0" applyFont="1" applyBorder="1" applyAlignment="1">
      <alignment horizontal="center" wrapText="1"/>
    </xf>
    <xf numFmtId="9" fontId="106" fillId="0" borderId="15" xfId="0" applyNumberFormat="1" applyFont="1" applyBorder="1" applyAlignment="1">
      <alignment horizontal="center"/>
    </xf>
    <xf numFmtId="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wrapText="1"/>
    </xf>
    <xf numFmtId="3" fontId="13"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xf>
    <xf numFmtId="173" fontId="38" fillId="0" borderId="10" xfId="46" applyNumberFormat="1" applyFont="1" applyFill="1" applyBorder="1" applyAlignment="1">
      <alignment vertical="center"/>
    </xf>
    <xf numFmtId="0" fontId="38" fillId="0" borderId="10" xfId="0" applyFont="1" applyFill="1" applyBorder="1" applyAlignment="1">
      <alignment vertical="center" wrapText="1"/>
    </xf>
    <xf numFmtId="1" fontId="13"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wrapText="1"/>
    </xf>
    <xf numFmtId="1" fontId="38"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wrapText="1"/>
    </xf>
    <xf numFmtId="0" fontId="13" fillId="0" borderId="10" xfId="0" applyFont="1" applyFill="1" applyBorder="1" applyAlignment="1">
      <alignment wrapText="1"/>
    </xf>
    <xf numFmtId="173" fontId="13" fillId="0" borderId="10" xfId="46" applyNumberFormat="1" applyFont="1" applyFill="1" applyBorder="1" applyAlignment="1">
      <alignment horizontal="center" vertical="center" wrapText="1"/>
    </xf>
    <xf numFmtId="173" fontId="38" fillId="0" borderId="10" xfId="46" applyNumberFormat="1" applyFont="1" applyFill="1" applyBorder="1" applyAlignment="1">
      <alignment horizontal="center" vertical="center"/>
    </xf>
    <xf numFmtId="173" fontId="38" fillId="0" borderId="10" xfId="46" applyNumberFormat="1" applyFont="1" applyFill="1" applyBorder="1" applyAlignment="1">
      <alignment/>
    </xf>
    <xf numFmtId="0" fontId="13" fillId="0" borderId="10" xfId="0" applyFont="1" applyFill="1" applyBorder="1" applyAlignment="1">
      <alignment horizontal="center" vertical="center"/>
    </xf>
    <xf numFmtId="0" fontId="38" fillId="0" borderId="10" xfId="0" applyFont="1" applyFill="1" applyBorder="1" applyAlignment="1">
      <alignment/>
    </xf>
    <xf numFmtId="0" fontId="13" fillId="0" borderId="10" xfId="0" applyFont="1" applyFill="1" applyBorder="1" applyAlignment="1">
      <alignment horizontal="justify"/>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top" wrapText="1"/>
    </xf>
    <xf numFmtId="0" fontId="12"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173" fontId="0" fillId="0" borderId="10" xfId="46" applyNumberFormat="1" applyFont="1" applyBorder="1" applyAlignment="1">
      <alignment/>
    </xf>
    <xf numFmtId="0" fontId="103" fillId="35" borderId="10" xfId="0" applyFont="1" applyFill="1" applyBorder="1" applyAlignment="1">
      <alignment horizontal="left"/>
    </xf>
    <xf numFmtId="0" fontId="103" fillId="35" borderId="10" xfId="0" applyFont="1" applyFill="1" applyBorder="1" applyAlignment="1">
      <alignment horizontal="center" vertical="center" wrapText="1"/>
    </xf>
    <xf numFmtId="0" fontId="103" fillId="35" borderId="10" xfId="0" applyFont="1" applyFill="1" applyBorder="1" applyAlignment="1">
      <alignment vertical="center" wrapText="1"/>
    </xf>
    <xf numFmtId="0" fontId="103" fillId="35" borderId="10" xfId="0" applyFont="1" applyFill="1" applyBorder="1" applyAlignment="1">
      <alignment horizontal="center" wrapText="1"/>
    </xf>
    <xf numFmtId="173" fontId="103" fillId="35" borderId="10" xfId="46" applyNumberFormat="1" applyFont="1" applyFill="1" applyBorder="1" applyAlignment="1">
      <alignment vertical="center" wrapText="1"/>
    </xf>
    <xf numFmtId="173" fontId="103" fillId="35" borderId="10" xfId="46" applyNumberFormat="1" applyFont="1" applyFill="1" applyBorder="1" applyAlignment="1">
      <alignment horizontal="center" vertical="center" wrapText="1"/>
    </xf>
    <xf numFmtId="172" fontId="38" fillId="0" borderId="10" xfId="46" applyNumberFormat="1" applyFont="1" applyFill="1" applyBorder="1" applyAlignment="1">
      <alignment horizontal="center" vertical="center"/>
    </xf>
    <xf numFmtId="173" fontId="0" fillId="0" borderId="10" xfId="46" applyNumberFormat="1" applyFont="1" applyFill="1" applyBorder="1" applyAlignment="1">
      <alignment horizontal="right" vertical="center"/>
    </xf>
    <xf numFmtId="173" fontId="0" fillId="0" borderId="10" xfId="46" applyNumberFormat="1" applyFont="1" applyFill="1" applyBorder="1" applyAlignment="1">
      <alignment vertical="center"/>
    </xf>
    <xf numFmtId="9" fontId="110"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3" fontId="13" fillId="0" borderId="10" xfId="0" applyNumberFormat="1" applyFont="1" applyFill="1" applyBorder="1" applyAlignment="1">
      <alignment vertical="center" wrapText="1"/>
    </xf>
    <xf numFmtId="0" fontId="40" fillId="0" borderId="10" xfId="0" applyFont="1" applyFill="1" applyBorder="1" applyAlignment="1">
      <alignment vertical="center" wrapText="1"/>
    </xf>
    <xf numFmtId="172" fontId="13" fillId="0" borderId="10" xfId="46" applyNumberFormat="1" applyFont="1" applyFill="1" applyBorder="1" applyAlignment="1">
      <alignment vertical="center" wrapText="1"/>
    </xf>
    <xf numFmtId="173" fontId="97" fillId="0" borderId="10" xfId="46" applyNumberFormat="1" applyFont="1" applyFill="1" applyBorder="1" applyAlignment="1">
      <alignment vertical="center"/>
    </xf>
    <xf numFmtId="10" fontId="13" fillId="0" borderId="10" xfId="0" applyNumberFormat="1" applyFont="1" applyFill="1" applyBorder="1" applyAlignment="1">
      <alignment horizontal="center" vertical="center" wrapText="1"/>
    </xf>
    <xf numFmtId="1" fontId="38" fillId="0" borderId="10" xfId="52" applyNumberFormat="1" applyFont="1" applyFill="1" applyBorder="1" applyAlignment="1">
      <alignment horizontal="center" vertical="center"/>
    </xf>
    <xf numFmtId="1" fontId="13" fillId="0" borderId="10" xfId="52"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xf>
    <xf numFmtId="0" fontId="0" fillId="0" borderId="15" xfId="0" applyBorder="1" applyAlignment="1">
      <alignment/>
    </xf>
    <xf numFmtId="0" fontId="104" fillId="0" borderId="12" xfId="0" applyFont="1" applyBorder="1" applyAlignment="1">
      <alignment horizontal="center"/>
    </xf>
    <xf numFmtId="0" fontId="107" fillId="34" borderId="10" xfId="0" applyFont="1" applyFill="1" applyBorder="1" applyAlignment="1">
      <alignment horizontal="center" wrapText="1"/>
    </xf>
    <xf numFmtId="0" fontId="106" fillId="34" borderId="10" xfId="0" applyFont="1" applyFill="1" applyBorder="1" applyAlignment="1">
      <alignment horizontal="center" vertical="center" wrapText="1"/>
    </xf>
    <xf numFmtId="0" fontId="105" fillId="0" borderId="10" xfId="0" applyFont="1" applyBorder="1" applyAlignment="1">
      <alignment horizontal="center" wrapText="1"/>
    </xf>
    <xf numFmtId="0" fontId="104" fillId="0" borderId="10" xfId="0" applyFont="1" applyBorder="1" applyAlignment="1">
      <alignment horizontal="center"/>
    </xf>
    <xf numFmtId="0" fontId="104" fillId="0" borderId="10" xfId="0" applyFont="1" applyBorder="1" applyAlignment="1">
      <alignment horizontal="center" wrapText="1"/>
    </xf>
    <xf numFmtId="0" fontId="104" fillId="34" borderId="10" xfId="0" applyFont="1" applyFill="1" applyBorder="1" applyAlignment="1">
      <alignment horizontal="center" vertical="center" wrapText="1"/>
    </xf>
    <xf numFmtId="0" fontId="105" fillId="34" borderId="10" xfId="0" applyFont="1" applyFill="1" applyBorder="1" applyAlignment="1">
      <alignment horizontal="center" vertical="center" wrapText="1"/>
    </xf>
    <xf numFmtId="0" fontId="104" fillId="34" borderId="10" xfId="0" applyFont="1" applyFill="1" applyBorder="1" applyAlignment="1">
      <alignment horizontal="center" vertical="top" wrapText="1"/>
    </xf>
    <xf numFmtId="0" fontId="104" fillId="34" borderId="15" xfId="0" applyFont="1" applyFill="1" applyBorder="1" applyAlignment="1">
      <alignment horizontal="center" vertical="center" wrapText="1"/>
    </xf>
    <xf numFmtId="0" fontId="106" fillId="34" borderId="10" xfId="0" applyFont="1" applyFill="1" applyBorder="1" applyAlignment="1">
      <alignment horizontal="center" wrapText="1"/>
    </xf>
    <xf numFmtId="0" fontId="104" fillId="34" borderId="10" xfId="0" applyFont="1" applyFill="1" applyBorder="1" applyAlignment="1">
      <alignment horizontal="center" wrapText="1"/>
    </xf>
    <xf numFmtId="0" fontId="106" fillId="34" borderId="10"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0" fillId="34" borderId="10" xfId="0" applyFill="1" applyBorder="1" applyAlignment="1">
      <alignment/>
    </xf>
    <xf numFmtId="3" fontId="104" fillId="0" borderId="10" xfId="0" applyNumberFormat="1" applyFont="1" applyBorder="1" applyAlignment="1">
      <alignment horizontal="center" vertical="center"/>
    </xf>
    <xf numFmtId="9" fontId="0" fillId="0" borderId="17" xfId="52" applyFont="1" applyBorder="1" applyAlignment="1">
      <alignment horizontal="center" vertical="center"/>
    </xf>
    <xf numFmtId="9" fontId="0" fillId="0" borderId="10" xfId="0" applyNumberFormat="1" applyBorder="1" applyAlignment="1">
      <alignment horizontal="center" vertical="center"/>
    </xf>
    <xf numFmtId="9" fontId="104" fillId="0" borderId="10" xfId="52" applyFont="1" applyBorder="1" applyAlignment="1">
      <alignment horizontal="center" vertical="center"/>
    </xf>
    <xf numFmtId="9" fontId="104" fillId="0" borderId="10" xfId="0" applyNumberFormat="1" applyFont="1" applyBorder="1" applyAlignment="1">
      <alignment horizontal="center" vertical="center"/>
    </xf>
    <xf numFmtId="0" fontId="105" fillId="0" borderId="10" xfId="0" applyFont="1" applyBorder="1" applyAlignment="1">
      <alignment horizontal="center" vertical="center" wrapText="1"/>
    </xf>
    <xf numFmtId="1" fontId="0" fillId="0" borderId="17" xfId="0" applyNumberFormat="1" applyBorder="1" applyAlignment="1">
      <alignment horizontal="center" vertical="center"/>
    </xf>
    <xf numFmtId="1" fontId="0" fillId="0" borderId="10" xfId="0" applyNumberFormat="1" applyBorder="1" applyAlignment="1">
      <alignment horizontal="center" vertical="center"/>
    </xf>
    <xf numFmtId="9" fontId="105" fillId="34" borderId="10"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0" xfId="0" applyBorder="1" applyAlignment="1">
      <alignment horizontal="center" vertical="center"/>
    </xf>
    <xf numFmtId="10" fontId="0" fillId="0" borderId="17" xfId="0" applyNumberFormat="1" applyBorder="1" applyAlignment="1">
      <alignment horizontal="center" vertical="center"/>
    </xf>
    <xf numFmtId="10" fontId="0" fillId="0" borderId="10" xfId="0" applyNumberFormat="1" applyBorder="1" applyAlignment="1">
      <alignment horizontal="center" vertical="center"/>
    </xf>
    <xf numFmtId="37" fontId="0" fillId="0" borderId="12" xfId="48" applyNumberFormat="1" applyFont="1" applyBorder="1" applyAlignment="1">
      <alignment vertical="center"/>
    </xf>
    <xf numFmtId="37" fontId="0" fillId="0" borderId="12" xfId="48" applyNumberFormat="1" applyFont="1" applyBorder="1" applyAlignment="1">
      <alignment vertical="center" wrapText="1"/>
    </xf>
    <xf numFmtId="9" fontId="0" fillId="0" borderId="17" xfId="0" applyNumberFormat="1" applyBorder="1" applyAlignment="1">
      <alignment horizontal="center" vertical="center"/>
    </xf>
    <xf numFmtId="37" fontId="0" fillId="0" borderId="10" xfId="48" applyNumberFormat="1" applyFont="1" applyBorder="1" applyAlignment="1">
      <alignment vertical="center"/>
    </xf>
    <xf numFmtId="0" fontId="11" fillId="34" borderId="10" xfId="0" applyFont="1" applyFill="1" applyBorder="1" applyAlignment="1">
      <alignment horizontal="center" vertical="center" wrapText="1"/>
    </xf>
    <xf numFmtId="0" fontId="13" fillId="34" borderId="10" xfId="0" applyFont="1" applyFill="1" applyBorder="1" applyAlignment="1">
      <alignment horizontal="justify" vertical="top"/>
    </xf>
    <xf numFmtId="0" fontId="38" fillId="0" borderId="15" xfId="0" applyFont="1" applyBorder="1" applyAlignment="1">
      <alignment horizontal="center"/>
    </xf>
    <xf numFmtId="0" fontId="11" fillId="0" borderId="17" xfId="0" applyFont="1" applyBorder="1" applyAlignment="1">
      <alignment horizontal="justify" vertical="center" wrapText="1"/>
    </xf>
    <xf numFmtId="0" fontId="12" fillId="34" borderId="10" xfId="0" applyFont="1" applyFill="1" applyBorder="1" applyAlignment="1">
      <alignment vertical="top" wrapText="1"/>
    </xf>
    <xf numFmtId="0" fontId="13" fillId="0" borderId="10" xfId="0" applyFont="1" applyBorder="1" applyAlignment="1">
      <alignment horizontal="center" vertical="center"/>
    </xf>
    <xf numFmtId="0" fontId="12" fillId="0" borderId="10" xfId="0" applyFont="1" applyBorder="1" applyAlignment="1">
      <alignment horizontal="center" vertical="center" wrapText="1"/>
    </xf>
    <xf numFmtId="0" fontId="38" fillId="0" borderId="17" xfId="0" applyFont="1" applyBorder="1" applyAlignment="1">
      <alignment horizontal="center" vertical="center"/>
    </xf>
    <xf numFmtId="0" fontId="38" fillId="0" borderId="10" xfId="0" applyFont="1" applyBorder="1" applyAlignment="1">
      <alignment horizontal="center" vertical="center"/>
    </xf>
    <xf numFmtId="37" fontId="0" fillId="0" borderId="10" xfId="48" applyNumberFormat="1" applyFont="1" applyBorder="1" applyAlignment="1">
      <alignment vertical="center" wrapText="1"/>
    </xf>
    <xf numFmtId="0" fontId="11" fillId="0" borderId="11" xfId="0" applyFont="1" applyBorder="1" applyAlignment="1">
      <alignment wrapText="1"/>
    </xf>
    <xf numFmtId="0" fontId="105" fillId="34" borderId="17" xfId="0" applyFont="1" applyFill="1" applyBorder="1" applyAlignment="1">
      <alignment vertical="top" wrapText="1"/>
    </xf>
    <xf numFmtId="0" fontId="104" fillId="0" borderId="10" xfId="0" applyFont="1" applyBorder="1" applyAlignment="1">
      <alignment horizontal="center" vertical="center"/>
    </xf>
    <xf numFmtId="0" fontId="105" fillId="0" borderId="0" xfId="0" applyFont="1" applyBorder="1" applyAlignment="1">
      <alignment horizontal="center" vertical="top" wrapText="1"/>
    </xf>
    <xf numFmtId="1" fontId="0" fillId="0" borderId="10" xfId="48" applyNumberFormat="1" applyFont="1" applyBorder="1" applyAlignment="1">
      <alignment vertical="center"/>
    </xf>
    <xf numFmtId="1" fontId="0" fillId="0" borderId="10" xfId="48" applyNumberFormat="1" applyFont="1" applyBorder="1" applyAlignment="1">
      <alignment vertical="center" wrapText="1"/>
    </xf>
    <xf numFmtId="3" fontId="104" fillId="0" borderId="10" xfId="0" applyNumberFormat="1" applyFont="1" applyBorder="1" applyAlignment="1">
      <alignment horizontal="center" vertical="top"/>
    </xf>
    <xf numFmtId="9" fontId="13" fillId="0" borderId="10" xfId="52" applyFont="1" applyBorder="1" applyAlignment="1">
      <alignment horizontal="center" vertical="center"/>
    </xf>
    <xf numFmtId="0" fontId="12" fillId="0" borderId="10" xfId="0" applyFont="1" applyBorder="1" applyAlignment="1">
      <alignment horizontal="center" vertical="top" wrapText="1"/>
    </xf>
    <xf numFmtId="9" fontId="12" fillId="34" borderId="10" xfId="0" applyNumberFormat="1" applyFont="1" applyFill="1" applyBorder="1" applyAlignment="1">
      <alignment horizontal="center" vertical="center" wrapText="1"/>
    </xf>
    <xf numFmtId="0" fontId="105" fillId="0" borderId="10" xfId="0" applyFont="1" applyBorder="1" applyAlignment="1">
      <alignment horizontal="center" vertical="center"/>
    </xf>
    <xf numFmtId="9" fontId="105" fillId="0" borderId="10" xfId="0" applyNumberFormat="1" applyFont="1" applyBorder="1" applyAlignment="1">
      <alignment horizontal="center" vertical="center"/>
    </xf>
    <xf numFmtId="9" fontId="13" fillId="0" borderId="10" xfId="0" applyNumberFormat="1" applyFont="1" applyBorder="1" applyAlignment="1">
      <alignment horizontal="center" vertical="center"/>
    </xf>
    <xf numFmtId="0" fontId="12" fillId="0" borderId="10" xfId="0" applyFont="1" applyBorder="1" applyAlignment="1">
      <alignment horizontal="center" vertical="center"/>
    </xf>
    <xf numFmtId="9" fontId="107" fillId="0" borderId="10" xfId="0" applyNumberFormat="1" applyFont="1" applyBorder="1" applyAlignment="1">
      <alignment horizontal="justify" vertical="center" wrapText="1"/>
    </xf>
    <xf numFmtId="0" fontId="105" fillId="34" borderId="15" xfId="0" applyFont="1" applyFill="1" applyBorder="1" applyAlignment="1">
      <alignment horizontal="center" vertical="center" wrapText="1"/>
    </xf>
    <xf numFmtId="9" fontId="12" fillId="0" borderId="10" xfId="0" applyNumberFormat="1" applyFont="1" applyBorder="1" applyAlignment="1">
      <alignment horizontal="center" vertical="center"/>
    </xf>
    <xf numFmtId="9" fontId="38" fillId="0" borderId="10" xfId="0" applyNumberFormat="1" applyFont="1" applyBorder="1" applyAlignment="1">
      <alignment horizontal="center" vertical="center"/>
    </xf>
    <xf numFmtId="0" fontId="104" fillId="34" borderId="10" xfId="0" applyFont="1" applyFill="1" applyBorder="1" applyAlignment="1">
      <alignment horizontal="justify" vertical="top"/>
    </xf>
    <xf numFmtId="0" fontId="104" fillId="0" borderId="11" xfId="0" applyFont="1" applyBorder="1" applyAlignment="1">
      <alignment horizontal="center" wrapText="1"/>
    </xf>
    <xf numFmtId="0" fontId="105" fillId="0" borderId="12" xfId="0" applyFont="1" applyBorder="1" applyAlignment="1">
      <alignment horizontal="center" vertical="top" wrapText="1"/>
    </xf>
    <xf numFmtId="0" fontId="105" fillId="0" borderId="12" xfId="0" applyFont="1" applyBorder="1" applyAlignment="1">
      <alignment horizontal="center" vertical="top"/>
    </xf>
    <xf numFmtId="0" fontId="0" fillId="0" borderId="18" xfId="0" applyBorder="1" applyAlignment="1">
      <alignment/>
    </xf>
    <xf numFmtId="1" fontId="0" fillId="0" borderId="15" xfId="0" applyNumberFormat="1" applyBorder="1" applyAlignment="1">
      <alignment/>
    </xf>
    <xf numFmtId="10" fontId="107" fillId="34" borderId="10" xfId="0" applyNumberFormat="1" applyFont="1" applyFill="1" applyBorder="1" applyAlignment="1">
      <alignment horizontal="center" vertical="center" wrapText="1"/>
    </xf>
    <xf numFmtId="0" fontId="111" fillId="34" borderId="10" xfId="0" applyFont="1" applyFill="1" applyBorder="1" applyAlignment="1">
      <alignment horizontal="justify" vertical="top"/>
    </xf>
    <xf numFmtId="0" fontId="104" fillId="0" borderId="10" xfId="0" applyFont="1" applyBorder="1" applyAlignment="1">
      <alignment horizontal="center" vertical="center" wrapText="1"/>
    </xf>
    <xf numFmtId="0" fontId="104" fillId="0" borderId="19" xfId="0" applyFont="1" applyBorder="1" applyAlignment="1">
      <alignment horizontal="center" vertical="center" wrapText="1"/>
    </xf>
    <xf numFmtId="0" fontId="105" fillId="0" borderId="10" xfId="0" applyFont="1" applyBorder="1" applyAlignment="1">
      <alignment horizontal="justify" vertical="center" wrapText="1"/>
    </xf>
    <xf numFmtId="1" fontId="0" fillId="0" borderId="10" xfId="48" applyNumberFormat="1" applyFont="1" applyBorder="1" applyAlignment="1">
      <alignment/>
    </xf>
    <xf numFmtId="9" fontId="13" fillId="0" borderId="10" xfId="0" applyNumberFormat="1" applyFont="1" applyBorder="1" applyAlignment="1">
      <alignment horizontal="center" vertical="center" wrapText="1"/>
    </xf>
    <xf numFmtId="9" fontId="38" fillId="0" borderId="17" xfId="0" applyNumberFormat="1" applyFont="1" applyBorder="1" applyAlignment="1">
      <alignment horizontal="center" vertical="center"/>
    </xf>
    <xf numFmtId="9" fontId="12" fillId="0" borderId="10" xfId="0" applyNumberFormat="1" applyFont="1" applyBorder="1" applyAlignment="1">
      <alignment horizontal="center" vertical="center" wrapText="1"/>
    </xf>
    <xf numFmtId="0" fontId="12" fillId="0" borderId="10" xfId="0" applyFont="1" applyBorder="1" applyAlignment="1">
      <alignment horizontal="justify" vertical="top" wrapText="1"/>
    </xf>
    <xf numFmtId="9" fontId="104" fillId="0" borderId="17" xfId="0" applyNumberFormat="1" applyFont="1" applyBorder="1" applyAlignment="1">
      <alignment horizontal="center" vertical="center" wrapText="1"/>
    </xf>
    <xf numFmtId="0" fontId="13" fillId="34" borderId="10" xfId="0" applyFont="1" applyFill="1" applyBorder="1" applyAlignment="1">
      <alignment horizontal="justify" vertical="center"/>
    </xf>
    <xf numFmtId="9" fontId="104" fillId="0" borderId="19" xfId="0" applyNumberFormat="1" applyFont="1" applyBorder="1" applyAlignment="1">
      <alignment horizontal="center" vertical="center" wrapText="1"/>
    </xf>
    <xf numFmtId="9" fontId="104" fillId="0" borderId="10" xfId="0" applyNumberFormat="1" applyFont="1" applyBorder="1" applyAlignment="1">
      <alignment horizontal="center" vertical="center" wrapText="1"/>
    </xf>
    <xf numFmtId="9" fontId="105" fillId="0" borderId="10" xfId="0" applyNumberFormat="1" applyFont="1" applyBorder="1" applyAlignment="1">
      <alignment horizontal="center" vertical="center" wrapText="1"/>
    </xf>
    <xf numFmtId="37" fontId="0" fillId="0" borderId="10" xfId="48" applyNumberFormat="1" applyFont="1" applyBorder="1" applyAlignment="1">
      <alignment/>
    </xf>
    <xf numFmtId="0" fontId="104" fillId="0" borderId="17" xfId="0" applyFont="1" applyBorder="1" applyAlignment="1">
      <alignment horizontal="center" vertical="center" wrapText="1"/>
    </xf>
    <xf numFmtId="0" fontId="104" fillId="34" borderId="10" xfId="0" applyFont="1" applyFill="1" applyBorder="1" applyAlignment="1">
      <alignment horizontal="justify" vertical="center"/>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05" fillId="0" borderId="10" xfId="0" applyFont="1" applyBorder="1" applyAlignment="1">
      <alignment horizontal="justify" vertical="top" wrapText="1"/>
    </xf>
    <xf numFmtId="0" fontId="12" fillId="0" borderId="10" xfId="0" applyFont="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1" xfId="0" applyFont="1" applyBorder="1" applyAlignment="1">
      <alignment horizontal="justify" vertical="top" wrapText="1"/>
    </xf>
    <xf numFmtId="9" fontId="12" fillId="0" borderId="11" xfId="0" applyNumberFormat="1" applyFont="1" applyBorder="1" applyAlignment="1">
      <alignment horizontal="center" vertical="center" wrapText="1"/>
    </xf>
    <xf numFmtId="0" fontId="13" fillId="0" borderId="10" xfId="0" applyFont="1" applyBorder="1" applyAlignment="1">
      <alignment horizontal="center" wrapText="1"/>
    </xf>
    <xf numFmtId="10" fontId="13" fillId="0" borderId="10" xfId="0" applyNumberFormat="1" applyFont="1" applyBorder="1" applyAlignment="1">
      <alignment horizontal="center" wrapText="1"/>
    </xf>
    <xf numFmtId="10" fontId="12" fillId="0" borderId="10" xfId="0" applyNumberFormat="1" applyFont="1" applyBorder="1" applyAlignment="1">
      <alignment horizontal="center" wrapText="1"/>
    </xf>
    <xf numFmtId="10" fontId="12" fillId="0" borderId="10" xfId="0" applyNumberFormat="1" applyFont="1" applyBorder="1" applyAlignment="1">
      <alignment horizontal="center" vertical="center" wrapText="1"/>
    </xf>
    <xf numFmtId="10" fontId="13" fillId="0" borderId="10" xfId="0" applyNumberFormat="1" applyFont="1" applyBorder="1" applyAlignment="1">
      <alignment horizontal="center" vertical="center" wrapText="1"/>
    </xf>
    <xf numFmtId="9" fontId="13" fillId="0" borderId="17" xfId="0" applyNumberFormat="1" applyFont="1" applyBorder="1" applyAlignment="1">
      <alignment horizontal="center" vertical="center" wrapText="1"/>
    </xf>
    <xf numFmtId="37" fontId="0" fillId="0" borderId="10" xfId="0" applyNumberFormat="1" applyBorder="1" applyAlignment="1">
      <alignment/>
    </xf>
    <xf numFmtId="0" fontId="104" fillId="34" borderId="10" xfId="0" applyFont="1" applyFill="1" applyBorder="1" applyAlignment="1">
      <alignment horizontal="left" vertical="center" wrapText="1"/>
    </xf>
    <xf numFmtId="9" fontId="104" fillId="0" borderId="11" xfId="0" applyNumberFormat="1" applyFont="1" applyBorder="1" applyAlignment="1">
      <alignment horizontal="center" vertical="center" wrapText="1"/>
    </xf>
    <xf numFmtId="0" fontId="104" fillId="34" borderId="15" xfId="0" applyFont="1" applyFill="1" applyBorder="1" applyAlignment="1">
      <alignment vertical="center" wrapText="1"/>
    </xf>
    <xf numFmtId="0" fontId="13" fillId="0" borderId="10" xfId="0" applyFont="1" applyBorder="1" applyAlignment="1">
      <alignment horizontal="center" vertical="center" wrapText="1"/>
    </xf>
    <xf numFmtId="1" fontId="38" fillId="0" borderId="10" xfId="0" applyNumberFormat="1" applyFont="1" applyBorder="1" applyAlignment="1">
      <alignment horizontal="center" vertical="center"/>
    </xf>
    <xf numFmtId="1" fontId="38" fillId="0" borderId="17" xfId="0" applyNumberFormat="1" applyFont="1" applyBorder="1" applyAlignment="1">
      <alignment horizontal="center" vertical="center"/>
    </xf>
    <xf numFmtId="0" fontId="12" fillId="0" borderId="10" xfId="0" applyFont="1" applyBorder="1" applyAlignment="1">
      <alignment horizontal="left" vertical="top" wrapText="1"/>
    </xf>
    <xf numFmtId="9" fontId="105" fillId="0" borderId="11" xfId="0" applyNumberFormat="1" applyFont="1" applyBorder="1" applyAlignment="1">
      <alignment horizontal="center" vertical="center"/>
    </xf>
    <xf numFmtId="0" fontId="12" fillId="0" borderId="11" xfId="0" applyFont="1" applyBorder="1" applyAlignment="1">
      <alignment horizontal="left" vertical="top" wrapText="1"/>
    </xf>
    <xf numFmtId="0" fontId="112" fillId="0" borderId="17" xfId="0" applyFont="1" applyBorder="1" applyAlignment="1">
      <alignment horizontal="center" wrapText="1"/>
    </xf>
    <xf numFmtId="0" fontId="112" fillId="0" borderId="19" xfId="0" applyFont="1" applyBorder="1" applyAlignment="1">
      <alignment horizontal="center" wrapText="1"/>
    </xf>
    <xf numFmtId="9" fontId="112" fillId="0" borderId="17" xfId="0" applyNumberFormat="1" applyFont="1" applyBorder="1" applyAlignment="1">
      <alignment horizontal="center" wrapText="1"/>
    </xf>
    <xf numFmtId="9" fontId="112" fillId="0" borderId="19" xfId="0" applyNumberFormat="1" applyFont="1" applyBorder="1" applyAlignment="1">
      <alignment horizontal="center" wrapText="1"/>
    </xf>
    <xf numFmtId="0" fontId="113" fillId="0" borderId="10" xfId="0" applyFont="1" applyBorder="1" applyAlignment="1">
      <alignment horizontal="center" vertical="center" wrapText="1"/>
    </xf>
    <xf numFmtId="9" fontId="113" fillId="0" borderId="10" xfId="52" applyFont="1" applyBorder="1" applyAlignment="1">
      <alignment horizontal="center" vertical="center" wrapText="1"/>
    </xf>
    <xf numFmtId="0" fontId="105" fillId="34" borderId="10" xfId="0" applyFont="1" applyFill="1" applyBorder="1" applyAlignment="1">
      <alignment horizontal="center" vertical="center"/>
    </xf>
    <xf numFmtId="0" fontId="12" fillId="34" borderId="10" xfId="0" applyFont="1" applyFill="1" applyBorder="1" applyAlignment="1">
      <alignment horizontal="left" vertical="center" wrapText="1"/>
    </xf>
    <xf numFmtId="37" fontId="0" fillId="0" borderId="10" xfId="0" applyNumberFormat="1" applyBorder="1" applyAlignment="1">
      <alignment vertical="center"/>
    </xf>
    <xf numFmtId="9" fontId="0" fillId="0" borderId="0" xfId="0" applyNumberFormat="1" applyAlignment="1">
      <alignment/>
    </xf>
    <xf numFmtId="0" fontId="0" fillId="0" borderId="0" xfId="0" applyFill="1" applyBorder="1" applyAlignment="1">
      <alignment/>
    </xf>
    <xf numFmtId="0" fontId="0" fillId="34" borderId="0" xfId="0" applyFill="1" applyBorder="1" applyAlignment="1">
      <alignment/>
    </xf>
    <xf numFmtId="0" fontId="105" fillId="34" borderId="0" xfId="0" applyFont="1" applyFill="1" applyBorder="1" applyAlignment="1">
      <alignment horizontal="justify" wrapText="1"/>
    </xf>
    <xf numFmtId="0" fontId="104" fillId="34" borderId="0" xfId="0" applyFont="1" applyFill="1" applyBorder="1" applyAlignment="1">
      <alignment horizontal="center" wrapText="1"/>
    </xf>
    <xf numFmtId="3" fontId="104" fillId="34" borderId="0" xfId="0" applyNumberFormat="1" applyFont="1" applyFill="1" applyBorder="1" applyAlignment="1">
      <alignment horizontal="center" wrapText="1"/>
    </xf>
    <xf numFmtId="0" fontId="107" fillId="34" borderId="0" xfId="0" applyFont="1" applyFill="1" applyBorder="1" applyAlignment="1">
      <alignment wrapText="1"/>
    </xf>
    <xf numFmtId="0" fontId="105" fillId="34" borderId="0" xfId="0" applyFont="1" applyFill="1" applyBorder="1" applyAlignment="1">
      <alignment wrapText="1"/>
    </xf>
    <xf numFmtId="0" fontId="104" fillId="34" borderId="0" xfId="0" applyFont="1" applyFill="1" applyBorder="1" applyAlignment="1">
      <alignment wrapText="1"/>
    </xf>
    <xf numFmtId="0" fontId="104" fillId="34" borderId="0" xfId="0" applyFont="1" applyFill="1" applyBorder="1" applyAlignment="1">
      <alignment horizontal="justify" wrapText="1"/>
    </xf>
    <xf numFmtId="0" fontId="110" fillId="34" borderId="0" xfId="0" applyFont="1" applyFill="1" applyBorder="1" applyAlignment="1">
      <alignment horizontal="justify" wrapText="1"/>
    </xf>
    <xf numFmtId="11" fontId="104" fillId="34" borderId="0" xfId="0" applyNumberFormat="1" applyFont="1" applyFill="1" applyBorder="1" applyAlignment="1">
      <alignment horizontal="center" wrapText="1"/>
    </xf>
    <xf numFmtId="9" fontId="104" fillId="34" borderId="0" xfId="0" applyNumberFormat="1" applyFont="1" applyFill="1" applyBorder="1" applyAlignment="1">
      <alignment horizontal="center" wrapText="1"/>
    </xf>
    <xf numFmtId="10" fontId="104" fillId="34" borderId="0" xfId="0" applyNumberFormat="1" applyFont="1" applyFill="1" applyBorder="1" applyAlignment="1">
      <alignment horizontal="center" wrapText="1"/>
    </xf>
    <xf numFmtId="9" fontId="104" fillId="34" borderId="0" xfId="0" applyNumberFormat="1" applyFont="1" applyFill="1" applyBorder="1" applyAlignment="1">
      <alignment horizontal="center"/>
    </xf>
    <xf numFmtId="0" fontId="104" fillId="34" borderId="0" xfId="0" applyFont="1" applyFill="1" applyBorder="1" applyAlignment="1">
      <alignment horizontal="center"/>
    </xf>
    <xf numFmtId="0" fontId="104" fillId="34" borderId="0" xfId="0" applyFont="1" applyFill="1" applyBorder="1" applyAlignment="1">
      <alignment/>
    </xf>
    <xf numFmtId="0" fontId="104" fillId="34" borderId="0" xfId="0" applyFont="1" applyFill="1" applyBorder="1" applyAlignment="1">
      <alignment horizontal="justify"/>
    </xf>
    <xf numFmtId="3" fontId="104" fillId="34" borderId="0" xfId="0" applyNumberFormat="1" applyFont="1" applyFill="1" applyBorder="1" applyAlignment="1">
      <alignment horizontal="center"/>
    </xf>
    <xf numFmtId="0" fontId="104" fillId="34" borderId="0" xfId="0" applyFont="1" applyFill="1" applyBorder="1" applyAlignment="1">
      <alignment horizontal="center" vertical="top" wrapText="1"/>
    </xf>
    <xf numFmtId="0" fontId="105" fillId="34" borderId="0" xfId="0" applyFont="1" applyFill="1" applyBorder="1" applyAlignment="1">
      <alignment horizontal="center" vertical="top" wrapText="1"/>
    </xf>
    <xf numFmtId="0" fontId="105" fillId="34" borderId="0" xfId="0" applyFont="1" applyFill="1" applyBorder="1" applyAlignment="1">
      <alignment horizontal="center" wrapText="1"/>
    </xf>
    <xf numFmtId="0" fontId="106" fillId="34" borderId="0" xfId="0" applyFont="1" applyFill="1" applyBorder="1" applyAlignment="1">
      <alignment wrapText="1"/>
    </xf>
    <xf numFmtId="0" fontId="112" fillId="34" borderId="0" xfId="0" applyFont="1" applyFill="1" applyBorder="1" applyAlignment="1">
      <alignment wrapText="1"/>
    </xf>
    <xf numFmtId="3" fontId="104"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xf>
    <xf numFmtId="0" fontId="110" fillId="0" borderId="10" xfId="0" applyFont="1" applyBorder="1" applyAlignment="1">
      <alignment vertical="center" wrapText="1"/>
    </xf>
    <xf numFmtId="0" fontId="110" fillId="34" borderId="15" xfId="0" applyFont="1" applyFill="1" applyBorder="1" applyAlignment="1">
      <alignment vertical="center" wrapText="1"/>
    </xf>
    <xf numFmtId="0" fontId="110" fillId="0" borderId="15" xfId="0" applyFont="1" applyBorder="1" applyAlignment="1">
      <alignment vertical="center" wrapText="1"/>
    </xf>
    <xf numFmtId="0" fontId="110" fillId="0" borderId="15" xfId="0" applyFont="1" applyBorder="1" applyAlignment="1">
      <alignment horizontal="center" vertical="center" wrapText="1"/>
    </xf>
    <xf numFmtId="0" fontId="2" fillId="0" borderId="20" xfId="0" applyFont="1" applyBorder="1" applyAlignment="1">
      <alignment/>
    </xf>
    <xf numFmtId="0" fontId="102" fillId="0" borderId="10" xfId="0" applyFont="1" applyBorder="1" applyAlignment="1">
      <alignment horizontal="center" vertical="center"/>
    </xf>
    <xf numFmtId="3" fontId="102" fillId="0" borderId="10" xfId="0" applyNumberFormat="1" applyFont="1" applyBorder="1" applyAlignment="1">
      <alignment vertical="center"/>
    </xf>
    <xf numFmtId="0" fontId="106" fillId="34" borderId="10" xfId="0" applyFont="1" applyFill="1" applyBorder="1" applyAlignment="1">
      <alignment horizontal="center" wrapText="1"/>
    </xf>
    <xf numFmtId="0" fontId="106" fillId="34" borderId="10" xfId="0" applyFont="1" applyFill="1" applyBorder="1" applyAlignment="1">
      <alignment horizontal="center" vertical="center"/>
    </xf>
    <xf numFmtId="0" fontId="106" fillId="34"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left" vertical="center" wrapText="1"/>
    </xf>
    <xf numFmtId="176" fontId="3" fillId="0" borderId="19" xfId="46" applyNumberFormat="1" applyFont="1" applyFill="1" applyBorder="1" applyAlignment="1">
      <alignment horizontal="left" vertical="center" wrapText="1"/>
    </xf>
    <xf numFmtId="176" fontId="114" fillId="0" borderId="10" xfId="46" applyNumberFormat="1" applyFont="1" applyFill="1" applyBorder="1" applyAlignment="1">
      <alignment horizontal="left" vertical="center" wrapText="1"/>
    </xf>
    <xf numFmtId="176" fontId="3" fillId="0" borderId="10" xfId="46" applyNumberFormat="1" applyFont="1" applyFill="1" applyBorder="1" applyAlignment="1">
      <alignment horizontal="left" vertical="center" wrapText="1"/>
    </xf>
    <xf numFmtId="0" fontId="3" fillId="0" borderId="11" xfId="0" applyFont="1" applyFill="1" applyBorder="1" applyAlignment="1">
      <alignment horizontal="justify" vertical="center"/>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06" fillId="0" borderId="10" xfId="0" applyFont="1" applyFill="1" applyBorder="1" applyAlignment="1">
      <alignment horizontal="center" vertical="center" wrapText="1"/>
    </xf>
    <xf numFmtId="3" fontId="106" fillId="34" borderId="10" xfId="0" applyNumberFormat="1" applyFont="1" applyFill="1" applyBorder="1" applyAlignment="1">
      <alignment horizontal="center" vertical="center"/>
    </xf>
    <xf numFmtId="3" fontId="108" fillId="34" borderId="10" xfId="0" applyNumberFormat="1" applyFont="1" applyFill="1" applyBorder="1" applyAlignment="1">
      <alignment horizontal="center" vertical="center"/>
    </xf>
    <xf numFmtId="0" fontId="108" fillId="34" borderId="1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36" borderId="0" xfId="0" applyFont="1" applyFill="1" applyAlignment="1">
      <alignment/>
    </xf>
    <xf numFmtId="0" fontId="3" fillId="0" borderId="0" xfId="0" applyFont="1" applyFill="1" applyAlignment="1">
      <alignment/>
    </xf>
    <xf numFmtId="178" fontId="3" fillId="0" borderId="0" xfId="0" applyNumberFormat="1" applyFont="1" applyAlignment="1">
      <alignment/>
    </xf>
    <xf numFmtId="178" fontId="3" fillId="0" borderId="0" xfId="0" applyNumberFormat="1" applyFont="1" applyAlignment="1">
      <alignment horizontal="justify" vertical="center"/>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0" fontId="2" fillId="0" borderId="22" xfId="0" applyFont="1" applyBorder="1" applyAlignment="1">
      <alignment/>
    </xf>
    <xf numFmtId="0" fontId="2" fillId="0" borderId="0" xfId="0" applyFont="1" applyFill="1" applyAlignment="1">
      <alignment horizontal="left"/>
    </xf>
    <xf numFmtId="0" fontId="2" fillId="37" borderId="10" xfId="0" applyFont="1" applyFill="1" applyBorder="1" applyAlignment="1">
      <alignment horizontal="center" vertical="center" wrapText="1"/>
    </xf>
    <xf numFmtId="178" fontId="2" fillId="37" borderId="10" xfId="0" applyNumberFormat="1" applyFont="1" applyFill="1" applyBorder="1" applyAlignment="1">
      <alignment horizontal="center" vertical="center" wrapText="1"/>
    </xf>
    <xf numFmtId="178" fontId="2" fillId="37" borderId="10" xfId="0" applyNumberFormat="1" applyFont="1" applyFill="1" applyBorder="1" applyAlignment="1">
      <alignment horizontal="justify" vertical="center" wrapText="1"/>
    </xf>
    <xf numFmtId="0" fontId="3" fillId="0" borderId="15" xfId="0" applyFont="1" applyFill="1" applyBorder="1" applyAlignment="1">
      <alignment horizontal="justify" vertical="center" wrapText="1"/>
    </xf>
    <xf numFmtId="3" fontId="3" fillId="0" borderId="10" xfId="0" applyNumberFormat="1" applyFont="1" applyFill="1" applyBorder="1" applyAlignment="1">
      <alignment horizontal="justify" vertical="center" wrapText="1"/>
    </xf>
    <xf numFmtId="0" fontId="3" fillId="0" borderId="10" xfId="0" applyFont="1" applyFill="1" applyBorder="1" applyAlignment="1">
      <alignment horizontal="justify" vertical="center" wrapText="1"/>
    </xf>
    <xf numFmtId="178" fontId="3" fillId="0" borderId="10" xfId="46" applyNumberFormat="1" applyFont="1" applyBorder="1" applyAlignment="1">
      <alignment horizontal="justify" vertical="center" wrapText="1"/>
    </xf>
    <xf numFmtId="178" fontId="3" fillId="0" borderId="10" xfId="0" applyNumberFormat="1" applyFont="1" applyBorder="1" applyAlignment="1">
      <alignment horizontal="justify" vertical="center" wrapText="1"/>
    </xf>
    <xf numFmtId="176" fontId="3" fillId="0" borderId="11" xfId="46" applyNumberFormat="1" applyFont="1" applyFill="1" applyBorder="1" applyAlignment="1">
      <alignment horizontal="justify" vertical="center" wrapText="1"/>
    </xf>
    <xf numFmtId="3" fontId="3" fillId="0" borderId="11" xfId="0" applyNumberFormat="1" applyFont="1" applyFill="1" applyBorder="1" applyAlignment="1">
      <alignment horizontal="justify" vertical="center" wrapText="1"/>
    </xf>
    <xf numFmtId="4" fontId="3" fillId="0" borderId="11"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178" fontId="3" fillId="0" borderId="11" xfId="0" applyNumberFormat="1" applyFont="1" applyBorder="1" applyAlignment="1">
      <alignment horizontal="justify" vertical="center" wrapText="1"/>
    </xf>
    <xf numFmtId="178" fontId="3" fillId="0" borderId="15" xfId="0" applyNumberFormat="1" applyFont="1" applyBorder="1" applyAlignment="1">
      <alignment horizontal="justify" vertical="center" wrapText="1"/>
    </xf>
    <xf numFmtId="3" fontId="3" fillId="0" borderId="15" xfId="0" applyNumberFormat="1"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115" fillId="0" borderId="0" xfId="0" applyFont="1" applyAlignment="1">
      <alignment horizontal="justify" vertical="center"/>
    </xf>
    <xf numFmtId="0" fontId="115" fillId="0" borderId="10" xfId="0" applyFont="1" applyBorder="1" applyAlignment="1">
      <alignment horizontal="justify" vertical="center" wrapText="1"/>
    </xf>
    <xf numFmtId="9" fontId="0" fillId="0" borderId="10" xfId="0" applyNumberFormat="1" applyFill="1" applyBorder="1" applyAlignment="1">
      <alignment horizontal="justify" vertical="center"/>
    </xf>
    <xf numFmtId="178" fontId="3" fillId="0" borderId="10" xfId="0" applyNumberFormat="1" applyFont="1" applyFill="1" applyBorder="1" applyAlignment="1">
      <alignment horizontal="justify" vertical="center" wrapText="1"/>
    </xf>
    <xf numFmtId="178" fontId="3" fillId="0" borderId="10" xfId="0" applyNumberFormat="1" applyFont="1" applyBorder="1" applyAlignment="1">
      <alignment horizontal="justify" vertical="center"/>
    </xf>
    <xf numFmtId="9"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178" fontId="3" fillId="0" borderId="10" xfId="0" applyNumberFormat="1" applyFont="1" applyFill="1" applyBorder="1" applyAlignment="1">
      <alignment horizontal="left" vertical="center" wrapText="1"/>
    </xf>
    <xf numFmtId="0" fontId="106" fillId="0" borderId="10" xfId="0" applyFont="1" applyBorder="1" applyAlignment="1">
      <alignment horizontal="justify" vertical="center" wrapText="1"/>
    </xf>
    <xf numFmtId="0" fontId="3" fillId="0" borderId="17" xfId="0" applyFont="1" applyFill="1" applyBorder="1" applyAlignment="1">
      <alignment horizontal="justify" vertical="center" wrapText="1"/>
    </xf>
    <xf numFmtId="0" fontId="20" fillId="36" borderId="10" xfId="0" applyFont="1" applyFill="1" applyBorder="1" applyAlignment="1">
      <alignment horizontal="justify" vertical="center"/>
    </xf>
    <xf numFmtId="0" fontId="2" fillId="37" borderId="10" xfId="0" applyFont="1" applyFill="1" applyBorder="1" applyAlignment="1">
      <alignment horizontal="center" wrapText="1"/>
    </xf>
    <xf numFmtId="175" fontId="3" fillId="0" borderId="10" xfId="46" applyNumberFormat="1" applyFont="1" applyBorder="1" applyAlignment="1">
      <alignment horizontal="justify" vertical="center" wrapText="1"/>
    </xf>
    <xf numFmtId="0" fontId="3" fillId="0" borderId="10" xfId="0" applyNumberFormat="1" applyFont="1" applyBorder="1" applyAlignment="1">
      <alignment horizontal="justify" vertical="center" wrapText="1"/>
    </xf>
    <xf numFmtId="0" fontId="3" fillId="0" borderId="10" xfId="0" applyFont="1" applyBorder="1" applyAlignment="1">
      <alignment horizontal="justify" vertical="center" wrapText="1"/>
    </xf>
    <xf numFmtId="9" fontId="3" fillId="0" borderId="10" xfId="0" applyNumberFormat="1" applyFont="1" applyBorder="1" applyAlignment="1">
      <alignment horizontal="justify" vertical="center" wrapText="1"/>
    </xf>
    <xf numFmtId="0" fontId="3" fillId="0" borderId="10" xfId="0" applyFont="1" applyBorder="1" applyAlignment="1">
      <alignment horizont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 fontId="3" fillId="0" borderId="10" xfId="0" applyNumberFormat="1" applyFont="1" applyBorder="1" applyAlignment="1">
      <alignment horizontal="center" vertical="center"/>
    </xf>
    <xf numFmtId="0" fontId="3" fillId="0" borderId="15" xfId="0" applyFont="1" applyFill="1" applyBorder="1" applyAlignment="1">
      <alignment horizontal="left" vertical="center" wrapText="1"/>
    </xf>
    <xf numFmtId="0" fontId="3" fillId="8" borderId="10" xfId="0" applyFont="1" applyFill="1" applyBorder="1" applyAlignment="1">
      <alignment horizontal="center" vertical="center" wrapText="1"/>
    </xf>
    <xf numFmtId="9" fontId="3" fillId="8" borderId="10" xfId="0" applyNumberFormat="1" applyFont="1" applyFill="1" applyBorder="1" applyAlignment="1">
      <alignment horizontal="center" vertical="center" wrapText="1"/>
    </xf>
    <xf numFmtId="0" fontId="3" fillId="8" borderId="11" xfId="0" applyFont="1" applyFill="1" applyBorder="1" applyAlignment="1">
      <alignment horizontal="center" vertical="center" wrapText="1"/>
    </xf>
    <xf numFmtId="0" fontId="109" fillId="8" borderId="10" xfId="0" applyFont="1" applyFill="1" applyBorder="1" applyAlignment="1">
      <alignment horizontal="center" vertical="center" wrapText="1"/>
    </xf>
    <xf numFmtId="0" fontId="114" fillId="8" borderId="10" xfId="0" applyFont="1" applyFill="1" applyBorder="1" applyAlignment="1">
      <alignment horizontal="center" vertical="center" wrapText="1"/>
    </xf>
    <xf numFmtId="0" fontId="106" fillId="8" borderId="10" xfId="0" applyFont="1" applyFill="1" applyBorder="1" applyAlignment="1">
      <alignment horizontal="center" vertical="center" wrapText="1"/>
    </xf>
    <xf numFmtId="0" fontId="114" fillId="8" borderId="10" xfId="0" applyNumberFormat="1" applyFont="1" applyFill="1" applyBorder="1" applyAlignment="1">
      <alignment horizontal="center" vertical="center" wrapText="1"/>
    </xf>
    <xf numFmtId="0" fontId="114" fillId="8"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106" fillId="8" borderId="12" xfId="0" applyFont="1" applyFill="1" applyBorder="1" applyAlignment="1">
      <alignment horizontal="center" wrapText="1"/>
    </xf>
    <xf numFmtId="0" fontId="106" fillId="16" borderId="11" xfId="0" applyFont="1" applyFill="1" applyBorder="1" applyAlignment="1">
      <alignment horizontal="center" vertical="center" wrapText="1"/>
    </xf>
    <xf numFmtId="0" fontId="106" fillId="16"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6" fillId="3"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3" fontId="0" fillId="12" borderId="10" xfId="0" applyNumberFormat="1" applyFill="1" applyBorder="1" applyAlignment="1">
      <alignment horizontal="center" vertical="center"/>
    </xf>
    <xf numFmtId="0" fontId="0" fillId="12" borderId="10" xfId="0" applyFill="1" applyBorder="1" applyAlignment="1">
      <alignment horizontal="center" vertical="center"/>
    </xf>
    <xf numFmtId="3" fontId="0" fillId="12" borderId="10" xfId="0" applyNumberFormat="1" applyFont="1" applyFill="1" applyBorder="1" applyAlignment="1">
      <alignment horizontal="center" vertical="center"/>
    </xf>
    <xf numFmtId="0" fontId="106" fillId="16" borderId="11" xfId="0" applyFont="1" applyFill="1" applyBorder="1" applyAlignment="1">
      <alignment wrapText="1"/>
    </xf>
    <xf numFmtId="0" fontId="109" fillId="16" borderId="10" xfId="0" applyFont="1" applyFill="1" applyBorder="1" applyAlignment="1">
      <alignment horizontal="center" vertical="center"/>
    </xf>
    <xf numFmtId="0" fontId="109" fillId="12" borderId="10" xfId="0" applyFont="1" applyFill="1" applyBorder="1" applyAlignment="1">
      <alignment horizontal="center" vertical="center"/>
    </xf>
    <xf numFmtId="0" fontId="114" fillId="12" borderId="11" xfId="0" applyFont="1" applyFill="1" applyBorder="1" applyAlignment="1">
      <alignment horizontal="center" vertical="center" wrapText="1"/>
    </xf>
    <xf numFmtId="0" fontId="109" fillId="12" borderId="10" xfId="0" applyFont="1" applyFill="1" applyBorder="1" applyAlignment="1">
      <alignment/>
    </xf>
    <xf numFmtId="9" fontId="0" fillId="12" borderId="10" xfId="52" applyFont="1" applyFill="1" applyBorder="1" applyAlignment="1">
      <alignment horizontal="center" vertical="center"/>
    </xf>
    <xf numFmtId="0" fontId="0" fillId="16" borderId="10" xfId="0" applyFill="1" applyBorder="1" applyAlignment="1">
      <alignment horizontal="center" vertical="center"/>
    </xf>
    <xf numFmtId="0" fontId="0" fillId="16" borderId="10" xfId="0" applyFill="1" applyBorder="1" applyAlignment="1">
      <alignment horizontal="center" vertical="center" wrapText="1"/>
    </xf>
    <xf numFmtId="0" fontId="106" fillId="16" borderId="12" xfId="0" applyFont="1" applyFill="1" applyBorder="1" applyAlignment="1">
      <alignment wrapText="1"/>
    </xf>
    <xf numFmtId="0" fontId="106" fillId="16" borderId="10" xfId="0" applyFont="1" applyFill="1" applyBorder="1" applyAlignment="1">
      <alignment horizontal="center" vertical="center" wrapText="1"/>
    </xf>
    <xf numFmtId="0" fontId="109" fillId="16" borderId="10" xfId="0" applyFont="1" applyFill="1" applyBorder="1" applyAlignment="1">
      <alignment horizontal="justify" vertical="center" wrapText="1"/>
    </xf>
    <xf numFmtId="0" fontId="106" fillId="16" borderId="10" xfId="0" applyFont="1" applyFill="1" applyBorder="1" applyAlignment="1">
      <alignment horizontal="center" wrapText="1"/>
    </xf>
    <xf numFmtId="0" fontId="0" fillId="16" borderId="10" xfId="0" applyFill="1" applyBorder="1" applyAlignment="1">
      <alignment/>
    </xf>
    <xf numFmtId="0" fontId="106" fillId="16" borderId="15" xfId="0" applyFont="1" applyFill="1" applyBorder="1" applyAlignment="1">
      <alignment wrapText="1"/>
    </xf>
    <xf numFmtId="0" fontId="106" fillId="16" borderId="12" xfId="0" applyFont="1" applyFill="1" applyBorder="1" applyAlignment="1">
      <alignment vertical="center" wrapText="1"/>
    </xf>
    <xf numFmtId="0" fontId="106" fillId="16" borderId="11" xfId="0" applyFont="1" applyFill="1" applyBorder="1" applyAlignment="1">
      <alignment horizontal="justify" wrapText="1"/>
    </xf>
    <xf numFmtId="9" fontId="106" fillId="16" borderId="12" xfId="0" applyNumberFormat="1" applyFont="1" applyFill="1" applyBorder="1" applyAlignment="1">
      <alignment vertical="center" wrapText="1"/>
    </xf>
    <xf numFmtId="0" fontId="109" fillId="16" borderId="10" xfId="0" applyFont="1" applyFill="1" applyBorder="1" applyAlignment="1">
      <alignment/>
    </xf>
    <xf numFmtId="9" fontId="106" fillId="16" borderId="10" xfId="0" applyNumberFormat="1" applyFont="1" applyFill="1" applyBorder="1" applyAlignment="1">
      <alignment vertical="center" wrapText="1"/>
    </xf>
    <xf numFmtId="0" fontId="106" fillId="16" borderId="15" xfId="0" applyFont="1" applyFill="1" applyBorder="1" applyAlignment="1">
      <alignment vertical="center" wrapText="1"/>
    </xf>
    <xf numFmtId="0" fontId="106" fillId="3" borderId="15" xfId="0" applyFont="1" applyFill="1" applyBorder="1" applyAlignment="1">
      <alignment wrapText="1"/>
    </xf>
    <xf numFmtId="4" fontId="3" fillId="5" borderId="15" xfId="0" applyNumberFormat="1" applyFont="1" applyFill="1" applyBorder="1" applyAlignment="1">
      <alignment horizontal="center" vertical="center" textRotation="90" wrapText="1"/>
    </xf>
    <xf numFmtId="9" fontId="106" fillId="16" borderId="10" xfId="0" applyNumberFormat="1" applyFont="1" applyFill="1" applyBorder="1" applyAlignment="1">
      <alignment horizontal="center" vertical="center" wrapText="1"/>
    </xf>
    <xf numFmtId="172" fontId="114" fillId="16" borderId="10" xfId="46" applyNumberFormat="1" applyFont="1" applyFill="1" applyBorder="1" applyAlignment="1">
      <alignment horizontal="center" vertical="center"/>
    </xf>
    <xf numFmtId="172" fontId="114" fillId="16" borderId="10" xfId="0" applyNumberFormat="1" applyFont="1" applyFill="1" applyBorder="1" applyAlignment="1">
      <alignment horizontal="center" vertical="center"/>
    </xf>
    <xf numFmtId="172" fontId="114" fillId="16" borderId="10" xfId="46" applyNumberFormat="1" applyFont="1" applyFill="1" applyBorder="1" applyAlignment="1">
      <alignment vertical="center"/>
    </xf>
    <xf numFmtId="0" fontId="114" fillId="16" borderId="10" xfId="0" applyFont="1" applyFill="1" applyBorder="1" applyAlignment="1">
      <alignment/>
    </xf>
    <xf numFmtId="172" fontId="114" fillId="16" borderId="10" xfId="46" applyNumberFormat="1" applyFont="1" applyFill="1" applyBorder="1" applyAlignment="1">
      <alignment/>
    </xf>
    <xf numFmtId="0" fontId="114" fillId="16" borderId="10" xfId="0" applyFont="1" applyFill="1" applyBorder="1" applyAlignment="1">
      <alignment horizontal="center" vertical="center"/>
    </xf>
    <xf numFmtId="0" fontId="114" fillId="16" borderId="10" xfId="0" applyFont="1" applyFill="1" applyBorder="1" applyAlignment="1">
      <alignment vertical="center"/>
    </xf>
    <xf numFmtId="0" fontId="106" fillId="34" borderId="10" xfId="0" applyFont="1" applyFill="1" applyBorder="1" applyAlignment="1">
      <alignment horizontal="center" vertical="top" wrapText="1"/>
    </xf>
    <xf numFmtId="0" fontId="106" fillId="34" borderId="10" xfId="0" applyFont="1" applyFill="1" applyBorder="1" applyAlignment="1">
      <alignment horizontal="justify" vertical="top" wrapText="1"/>
    </xf>
    <xf numFmtId="9" fontId="9" fillId="3" borderId="11"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3" fontId="116" fillId="8" borderId="15" xfId="46"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xf>
    <xf numFmtId="0" fontId="109" fillId="8" borderId="10" xfId="0" applyFont="1" applyFill="1" applyBorder="1" applyAlignment="1">
      <alignment horizontal="center" vertical="center"/>
    </xf>
    <xf numFmtId="0" fontId="114" fillId="8" borderId="10" xfId="0" applyFont="1" applyFill="1" applyBorder="1" applyAlignment="1">
      <alignment horizontal="center" vertical="center"/>
    </xf>
    <xf numFmtId="0" fontId="106" fillId="13" borderId="12" xfId="0" applyFont="1" applyFill="1" applyBorder="1" applyAlignment="1">
      <alignment horizontal="center" vertical="center" wrapText="1"/>
    </xf>
    <xf numFmtId="0" fontId="106" fillId="13" borderId="10" xfId="0" applyFont="1" applyFill="1" applyBorder="1" applyAlignment="1">
      <alignment horizontal="center" wrapText="1"/>
    </xf>
    <xf numFmtId="0" fontId="109" fillId="13" borderId="10" xfId="0" applyFont="1" applyFill="1" applyBorder="1" applyAlignment="1">
      <alignment horizontal="center" vertical="center"/>
    </xf>
    <xf numFmtId="0" fontId="114" fillId="13" borderId="11" xfId="0" applyFont="1" applyFill="1" applyBorder="1" applyAlignment="1">
      <alignment horizontal="center" vertical="center" wrapText="1"/>
    </xf>
    <xf numFmtId="0" fontId="117" fillId="13" borderId="12" xfId="0" applyFont="1" applyFill="1" applyBorder="1" applyAlignment="1">
      <alignment horizontal="center" vertical="center" wrapText="1"/>
    </xf>
    <xf numFmtId="0" fontId="106" fillId="13" borderId="10" xfId="0" applyFont="1" applyFill="1" applyBorder="1" applyAlignment="1">
      <alignment horizontal="center" vertical="center" wrapText="1"/>
    </xf>
    <xf numFmtId="0" fontId="115" fillId="13" borderId="12" xfId="0" applyFont="1" applyFill="1" applyBorder="1" applyAlignment="1">
      <alignment horizontal="center" vertical="center" wrapText="1"/>
    </xf>
    <xf numFmtId="0" fontId="106" fillId="13" borderId="10" xfId="0" applyFont="1" applyFill="1" applyBorder="1" applyAlignment="1">
      <alignment wrapText="1"/>
    </xf>
    <xf numFmtId="0" fontId="106" fillId="13" borderId="10" xfId="0" applyFont="1" applyFill="1" applyBorder="1" applyAlignment="1">
      <alignment horizontal="justify" wrapText="1"/>
    </xf>
    <xf numFmtId="9" fontId="106" fillId="13" borderId="10" xfId="0" applyNumberFormat="1" applyFont="1" applyFill="1" applyBorder="1" applyAlignment="1">
      <alignment vertical="center" wrapText="1"/>
    </xf>
    <xf numFmtId="0" fontId="106" fillId="13" borderId="15" xfId="0" applyFont="1" applyFill="1" applyBorder="1" applyAlignment="1">
      <alignment vertical="center" wrapText="1"/>
    </xf>
    <xf numFmtId="0" fontId="109" fillId="13" borderId="10" xfId="0" applyFont="1" applyFill="1" applyBorder="1" applyAlignment="1">
      <alignment/>
    </xf>
    <xf numFmtId="0" fontId="114" fillId="13" borderId="10" xfId="0" applyFont="1" applyFill="1" applyBorder="1" applyAlignment="1">
      <alignment/>
    </xf>
    <xf numFmtId="0" fontId="106" fillId="13" borderId="15" xfId="0" applyFont="1" applyFill="1" applyBorder="1" applyAlignment="1">
      <alignment horizontal="center" vertical="center" wrapText="1"/>
    </xf>
    <xf numFmtId="0" fontId="106" fillId="13" borderId="15" xfId="0" applyFont="1" applyFill="1" applyBorder="1" applyAlignment="1">
      <alignment horizontal="center" wrapText="1"/>
    </xf>
    <xf numFmtId="9" fontId="106" fillId="13" borderId="15" xfId="0" applyNumberFormat="1" applyFont="1" applyFill="1" applyBorder="1" applyAlignment="1">
      <alignment horizontal="center" vertical="center" wrapText="1"/>
    </xf>
    <xf numFmtId="0" fontId="118" fillId="13" borderId="15" xfId="0" applyFont="1" applyFill="1" applyBorder="1" applyAlignment="1">
      <alignment horizontal="center" vertical="center" wrapText="1"/>
    </xf>
    <xf numFmtId="0" fontId="109" fillId="13" borderId="15" xfId="0" applyFont="1" applyFill="1" applyBorder="1" applyAlignment="1">
      <alignment horizontal="center" vertical="center"/>
    </xf>
    <xf numFmtId="0" fontId="3" fillId="13" borderId="15" xfId="0" applyFont="1" applyFill="1" applyBorder="1" applyAlignment="1">
      <alignment horizontal="center" vertical="center" wrapText="1"/>
    </xf>
    <xf numFmtId="9" fontId="9" fillId="11" borderId="10" xfId="0" applyNumberFormat="1" applyFont="1" applyFill="1" applyBorder="1" applyAlignment="1">
      <alignment horizontal="center" vertical="center" wrapText="1"/>
    </xf>
    <xf numFmtId="0" fontId="9" fillId="11" borderId="10" xfId="0" applyFont="1" applyFill="1" applyBorder="1" applyAlignment="1">
      <alignment horizontal="center" vertical="center" wrapText="1"/>
    </xf>
    <xf numFmtId="3" fontId="3" fillId="11" borderId="10" xfId="0" applyNumberFormat="1" applyFont="1" applyFill="1" applyBorder="1" applyAlignment="1">
      <alignment horizontal="center" vertical="center" wrapText="1"/>
    </xf>
    <xf numFmtId="0" fontId="119" fillId="13" borderId="15" xfId="0" applyFont="1" applyFill="1" applyBorder="1" applyAlignment="1">
      <alignment horizontal="center" wrapText="1"/>
    </xf>
    <xf numFmtId="0" fontId="22" fillId="13" borderId="10" xfId="0" applyFont="1" applyFill="1" applyBorder="1" applyAlignment="1">
      <alignment horizontal="center" wrapText="1"/>
    </xf>
    <xf numFmtId="0" fontId="22" fillId="3" borderId="10" xfId="0" applyFont="1" applyFill="1" applyBorder="1" applyAlignment="1">
      <alignment horizontal="center" vertical="center" wrapText="1"/>
    </xf>
    <xf numFmtId="0" fontId="106" fillId="13" borderId="10" xfId="0" applyFont="1" applyFill="1" applyBorder="1" applyAlignment="1">
      <alignment vertical="center" wrapText="1"/>
    </xf>
    <xf numFmtId="3" fontId="109" fillId="16" borderId="10" xfId="0" applyNumberFormat="1" applyFont="1" applyFill="1" applyBorder="1" applyAlignment="1">
      <alignment horizontal="center" vertical="center" wrapText="1"/>
    </xf>
    <xf numFmtId="3" fontId="0" fillId="0" borderId="0" xfId="0" applyNumberFormat="1" applyBorder="1" applyAlignment="1">
      <alignment/>
    </xf>
    <xf numFmtId="172" fontId="0" fillId="0" borderId="0" xfId="46" applyNumberFormat="1" applyFont="1" applyBorder="1" applyAlignment="1">
      <alignment/>
    </xf>
    <xf numFmtId="3" fontId="114" fillId="13" borderId="15" xfId="0" applyNumberFormat="1" applyFont="1" applyFill="1" applyBorder="1" applyAlignment="1">
      <alignment horizontal="center" vertical="center"/>
    </xf>
    <xf numFmtId="0" fontId="8" fillId="8" borderId="10" xfId="0" applyFont="1" applyFill="1" applyBorder="1" applyAlignment="1">
      <alignment horizontal="center" wrapText="1"/>
    </xf>
    <xf numFmtId="0" fontId="8" fillId="8" borderId="10"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8" fillId="12" borderId="10" xfId="0" applyFont="1" applyFill="1" applyBorder="1" applyAlignment="1">
      <alignment horizontal="center" vertical="center" wrapText="1"/>
    </xf>
    <xf numFmtId="9" fontId="8" fillId="12" borderId="10" xfId="0" applyNumberFormat="1" applyFont="1" applyFill="1" applyBorder="1" applyAlignment="1">
      <alignment horizontal="center" vertical="center" wrapText="1"/>
    </xf>
    <xf numFmtId="9" fontId="8" fillId="12" borderId="11" xfId="52" applyNumberFormat="1" applyFont="1" applyFill="1" applyBorder="1" applyAlignment="1">
      <alignment horizontal="center" vertical="center" wrapText="1"/>
    </xf>
    <xf numFmtId="0" fontId="8" fillId="12" borderId="11" xfId="0" applyFont="1" applyFill="1" applyBorder="1" applyAlignment="1">
      <alignment horizontal="center" wrapText="1"/>
    </xf>
    <xf numFmtId="9" fontId="8" fillId="12" borderId="11" xfId="52"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0" xfId="0" applyFont="1" applyFill="1" applyBorder="1" applyAlignment="1">
      <alignment horizontal="center" vertical="center" wrapText="1"/>
    </xf>
    <xf numFmtId="9" fontId="8" fillId="13" borderId="11" xfId="52" applyFont="1" applyFill="1" applyBorder="1" applyAlignment="1">
      <alignment horizontal="center" vertical="center" wrapText="1"/>
    </xf>
    <xf numFmtId="0" fontId="38" fillId="12"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2" borderId="10" xfId="0" applyFont="1" applyFill="1" applyBorder="1" applyAlignment="1">
      <alignment horizontal="center" wrapText="1"/>
    </xf>
    <xf numFmtId="0" fontId="8" fillId="12" borderId="11" xfId="0" applyFont="1" applyFill="1" applyBorder="1" applyAlignment="1">
      <alignment horizontal="center" vertical="center" wrapText="1"/>
    </xf>
    <xf numFmtId="0" fontId="13" fillId="12" borderId="11" xfId="0" applyFont="1" applyFill="1" applyBorder="1" applyAlignment="1">
      <alignment horizontal="center" vertical="center" wrapText="1"/>
    </xf>
    <xf numFmtId="0" fontId="8" fillId="12" borderId="10" xfId="0" applyFont="1" applyFill="1" applyBorder="1" applyAlignment="1">
      <alignment horizontal="center" wrapText="1"/>
    </xf>
    <xf numFmtId="0" fontId="38" fillId="12" borderId="15" xfId="0" applyFont="1" applyFill="1" applyBorder="1" applyAlignment="1">
      <alignment horizontal="center" wrapText="1"/>
    </xf>
    <xf numFmtId="0" fontId="8" fillId="13" borderId="15" xfId="0" applyFont="1" applyFill="1" applyBorder="1" applyAlignment="1">
      <alignment horizontal="center" vertical="center" wrapText="1"/>
    </xf>
    <xf numFmtId="0" fontId="8" fillId="13" borderId="10" xfId="0" applyFont="1" applyFill="1" applyBorder="1" applyAlignment="1">
      <alignment horizontal="center" wrapText="1"/>
    </xf>
    <xf numFmtId="0" fontId="13" fillId="13" borderId="10"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8" fillId="16" borderId="10" xfId="0" applyFont="1" applyFill="1" applyBorder="1" applyAlignment="1">
      <alignment horizontal="center" wrapText="1"/>
    </xf>
    <xf numFmtId="0" fontId="8" fillId="16" borderId="10" xfId="0" applyFont="1" applyFill="1" applyBorder="1" applyAlignment="1">
      <alignment horizontal="center" vertical="center" wrapText="1"/>
    </xf>
    <xf numFmtId="0" fontId="38" fillId="16" borderId="10" xfId="0" applyFont="1" applyFill="1" applyBorder="1" applyAlignment="1">
      <alignment horizontal="center" vertical="center" wrapText="1"/>
    </xf>
    <xf numFmtId="0" fontId="8" fillId="16" borderId="11" xfId="0" applyFont="1" applyFill="1" applyBorder="1" applyAlignment="1">
      <alignment horizontal="center" wrapText="1"/>
    </xf>
    <xf numFmtId="0" fontId="38" fillId="16" borderId="11"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12" xfId="0" applyFont="1" applyFill="1" applyBorder="1" applyAlignment="1">
      <alignment horizontal="center" vertical="center" wrapText="1"/>
    </xf>
    <xf numFmtId="3" fontId="8" fillId="16" borderId="11" xfId="0" applyNumberFormat="1" applyFont="1" applyFill="1" applyBorder="1" applyAlignment="1">
      <alignment horizontal="center" vertical="center" wrapText="1"/>
    </xf>
    <xf numFmtId="3" fontId="8" fillId="16" borderId="10" xfId="0" applyNumberFormat="1" applyFont="1" applyFill="1" applyBorder="1" applyAlignment="1">
      <alignment horizontal="center" vertical="center" wrapText="1"/>
    </xf>
    <xf numFmtId="0" fontId="8" fillId="16" borderId="10" xfId="0" applyNumberFormat="1" applyFont="1" applyFill="1" applyBorder="1" applyAlignment="1">
      <alignment horizontal="center" vertical="center" wrapText="1"/>
    </xf>
    <xf numFmtId="0" fontId="8" fillId="16" borderId="15" xfId="0" applyFont="1" applyFill="1" applyBorder="1" applyAlignment="1">
      <alignment vertical="center" wrapText="1"/>
    </xf>
    <xf numFmtId="0" fontId="38" fillId="16" borderId="15" xfId="0" applyFont="1" applyFill="1" applyBorder="1" applyAlignment="1">
      <alignment wrapText="1"/>
    </xf>
    <xf numFmtId="3" fontId="8" fillId="16" borderId="15" xfId="0" applyNumberFormat="1" applyFont="1" applyFill="1" applyBorder="1" applyAlignment="1">
      <alignment horizontal="center" vertical="center" wrapText="1"/>
    </xf>
    <xf numFmtId="0" fontId="8" fillId="13" borderId="15" xfId="0" applyFont="1" applyFill="1" applyBorder="1" applyAlignment="1">
      <alignment vertical="center" wrapText="1"/>
    </xf>
    <xf numFmtId="0" fontId="54" fillId="13" borderId="15" xfId="0" applyFont="1" applyFill="1" applyBorder="1" applyAlignment="1">
      <alignment horizontal="center" wrapText="1"/>
    </xf>
    <xf numFmtId="3" fontId="8" fillId="13" borderId="15" xfId="0" applyNumberFormat="1" applyFont="1" applyFill="1" applyBorder="1" applyAlignment="1">
      <alignment horizontal="center" vertical="center" wrapText="1"/>
    </xf>
    <xf numFmtId="0" fontId="22" fillId="13" borderId="15" xfId="0" applyFont="1" applyFill="1" applyBorder="1" applyAlignment="1">
      <alignment horizontal="center" wrapText="1"/>
    </xf>
    <xf numFmtId="0" fontId="5" fillId="13" borderId="15" xfId="0" applyFont="1" applyFill="1" applyBorder="1" applyAlignment="1">
      <alignment horizontal="center" vertical="center" wrapText="1"/>
    </xf>
    <xf numFmtId="0" fontId="8" fillId="12" borderId="11" xfId="0" applyFont="1" applyFill="1" applyBorder="1" applyAlignment="1">
      <alignment vertical="center" wrapText="1"/>
    </xf>
    <xf numFmtId="9" fontId="8" fillId="12" borderId="10" xfId="0" applyNumberFormat="1" applyFont="1" applyFill="1" applyBorder="1" applyAlignment="1">
      <alignment horizontal="center" wrapText="1"/>
    </xf>
    <xf numFmtId="0" fontId="3" fillId="8" borderId="10"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8" fillId="0" borderId="15" xfId="0" applyFont="1" applyFill="1" applyBorder="1" applyAlignment="1">
      <alignment horizontal="center" vertical="center"/>
    </xf>
    <xf numFmtId="0" fontId="13"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0" fontId="112" fillId="0" borderId="11" xfId="0" applyFont="1" applyFill="1" applyBorder="1" applyAlignment="1">
      <alignment horizontal="center" vertical="center" wrapText="1"/>
    </xf>
    <xf numFmtId="0" fontId="112" fillId="0" borderId="12"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3" fillId="0" borderId="12" xfId="0" applyFont="1" applyFill="1" applyBorder="1" applyAlignment="1">
      <alignment horizontal="center" wrapText="1"/>
    </xf>
    <xf numFmtId="9" fontId="13" fillId="0" borderId="12" xfId="0" applyNumberFormat="1" applyFont="1" applyFill="1" applyBorder="1" applyAlignment="1">
      <alignment horizontal="center" vertical="center" wrapText="1"/>
    </xf>
    <xf numFmtId="9" fontId="12" fillId="0" borderId="12" xfId="52"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37" fontId="0" fillId="0" borderId="12" xfId="48" applyNumberFormat="1" applyFont="1" applyBorder="1" applyAlignment="1">
      <alignment horizontal="center" vertical="center"/>
    </xf>
    <xf numFmtId="37" fontId="0" fillId="0" borderId="15" xfId="48" applyNumberFormat="1" applyFont="1" applyBorder="1" applyAlignment="1">
      <alignment horizontal="center" vertical="center"/>
    </xf>
    <xf numFmtId="0" fontId="106" fillId="0" borderId="15" xfId="0" applyFont="1" applyBorder="1" applyAlignment="1">
      <alignment horizontal="center" vertical="center" wrapText="1"/>
    </xf>
    <xf numFmtId="0" fontId="104" fillId="34" borderId="1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3"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1" fontId="0" fillId="0" borderId="12" xfId="48" applyNumberFormat="1" applyFont="1" applyBorder="1" applyAlignment="1">
      <alignment horizontal="center" vertical="center"/>
    </xf>
    <xf numFmtId="0" fontId="105" fillId="34" borderId="11" xfId="0" applyFont="1" applyFill="1" applyBorder="1" applyAlignment="1">
      <alignment horizontal="center" vertical="center" wrapText="1"/>
    </xf>
    <xf numFmtId="0" fontId="105" fillId="34" borderId="12" xfId="0"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07" fillId="0" borderId="12" xfId="0" applyFont="1" applyBorder="1" applyAlignment="1">
      <alignment horizontal="center" vertical="center" wrapText="1"/>
    </xf>
    <xf numFmtId="0" fontId="105" fillId="34" borderId="10" xfId="0" applyFont="1" applyFill="1" applyBorder="1" applyAlignment="1">
      <alignment horizontal="center" vertical="center" wrapText="1"/>
    </xf>
    <xf numFmtId="0" fontId="107" fillId="34" borderId="12" xfId="0" applyFont="1" applyFill="1" applyBorder="1" applyAlignment="1">
      <alignment horizontal="center" vertical="center" wrapText="1"/>
    </xf>
    <xf numFmtId="37" fontId="0" fillId="0" borderId="12" xfId="48" applyNumberFormat="1" applyFont="1" applyBorder="1" applyAlignment="1">
      <alignment horizontal="center" vertical="center" wrapText="1"/>
    </xf>
    <xf numFmtId="9" fontId="107" fillId="34" borderId="16" xfId="0" applyNumberFormat="1" applyFont="1" applyFill="1" applyBorder="1" applyAlignment="1">
      <alignment horizontal="center" vertical="center" wrapText="1"/>
    </xf>
    <xf numFmtId="9" fontId="107" fillId="0" borderId="20" xfId="0" applyNumberFormat="1" applyFont="1" applyBorder="1" applyAlignment="1">
      <alignment horizontal="center" vertical="center" wrapText="1"/>
    </xf>
    <xf numFmtId="0" fontId="11" fillId="34" borderId="10" xfId="0" applyFont="1" applyFill="1" applyBorder="1" applyAlignment="1">
      <alignment horizontal="center" vertical="center" wrapText="1"/>
    </xf>
    <xf numFmtId="9" fontId="107" fillId="0" borderId="15" xfId="0" applyNumberFormat="1" applyFont="1" applyBorder="1" applyAlignment="1">
      <alignment horizontal="center" vertical="center" wrapText="1"/>
    </xf>
    <xf numFmtId="9" fontId="3" fillId="0" borderId="15" xfId="0" applyNumberFormat="1" applyFont="1" applyFill="1" applyBorder="1" applyAlignment="1">
      <alignment horizontal="center" vertical="center" wrapText="1"/>
    </xf>
    <xf numFmtId="0" fontId="105" fillId="0" borderId="10" xfId="0" applyFont="1" applyBorder="1" applyAlignment="1">
      <alignment horizontal="center" wrapText="1"/>
    </xf>
    <xf numFmtId="0" fontId="108" fillId="34" borderId="10" xfId="0" applyFont="1" applyFill="1" applyBorder="1" applyAlignment="1">
      <alignment horizontal="center" vertical="center" wrapText="1"/>
    </xf>
    <xf numFmtId="0" fontId="24" fillId="13" borderId="11" xfId="0" applyFont="1" applyFill="1" applyBorder="1" applyAlignment="1">
      <alignment vertical="center" wrapText="1"/>
    </xf>
    <xf numFmtId="0" fontId="120" fillId="13" borderId="10" xfId="0" applyFont="1" applyFill="1" applyBorder="1" applyAlignment="1">
      <alignment horizontal="center" vertical="center"/>
    </xf>
    <xf numFmtId="3" fontId="116" fillId="13" borderId="10" xfId="0" applyNumberFormat="1" applyFont="1" applyFill="1" applyBorder="1" applyAlignment="1">
      <alignment horizontal="center" vertical="center"/>
    </xf>
    <xf numFmtId="0" fontId="21" fillId="13" borderId="10" xfId="0" applyFont="1" applyFill="1" applyBorder="1" applyAlignment="1">
      <alignment horizontal="center" vertical="center" wrapText="1"/>
    </xf>
    <xf numFmtId="0" fontId="102" fillId="13" borderId="10" xfId="0" applyFont="1" applyFill="1" applyBorder="1" applyAlignment="1">
      <alignment horizontal="center" vertical="center"/>
    </xf>
    <xf numFmtId="3" fontId="2" fillId="7" borderId="10"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0" fontId="5" fillId="13" borderId="11" xfId="0" applyFont="1" applyFill="1" applyBorder="1" applyAlignment="1">
      <alignment horizontal="center" wrapText="1"/>
    </xf>
    <xf numFmtId="0" fontId="24" fillId="3" borderId="10" xfId="0" applyFont="1" applyFill="1" applyBorder="1" applyAlignment="1">
      <alignment horizontal="center" vertical="center" wrapText="1"/>
    </xf>
    <xf numFmtId="0" fontId="54" fillId="13" borderId="10" xfId="0" applyFont="1" applyFill="1" applyBorder="1" applyAlignment="1">
      <alignment horizontal="center" vertical="center" wrapText="1"/>
    </xf>
    <xf numFmtId="3" fontId="8" fillId="13" borderId="12" xfId="0" applyNumberFormat="1" applyFont="1" applyFill="1" applyBorder="1" applyAlignment="1">
      <alignment horizontal="center" vertical="center" wrapText="1"/>
    </xf>
    <xf numFmtId="0" fontId="24" fillId="13" borderId="10" xfId="0" applyFont="1" applyFill="1" applyBorder="1" applyAlignment="1">
      <alignment horizontal="center" wrapText="1"/>
    </xf>
    <xf numFmtId="0" fontId="106" fillId="13" borderId="12" xfId="0" applyFont="1" applyFill="1" applyBorder="1" applyAlignment="1">
      <alignment vertical="center" wrapText="1"/>
    </xf>
    <xf numFmtId="172" fontId="114" fillId="13" borderId="10" xfId="46" applyNumberFormat="1" applyFont="1" applyFill="1" applyBorder="1" applyAlignment="1">
      <alignment horizontal="center" vertical="center"/>
    </xf>
    <xf numFmtId="0" fontId="3" fillId="0" borderId="22" xfId="0" applyFont="1" applyBorder="1" applyAlignment="1">
      <alignment/>
    </xf>
    <xf numFmtId="0" fontId="108" fillId="0" borderId="10" xfId="0" applyFont="1" applyFill="1" applyBorder="1" applyAlignment="1">
      <alignment horizontal="center" vertical="center"/>
    </xf>
    <xf numFmtId="0" fontId="8" fillId="0" borderId="10" xfId="0" applyFont="1" applyFill="1" applyBorder="1" applyAlignment="1">
      <alignment vertical="center" wrapText="1"/>
    </xf>
    <xf numFmtId="0" fontId="106" fillId="0" borderId="10" xfId="0" applyFont="1" applyFill="1" applyBorder="1" applyAlignment="1">
      <alignment horizontal="center" vertical="top" wrapText="1"/>
    </xf>
    <xf numFmtId="10" fontId="108" fillId="0" borderId="10" xfId="52" applyNumberFormat="1" applyFont="1" applyFill="1" applyBorder="1" applyAlignment="1">
      <alignment horizontal="center" vertical="top" wrapText="1"/>
    </xf>
    <xf numFmtId="0" fontId="106" fillId="0" borderId="10" xfId="0" applyFont="1" applyFill="1" applyBorder="1" applyAlignment="1">
      <alignment horizontal="justify" vertical="top" wrapText="1"/>
    </xf>
    <xf numFmtId="4" fontId="108" fillId="0" borderId="10" xfId="0" applyNumberFormat="1" applyFont="1" applyFill="1" applyBorder="1" applyAlignment="1">
      <alignment horizontal="center" vertical="top" wrapText="1"/>
    </xf>
    <xf numFmtId="4" fontId="108" fillId="0" borderId="10" xfId="0" applyNumberFormat="1" applyFont="1" applyFill="1" applyBorder="1" applyAlignment="1">
      <alignment horizontal="center" vertical="top"/>
    </xf>
    <xf numFmtId="0" fontId="108" fillId="0" borderId="10" xfId="0" applyFont="1" applyFill="1" applyBorder="1" applyAlignment="1">
      <alignment vertical="top"/>
    </xf>
    <xf numFmtId="178" fontId="108" fillId="0" borderId="10" xfId="0" applyNumberFormat="1" applyFont="1" applyFill="1" applyBorder="1" applyAlignment="1">
      <alignment vertical="top"/>
    </xf>
    <xf numFmtId="0" fontId="108" fillId="0" borderId="10" xfId="0" applyFont="1" applyFill="1" applyBorder="1" applyAlignment="1">
      <alignment vertical="top" wrapText="1"/>
    </xf>
    <xf numFmtId="0" fontId="106" fillId="0" borderId="10" xfId="0" applyFont="1" applyFill="1" applyBorder="1" applyAlignment="1">
      <alignment vertical="top" wrapText="1"/>
    </xf>
    <xf numFmtId="3" fontId="108" fillId="0" borderId="10" xfId="0" applyNumberFormat="1" applyFont="1" applyFill="1" applyBorder="1" applyAlignment="1">
      <alignment vertical="top"/>
    </xf>
    <xf numFmtId="0" fontId="106" fillId="0" borderId="10" xfId="0" applyFont="1" applyFill="1" applyBorder="1" applyAlignment="1">
      <alignment horizontal="center" vertical="top"/>
    </xf>
    <xf numFmtId="4" fontId="108" fillId="0" borderId="10" xfId="0" applyNumberFormat="1" applyFont="1" applyFill="1" applyBorder="1" applyAlignment="1">
      <alignment vertical="top"/>
    </xf>
    <xf numFmtId="0" fontId="108" fillId="0" borderId="10" xfId="0" applyFont="1" applyFill="1" applyBorder="1" applyAlignment="1">
      <alignment horizontal="center" vertical="top"/>
    </xf>
    <xf numFmtId="10" fontId="106" fillId="0" borderId="10" xfId="52" applyNumberFormat="1" applyFont="1" applyFill="1" applyBorder="1" applyAlignment="1">
      <alignment horizontal="center" vertical="center" wrapText="1"/>
    </xf>
    <xf numFmtId="10" fontId="106" fillId="0" borderId="10" xfId="0" applyNumberFormat="1" applyFont="1" applyFill="1" applyBorder="1" applyAlignment="1">
      <alignment horizontal="center" vertical="center" wrapText="1"/>
    </xf>
    <xf numFmtId="10" fontId="8" fillId="0" borderId="10" xfId="52"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0" fontId="106" fillId="0" borderId="10" xfId="52" applyNumberFormat="1" applyFont="1" applyFill="1" applyBorder="1" applyAlignment="1">
      <alignment horizontal="center" vertical="top" wrapText="1"/>
    </xf>
    <xf numFmtId="9" fontId="106" fillId="0" borderId="10" xfId="52" applyFont="1" applyFill="1" applyBorder="1" applyAlignment="1">
      <alignment horizontal="center" vertical="top" wrapText="1"/>
    </xf>
    <xf numFmtId="4" fontId="106" fillId="0" borderId="10" xfId="0" applyNumberFormat="1" applyFont="1" applyFill="1" applyBorder="1" applyAlignment="1">
      <alignment horizontal="center" vertical="top" wrapText="1"/>
    </xf>
    <xf numFmtId="0" fontId="108" fillId="0" borderId="10" xfId="0" applyFont="1" applyFill="1" applyBorder="1" applyAlignment="1">
      <alignment horizontal="center" vertical="top" wrapText="1"/>
    </xf>
    <xf numFmtId="9" fontId="106" fillId="0" borderId="10" xfId="52" applyFont="1" applyFill="1" applyBorder="1" applyAlignment="1">
      <alignment horizontal="center" vertical="top"/>
    </xf>
    <xf numFmtId="9" fontId="8" fillId="0" borderId="10" xfId="52" applyFont="1" applyFill="1" applyBorder="1" applyAlignment="1">
      <alignment horizontal="center" vertical="top" wrapText="1"/>
    </xf>
    <xf numFmtId="9" fontId="106" fillId="0" borderId="10" xfId="0" applyNumberFormat="1" applyFont="1" applyFill="1" applyBorder="1" applyAlignment="1">
      <alignment horizontal="center" vertical="top" wrapText="1"/>
    </xf>
    <xf numFmtId="9" fontId="108" fillId="0" borderId="10" xfId="52" applyFont="1" applyFill="1" applyBorder="1" applyAlignment="1">
      <alignment horizontal="center" vertical="top"/>
    </xf>
    <xf numFmtId="2" fontId="106" fillId="0" borderId="10" xfId="0" applyNumberFormat="1" applyFont="1" applyFill="1" applyBorder="1" applyAlignment="1">
      <alignment horizontal="center" vertical="top" wrapText="1"/>
    </xf>
    <xf numFmtId="10" fontId="108" fillId="34" borderId="10" xfId="52" applyNumberFormat="1" applyFont="1" applyFill="1" applyBorder="1" applyAlignment="1">
      <alignment horizontal="center" vertical="top" wrapText="1"/>
    </xf>
    <xf numFmtId="9" fontId="108" fillId="34" borderId="10" xfId="52" applyFont="1" applyFill="1" applyBorder="1" applyAlignment="1">
      <alignment horizontal="center" vertical="top" wrapText="1"/>
    </xf>
    <xf numFmtId="3" fontId="108" fillId="34" borderId="10" xfId="0" applyNumberFormat="1" applyFont="1" applyFill="1" applyBorder="1" applyAlignment="1">
      <alignment vertical="top" wrapText="1"/>
    </xf>
    <xf numFmtId="0" fontId="0" fillId="0" borderId="10" xfId="0" applyBorder="1" applyAlignment="1">
      <alignment/>
    </xf>
    <xf numFmtId="3" fontId="106" fillId="34" borderId="10" xfId="0" applyNumberFormat="1" applyFont="1" applyFill="1" applyBorder="1" applyAlignment="1">
      <alignment horizontal="center" vertical="top" wrapText="1"/>
    </xf>
    <xf numFmtId="4" fontId="108" fillId="34" borderId="10" xfId="0" applyNumberFormat="1" applyFont="1" applyFill="1" applyBorder="1" applyAlignment="1">
      <alignment horizontal="center" vertical="top" wrapText="1"/>
    </xf>
    <xf numFmtId="3" fontId="106" fillId="0" borderId="10" xfId="0" applyNumberFormat="1" applyFont="1" applyFill="1" applyBorder="1" applyAlignment="1">
      <alignment horizontal="center" vertical="top" wrapText="1"/>
    </xf>
    <xf numFmtId="3" fontId="8" fillId="0" borderId="10" xfId="0" applyNumberFormat="1" applyFont="1" applyFill="1" applyBorder="1" applyAlignment="1">
      <alignment vertical="top"/>
    </xf>
    <xf numFmtId="9" fontId="106" fillId="34" borderId="10" xfId="0" applyNumberFormat="1" applyFont="1" applyFill="1" applyBorder="1" applyAlignment="1">
      <alignment horizontal="center" vertical="top"/>
    </xf>
    <xf numFmtId="10" fontId="108" fillId="34" borderId="10" xfId="52" applyNumberFormat="1" applyFont="1" applyFill="1" applyBorder="1" applyAlignment="1">
      <alignment horizontal="center" vertical="top"/>
    </xf>
    <xf numFmtId="3" fontId="108" fillId="34" borderId="10" xfId="0" applyNumberFormat="1" applyFont="1" applyFill="1" applyBorder="1" applyAlignment="1">
      <alignment vertical="top"/>
    </xf>
    <xf numFmtId="9" fontId="8" fillId="34" borderId="10" xfId="0" applyNumberFormat="1" applyFont="1" applyFill="1" applyBorder="1" applyAlignment="1">
      <alignment horizontal="center" vertical="top"/>
    </xf>
    <xf numFmtId="0" fontId="8" fillId="34" borderId="10" xfId="0" applyFont="1" applyFill="1" applyBorder="1" applyAlignment="1">
      <alignment vertical="top" wrapText="1"/>
    </xf>
    <xf numFmtId="0" fontId="8" fillId="34" borderId="10" xfId="0" applyFont="1" applyFill="1" applyBorder="1" applyAlignment="1">
      <alignment horizontal="center" vertical="top" wrapText="1"/>
    </xf>
    <xf numFmtId="4" fontId="8" fillId="0" borderId="10" xfId="52" applyNumberFormat="1" applyFont="1" applyFill="1" applyBorder="1" applyAlignment="1">
      <alignment horizontal="center" vertical="top"/>
    </xf>
    <xf numFmtId="0" fontId="8" fillId="0" borderId="10" xfId="0" applyFont="1" applyFill="1" applyBorder="1" applyAlignment="1">
      <alignment vertical="top" wrapText="1"/>
    </xf>
    <xf numFmtId="4" fontId="8" fillId="0" borderId="10" xfId="52" applyNumberFormat="1" applyFont="1" applyFill="1" applyBorder="1" applyAlignment="1">
      <alignment horizontal="center" vertical="top" wrapText="1"/>
    </xf>
    <xf numFmtId="4" fontId="8" fillId="34" borderId="10" xfId="52" applyNumberFormat="1" applyFont="1" applyFill="1" applyBorder="1" applyAlignment="1">
      <alignment horizontal="center" vertical="top"/>
    </xf>
    <xf numFmtId="4" fontId="108" fillId="34" borderId="10" xfId="0" applyNumberFormat="1" applyFont="1" applyFill="1" applyBorder="1" applyAlignment="1">
      <alignment horizontal="center" vertical="top"/>
    </xf>
    <xf numFmtId="0" fontId="8" fillId="34" borderId="10" xfId="0" applyFont="1" applyFill="1" applyBorder="1" applyAlignment="1">
      <alignment horizontal="justify" vertical="top" wrapText="1"/>
    </xf>
    <xf numFmtId="0" fontId="108" fillId="34" borderId="10" xfId="0" applyFont="1" applyFill="1" applyBorder="1" applyAlignment="1">
      <alignment horizontal="center" vertical="top"/>
    </xf>
    <xf numFmtId="9" fontId="108" fillId="34" borderId="10" xfId="52" applyFont="1" applyFill="1" applyBorder="1" applyAlignment="1">
      <alignment horizontal="center" vertical="top"/>
    </xf>
    <xf numFmtId="9" fontId="108" fillId="0" borderId="10" xfId="52" applyFont="1" applyFill="1" applyBorder="1" applyAlignment="1">
      <alignment horizontal="center" vertical="top" wrapText="1"/>
    </xf>
    <xf numFmtId="0" fontId="106" fillId="34" borderId="0" xfId="0" applyFont="1" applyFill="1" applyBorder="1" applyAlignment="1">
      <alignment horizontal="center" vertical="top" wrapText="1"/>
    </xf>
    <xf numFmtId="0" fontId="108" fillId="0" borderId="0" xfId="0" applyFont="1" applyFill="1" applyBorder="1" applyAlignment="1">
      <alignment horizontal="center" vertical="top"/>
    </xf>
    <xf numFmtId="0" fontId="0" fillId="0" borderId="0" xfId="0" applyAlignment="1">
      <alignment horizontal="center"/>
    </xf>
    <xf numFmtId="175" fontId="3" fillId="0" borderId="10" xfId="46" applyNumberFormat="1" applyFont="1" applyBorder="1" applyAlignment="1">
      <alignment horizontal="center" wrapText="1"/>
    </xf>
    <xf numFmtId="0" fontId="3" fillId="0" borderId="10" xfId="0" applyNumberFormat="1" applyFont="1" applyBorder="1" applyAlignment="1">
      <alignment horizontal="center" wrapText="1"/>
    </xf>
    <xf numFmtId="0" fontId="3" fillId="0" borderId="10" xfId="0" applyFont="1" applyFill="1" applyBorder="1" applyAlignment="1">
      <alignment horizontal="justify" vertical="justify" wrapText="1"/>
    </xf>
    <xf numFmtId="0" fontId="3" fillId="0" borderId="11" xfId="0" applyFont="1" applyBorder="1" applyAlignment="1">
      <alignment horizontal="center" wrapText="1"/>
    </xf>
    <xf numFmtId="0" fontId="106" fillId="0" borderId="10" xfId="0" applyFont="1" applyBorder="1" applyAlignment="1">
      <alignment vertical="center" wrapText="1"/>
    </xf>
    <xf numFmtId="0" fontId="3" fillId="0" borderId="17" xfId="0" applyFont="1" applyBorder="1" applyAlignment="1">
      <alignment horizontal="center" wrapText="1"/>
    </xf>
    <xf numFmtId="176" fontId="3" fillId="0" borderId="10" xfId="46" applyNumberFormat="1" applyFont="1" applyBorder="1" applyAlignment="1">
      <alignment horizontal="center" wrapText="1"/>
    </xf>
    <xf numFmtId="0" fontId="3" fillId="0" borderId="15" xfId="0" applyFont="1" applyFill="1" applyBorder="1" applyAlignment="1">
      <alignment horizontal="justify" vertical="center"/>
    </xf>
    <xf numFmtId="0" fontId="3" fillId="0" borderId="15" xfId="0" applyFont="1" applyFill="1" applyBorder="1" applyAlignment="1">
      <alignment horizontal="justify" vertical="top"/>
    </xf>
    <xf numFmtId="0" fontId="106" fillId="0" borderId="11" xfId="0" applyFont="1" applyBorder="1" applyAlignment="1">
      <alignment vertical="center" wrapText="1"/>
    </xf>
    <xf numFmtId="0" fontId="106" fillId="0" borderId="15" xfId="0" applyFont="1" applyBorder="1" applyAlignment="1">
      <alignment vertical="center" wrapText="1"/>
    </xf>
    <xf numFmtId="0" fontId="106" fillId="38"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0" borderId="15" xfId="0" applyNumberFormat="1" applyFont="1" applyFill="1" applyBorder="1" applyAlignment="1">
      <alignment horizontal="center" vertical="center" textRotation="90" wrapText="1"/>
    </xf>
    <xf numFmtId="9"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0" borderId="10" xfId="46" applyNumberFormat="1" applyFont="1" applyBorder="1" applyAlignment="1">
      <alignment horizontal="center" vertical="center"/>
    </xf>
    <xf numFmtId="174" fontId="114" fillId="0" borderId="10" xfId="46" applyNumberFormat="1" applyFont="1" applyBorder="1" applyAlignment="1">
      <alignment horizontal="center" vertical="center"/>
    </xf>
    <xf numFmtId="176" fontId="114" fillId="0" borderId="10" xfId="46" applyNumberFormat="1" applyFont="1" applyBorder="1" applyAlignment="1">
      <alignment horizontal="center" vertical="center"/>
    </xf>
    <xf numFmtId="9" fontId="3" fillId="0" borderId="10" xfId="0" applyNumberFormat="1" applyFont="1" applyBorder="1" applyAlignment="1">
      <alignment horizontal="center" vertical="center"/>
    </xf>
    <xf numFmtId="174" fontId="3" fillId="0" borderId="10" xfId="46" applyNumberFormat="1" applyFont="1" applyBorder="1" applyAlignment="1">
      <alignment horizontal="center" vertical="center"/>
    </xf>
    <xf numFmtId="176" fontId="3" fillId="0" borderId="10" xfId="46" applyNumberFormat="1" applyFont="1" applyBorder="1" applyAlignment="1">
      <alignment horizontal="right" vertical="center"/>
    </xf>
    <xf numFmtId="177" fontId="3" fillId="0" borderId="10" xfId="46" applyNumberFormat="1" applyFont="1" applyBorder="1" applyAlignment="1">
      <alignment horizontal="right" vertical="center"/>
    </xf>
    <xf numFmtId="0" fontId="106" fillId="38" borderId="15" xfId="0" applyFont="1" applyFill="1" applyBorder="1" applyAlignment="1">
      <alignment horizontal="center" vertical="center" wrapText="1"/>
    </xf>
    <xf numFmtId="174" fontId="3" fillId="0" borderId="10" xfId="46" applyNumberFormat="1" applyFont="1" applyBorder="1" applyAlignment="1">
      <alignment horizontal="right" vertical="center"/>
    </xf>
    <xf numFmtId="0" fontId="106" fillId="38" borderId="0" xfId="0" applyFont="1" applyFill="1" applyBorder="1" applyAlignment="1">
      <alignment horizontal="center" vertical="center" wrapText="1"/>
    </xf>
    <xf numFmtId="9" fontId="3" fillId="0" borderId="11" xfId="0" applyNumberFormat="1" applyFont="1" applyFill="1" applyBorder="1" applyAlignment="1">
      <alignment horizontal="left" vertical="center" wrapText="1"/>
    </xf>
    <xf numFmtId="0" fontId="3" fillId="0" borderId="21" xfId="0" applyFont="1" applyFill="1" applyBorder="1" applyAlignment="1">
      <alignment horizontal="left" vertical="center" wrapText="1"/>
    </xf>
    <xf numFmtId="0" fontId="106" fillId="38" borderId="10" xfId="0" applyFont="1" applyFill="1" applyBorder="1" applyAlignment="1">
      <alignment horizontal="justify" vertical="center" wrapText="1"/>
    </xf>
    <xf numFmtId="0" fontId="106" fillId="0" borderId="19" xfId="0" applyFont="1" applyBorder="1" applyAlignment="1">
      <alignment vertical="center" wrapText="1"/>
    </xf>
    <xf numFmtId="0" fontId="106" fillId="0" borderId="10" xfId="0" applyFont="1" applyBorder="1" applyAlignment="1">
      <alignment horizontal="justify" vertical="top" wrapText="1"/>
    </xf>
    <xf numFmtId="9" fontId="3" fillId="0" borderId="17" xfId="0" applyNumberFormat="1" applyFont="1" applyFill="1" applyBorder="1" applyAlignment="1">
      <alignment horizontal="center" vertical="center" wrapText="1"/>
    </xf>
    <xf numFmtId="176" fontId="3" fillId="0" borderId="10" xfId="46" applyNumberFormat="1" applyFont="1" applyFill="1" applyBorder="1" applyAlignment="1">
      <alignment horizontal="right" vertical="center" wrapText="1"/>
    </xf>
    <xf numFmtId="0" fontId="31" fillId="0" borderId="0" xfId="0" applyFont="1" applyAlignment="1">
      <alignment/>
    </xf>
    <xf numFmtId="0" fontId="0" fillId="0" borderId="0" xfId="0" applyFill="1" applyAlignment="1">
      <alignment/>
    </xf>
    <xf numFmtId="0" fontId="32" fillId="0" borderId="0" xfId="0" applyFont="1" applyAlignment="1">
      <alignment/>
    </xf>
    <xf numFmtId="9" fontId="121" fillId="7" borderId="10" xfId="0" applyNumberFormat="1" applyFont="1" applyFill="1" applyBorder="1" applyAlignment="1">
      <alignment horizontal="center" vertical="center"/>
    </xf>
    <xf numFmtId="0" fontId="121" fillId="7" borderId="10" xfId="0" applyFont="1" applyFill="1" applyBorder="1" applyAlignment="1">
      <alignment horizontal="justify" vertical="center"/>
    </xf>
    <xf numFmtId="9" fontId="121" fillId="7" borderId="10" xfId="0" applyNumberFormat="1" applyFont="1" applyFill="1" applyBorder="1" applyAlignment="1">
      <alignment horizontal="justify" vertical="center"/>
    </xf>
    <xf numFmtId="178" fontId="121" fillId="7" borderId="10" xfId="0" applyNumberFormat="1" applyFont="1" applyFill="1" applyBorder="1" applyAlignment="1">
      <alignment horizontal="justify" vertical="center"/>
    </xf>
    <xf numFmtId="3" fontId="121" fillId="7" borderId="10" xfId="0" applyNumberFormat="1" applyFont="1" applyFill="1" applyBorder="1" applyAlignment="1">
      <alignment horizontal="justify" vertical="center"/>
    </xf>
    <xf numFmtId="0" fontId="0" fillId="10" borderId="0" xfId="0" applyFill="1" applyAlignment="1">
      <alignment/>
    </xf>
    <xf numFmtId="0" fontId="3" fillId="0" borderId="10" xfId="0" applyFont="1" applyFill="1" applyBorder="1" applyAlignment="1">
      <alignment vertical="center" wrapText="1"/>
    </xf>
    <xf numFmtId="0" fontId="106"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1" xfId="0" applyFont="1" applyBorder="1" applyAlignment="1">
      <alignment/>
    </xf>
    <xf numFmtId="0" fontId="2" fillId="0" borderId="11" xfId="0" applyFont="1" applyFill="1" applyBorder="1" applyAlignment="1">
      <alignment/>
    </xf>
    <xf numFmtId="0" fontId="2" fillId="0" borderId="15" xfId="0" applyFont="1" applyBorder="1" applyAlignment="1">
      <alignment/>
    </xf>
    <xf numFmtId="0" fontId="2" fillId="0" borderId="15" xfId="0" applyFont="1" applyFill="1" applyBorder="1" applyAlignment="1">
      <alignment/>
    </xf>
    <xf numFmtId="0" fontId="2" fillId="0" borderId="15" xfId="0" applyFont="1" applyFill="1" applyBorder="1" applyAlignment="1">
      <alignment vertical="top" wrapText="1"/>
    </xf>
    <xf numFmtId="0" fontId="25" fillId="39" borderId="11" xfId="0" applyFont="1" applyFill="1" applyBorder="1" applyAlignment="1">
      <alignment horizontal="center" vertical="center" wrapText="1"/>
    </xf>
    <xf numFmtId="0" fontId="108" fillId="19" borderId="10" xfId="0" applyFont="1" applyFill="1" applyBorder="1" applyAlignment="1">
      <alignment horizontal="center" vertical="center" wrapText="1"/>
    </xf>
    <xf numFmtId="0" fontId="25" fillId="39" borderId="12" xfId="0" applyFont="1" applyFill="1" applyBorder="1" applyAlignment="1">
      <alignment horizontal="center" vertical="center" wrapText="1"/>
    </xf>
    <xf numFmtId="0" fontId="108" fillId="0" borderId="10" xfId="0" applyFont="1" applyFill="1" applyBorder="1" applyAlignment="1">
      <alignment horizontal="center" wrapText="1"/>
    </xf>
    <xf numFmtId="0" fontId="108" fillId="0" borderId="10" xfId="0" applyFont="1" applyFill="1" applyBorder="1" applyAlignment="1">
      <alignment horizontal="center"/>
    </xf>
    <xf numFmtId="0" fontId="108" fillId="0" borderId="10" xfId="0" applyFont="1" applyFill="1" applyBorder="1" applyAlignment="1">
      <alignment horizontal="center" vertical="center" wrapText="1"/>
    </xf>
    <xf numFmtId="0" fontId="0" fillId="0" borderId="10" xfId="0" applyFont="1" applyFill="1" applyBorder="1" applyAlignment="1">
      <alignment/>
    </xf>
    <xf numFmtId="171" fontId="0" fillId="0" borderId="10" xfId="46"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center"/>
    </xf>
    <xf numFmtId="0" fontId="108" fillId="0" borderId="11" xfId="0" applyFont="1" applyFill="1" applyBorder="1" applyAlignment="1">
      <alignment vertical="center" wrapText="1"/>
    </xf>
    <xf numFmtId="0" fontId="110" fillId="0" borderId="10" xfId="0" applyFont="1" applyFill="1" applyBorder="1" applyAlignment="1">
      <alignment horizontal="center" wrapText="1"/>
    </xf>
    <xf numFmtId="0" fontId="108" fillId="0" borderId="11" xfId="0" applyFont="1" applyFill="1" applyBorder="1" applyAlignment="1">
      <alignment horizontal="center" vertical="center" wrapText="1"/>
    </xf>
    <xf numFmtId="0" fontId="0" fillId="0" borderId="11" xfId="0" applyFont="1" applyFill="1" applyBorder="1" applyAlignment="1">
      <alignment horizontal="center"/>
    </xf>
    <xf numFmtId="171" fontId="0" fillId="0" borderId="11" xfId="46" applyFont="1" applyFill="1" applyBorder="1" applyAlignment="1">
      <alignment horizontal="center"/>
    </xf>
    <xf numFmtId="0" fontId="108" fillId="0" borderId="10" xfId="0" applyFont="1" applyFill="1" applyBorder="1" applyAlignment="1">
      <alignment wrapText="1"/>
    </xf>
    <xf numFmtId="0" fontId="108" fillId="0" borderId="10" xfId="0" applyFont="1" applyFill="1" applyBorder="1" applyAlignment="1">
      <alignment horizontal="justify" wrapText="1"/>
    </xf>
    <xf numFmtId="171" fontId="0" fillId="0" borderId="0" xfId="0" applyNumberFormat="1" applyAlignment="1">
      <alignment/>
    </xf>
    <xf numFmtId="171" fontId="1" fillId="0" borderId="0" xfId="46" applyFont="1" applyAlignment="1">
      <alignment/>
    </xf>
    <xf numFmtId="0" fontId="112" fillId="19" borderId="10" xfId="0" applyFont="1" applyFill="1" applyBorder="1" applyAlignment="1">
      <alignment horizontal="center" vertical="center" wrapText="1"/>
    </xf>
    <xf numFmtId="0" fontId="122" fillId="19" borderId="10" xfId="0" applyFont="1" applyFill="1" applyBorder="1" applyAlignment="1">
      <alignment horizontal="center" vertical="center" wrapText="1"/>
    </xf>
    <xf numFmtId="9" fontId="108" fillId="19" borderId="10" xfId="0" applyNumberFormat="1" applyFont="1" applyFill="1" applyBorder="1" applyAlignment="1">
      <alignment horizontal="center" vertical="center"/>
    </xf>
    <xf numFmtId="0" fontId="0" fillId="19" borderId="10" xfId="0" applyFont="1" applyFill="1" applyBorder="1" applyAlignment="1">
      <alignment horizontal="center" vertical="center"/>
    </xf>
    <xf numFmtId="0" fontId="0" fillId="19" borderId="10" xfId="0" applyFont="1" applyFill="1" applyBorder="1" applyAlignment="1">
      <alignment horizontal="center" vertical="center"/>
    </xf>
    <xf numFmtId="171" fontId="0" fillId="19" borderId="10" xfId="46" applyFont="1" applyFill="1" applyBorder="1" applyAlignment="1">
      <alignment horizontal="center" vertical="center"/>
    </xf>
    <xf numFmtId="0" fontId="0" fillId="19" borderId="10" xfId="0" applyFont="1" applyFill="1" applyBorder="1" applyAlignment="1">
      <alignment horizontal="center" vertical="center" wrapText="1"/>
    </xf>
    <xf numFmtId="0" fontId="0" fillId="0" borderId="11" xfId="0" applyBorder="1" applyAlignment="1">
      <alignment horizontal="center" vertical="center"/>
    </xf>
    <xf numFmtId="0" fontId="11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171" fontId="0" fillId="0" borderId="11" xfId="46"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Border="1" applyAlignment="1">
      <alignment horizontal="center" vertical="center"/>
    </xf>
    <xf numFmtId="171" fontId="0" fillId="0" borderId="15" xfId="0" applyNumberFormat="1" applyBorder="1" applyAlignment="1">
      <alignment horizontal="center" vertical="center"/>
    </xf>
    <xf numFmtId="0" fontId="108" fillId="19" borderId="11" xfId="0" applyFont="1" applyFill="1" applyBorder="1" applyAlignment="1">
      <alignment horizontal="center" vertical="center" wrapText="1"/>
    </xf>
    <xf numFmtId="0" fontId="112" fillId="19" borderId="11" xfId="0" applyFont="1" applyFill="1" applyBorder="1" applyAlignment="1">
      <alignment horizontal="center" vertical="center" wrapText="1"/>
    </xf>
    <xf numFmtId="0" fontId="122" fillId="19" borderId="11" xfId="0" applyFont="1" applyFill="1" applyBorder="1" applyAlignment="1">
      <alignment horizontal="center" vertical="center" wrapText="1"/>
    </xf>
    <xf numFmtId="0" fontId="108" fillId="0" borderId="12"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112" fillId="0" borderId="11" xfId="0" applyFont="1" applyFill="1" applyBorder="1" applyAlignment="1">
      <alignment horizontal="center" wrapText="1"/>
    </xf>
    <xf numFmtId="0" fontId="112" fillId="0" borderId="11" xfId="0" applyFont="1" applyFill="1" applyBorder="1" applyAlignment="1">
      <alignment horizontal="justify" wrapText="1"/>
    </xf>
    <xf numFmtId="0" fontId="0" fillId="39" borderId="12" xfId="0" applyFill="1" applyBorder="1" applyAlignment="1">
      <alignment horizontal="center" vertical="center" wrapText="1"/>
    </xf>
    <xf numFmtId="0" fontId="112" fillId="0" borderId="12" xfId="0" applyFont="1" applyFill="1" applyBorder="1" applyAlignment="1">
      <alignment horizontal="center" wrapText="1"/>
    </xf>
    <xf numFmtId="0" fontId="108" fillId="0" borderId="11" xfId="0" applyFont="1" applyFill="1" applyBorder="1" applyAlignment="1">
      <alignment horizontal="center" wrapText="1"/>
    </xf>
    <xf numFmtId="0" fontId="110" fillId="0" borderId="11" xfId="0" applyFont="1" applyFill="1" applyBorder="1" applyAlignment="1">
      <alignment horizontal="center" wrapText="1"/>
    </xf>
    <xf numFmtId="0" fontId="108" fillId="0" borderId="11" xfId="0" applyFont="1" applyFill="1" applyBorder="1" applyAlignment="1">
      <alignment horizontal="justify" wrapText="1"/>
    </xf>
    <xf numFmtId="0" fontId="0" fillId="0" borderId="11" xfId="0" applyFont="1" applyFill="1" applyBorder="1" applyAlignment="1">
      <alignment/>
    </xf>
    <xf numFmtId="171" fontId="0" fillId="0" borderId="11" xfId="46" applyFont="1" applyFill="1" applyBorder="1" applyAlignment="1">
      <alignment/>
    </xf>
    <xf numFmtId="0" fontId="0" fillId="0" borderId="11" xfId="0" applyFont="1" applyFill="1" applyBorder="1" applyAlignment="1">
      <alignment wrapText="1"/>
    </xf>
    <xf numFmtId="0" fontId="112" fillId="0" borderId="10"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71" fontId="0" fillId="0" borderId="10" xfId="46" applyFont="1" applyFill="1" applyBorder="1" applyAlignment="1">
      <alignment horizontal="center" vertical="center"/>
    </xf>
    <xf numFmtId="0" fontId="97" fillId="0" borderId="0" xfId="0" applyFont="1" applyAlignment="1">
      <alignment/>
    </xf>
    <xf numFmtId="0" fontId="0" fillId="0" borderId="10" xfId="0" applyFont="1" applyFill="1" applyBorder="1" applyAlignment="1">
      <alignment horizontal="center" vertical="center" wrapText="1"/>
    </xf>
    <xf numFmtId="0" fontId="109" fillId="34" borderId="10" xfId="0" applyFont="1" applyFill="1" applyBorder="1" applyAlignment="1">
      <alignment horizontal="center" vertical="center"/>
    </xf>
    <xf numFmtId="171" fontId="109" fillId="34" borderId="10" xfId="46" applyFont="1" applyFill="1" applyBorder="1" applyAlignment="1">
      <alignment horizontal="center" vertical="center"/>
    </xf>
    <xf numFmtId="0" fontId="109" fillId="34" borderId="10" xfId="0" applyFont="1" applyFill="1" applyBorder="1" applyAlignment="1">
      <alignment vertical="center" wrapText="1"/>
    </xf>
    <xf numFmtId="9" fontId="108" fillId="34" borderId="10" xfId="0" applyNumberFormat="1" applyFont="1" applyFill="1" applyBorder="1" applyAlignment="1">
      <alignment horizontal="center" vertical="center" wrapText="1"/>
    </xf>
    <xf numFmtId="0" fontId="108" fillId="34" borderId="11" xfId="0" applyFont="1" applyFill="1" applyBorder="1" applyAlignment="1">
      <alignment horizontal="justify" wrapText="1"/>
    </xf>
    <xf numFmtId="0" fontId="109" fillId="34" borderId="10" xfId="0" applyFont="1" applyFill="1" applyBorder="1" applyAlignment="1">
      <alignment vertical="center"/>
    </xf>
    <xf numFmtId="9" fontId="108" fillId="0" borderId="10" xfId="0" applyNumberFormat="1" applyFont="1" applyFill="1" applyBorder="1" applyAlignment="1">
      <alignment horizontal="center" vertical="center"/>
    </xf>
    <xf numFmtId="0" fontId="109" fillId="0" borderId="10" xfId="0" applyFont="1" applyFill="1" applyBorder="1" applyAlignment="1">
      <alignment horizontal="center" vertical="center"/>
    </xf>
    <xf numFmtId="9" fontId="109" fillId="0" borderId="10" xfId="0" applyNumberFormat="1" applyFont="1" applyFill="1" applyBorder="1" applyAlignment="1">
      <alignment horizontal="center" vertical="center"/>
    </xf>
    <xf numFmtId="171" fontId="109" fillId="0" borderId="10" xfId="46" applyFont="1" applyFill="1" applyBorder="1" applyAlignment="1">
      <alignment/>
    </xf>
    <xf numFmtId="0" fontId="109" fillId="0" borderId="10" xfId="0" applyFont="1" applyFill="1" applyBorder="1" applyAlignment="1">
      <alignment vertical="center" wrapText="1"/>
    </xf>
    <xf numFmtId="171" fontId="109" fillId="0" borderId="10" xfId="46" applyFont="1" applyFill="1" applyBorder="1" applyAlignment="1">
      <alignment horizontal="center" vertical="center"/>
    </xf>
    <xf numFmtId="171" fontId="109" fillId="34" borderId="10" xfId="46" applyFont="1" applyFill="1" applyBorder="1" applyAlignment="1">
      <alignment/>
    </xf>
    <xf numFmtId="0" fontId="97" fillId="0" borderId="15" xfId="0" applyFont="1" applyBorder="1" applyAlignment="1">
      <alignment horizontal="center" vertical="center"/>
    </xf>
    <xf numFmtId="9" fontId="97" fillId="0" borderId="10" xfId="0" applyNumberFormat="1" applyFont="1" applyBorder="1" applyAlignment="1">
      <alignment horizontal="center" vertical="center" wrapText="1"/>
    </xf>
    <xf numFmtId="9" fontId="111" fillId="0" borderId="10" xfId="0" applyNumberFormat="1"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2" fillId="36" borderId="12" xfId="0" applyFont="1" applyFill="1" applyBorder="1" applyAlignment="1">
      <alignment horizontal="center" vertical="center" wrapText="1"/>
    </xf>
    <xf numFmtId="9" fontId="112" fillId="0" borderId="10" xfId="0" applyNumberFormat="1" applyFont="1" applyFill="1" applyBorder="1" applyAlignment="1">
      <alignment horizontal="center" vertical="center" wrapText="1"/>
    </xf>
    <xf numFmtId="0" fontId="106" fillId="5" borderId="10" xfId="0" applyFont="1" applyFill="1" applyBorder="1" applyAlignment="1">
      <alignment horizontal="center" vertical="top" wrapText="1"/>
    </xf>
    <xf numFmtId="172" fontId="108" fillId="34" borderId="10" xfId="46" applyNumberFormat="1" applyFont="1" applyFill="1" applyBorder="1" applyAlignment="1">
      <alignment vertical="center"/>
    </xf>
    <xf numFmtId="180" fontId="0" fillId="0" borderId="0" xfId="0" applyNumberFormat="1" applyAlignment="1">
      <alignment/>
    </xf>
    <xf numFmtId="0" fontId="105" fillId="13" borderId="15" xfId="0" applyFont="1" applyFill="1" applyBorder="1" applyAlignment="1">
      <alignment horizontal="center" vertical="center" wrapText="1"/>
    </xf>
    <xf numFmtId="0" fontId="105" fillId="36" borderId="10" xfId="0" applyFont="1" applyFill="1" applyBorder="1" applyAlignment="1">
      <alignment horizontal="center" vertical="center" wrapText="1"/>
    </xf>
    <xf numFmtId="0" fontId="38" fillId="0" borderId="12" xfId="0" applyFont="1" applyBorder="1" applyAlignment="1">
      <alignment horizontal="center"/>
    </xf>
    <xf numFmtId="0" fontId="12" fillId="34" borderId="17" xfId="0" applyFont="1" applyFill="1" applyBorder="1" applyAlignment="1">
      <alignment vertical="top" wrapText="1"/>
    </xf>
    <xf numFmtId="37" fontId="0" fillId="0" borderId="11" xfId="48" applyNumberFormat="1" applyFont="1" applyBorder="1" applyAlignment="1">
      <alignment vertical="center"/>
    </xf>
    <xf numFmtId="37" fontId="0" fillId="0" borderId="11" xfId="48" applyNumberFormat="1" applyFont="1" applyBorder="1" applyAlignment="1">
      <alignment vertical="center" wrapText="1"/>
    </xf>
    <xf numFmtId="0" fontId="105" fillId="40" borderId="11" xfId="0" applyFont="1" applyFill="1" applyBorder="1" applyAlignment="1">
      <alignment horizontal="center" vertical="center" wrapText="1"/>
    </xf>
    <xf numFmtId="0" fontId="105" fillId="34" borderId="11" xfId="0" applyFont="1" applyFill="1" applyBorder="1" applyAlignment="1">
      <alignment vertical="top" wrapText="1"/>
    </xf>
    <xf numFmtId="0" fontId="105" fillId="11" borderId="12" xfId="0" applyFont="1" applyFill="1" applyBorder="1" applyAlignment="1">
      <alignment horizontal="center" vertical="center" wrapText="1"/>
    </xf>
    <xf numFmtId="0" fontId="104" fillId="18" borderId="10" xfId="0" applyFont="1" applyFill="1" applyBorder="1" applyAlignment="1">
      <alignment horizontal="center" vertical="center" wrapText="1"/>
    </xf>
    <xf numFmtId="0" fontId="97" fillId="0" borderId="0" xfId="0" applyFont="1" applyFill="1" applyBorder="1" applyAlignment="1">
      <alignment/>
    </xf>
    <xf numFmtId="9" fontId="97" fillId="13" borderId="15" xfId="0" applyNumberFormat="1" applyFont="1" applyFill="1" applyBorder="1" applyAlignment="1">
      <alignment horizontal="center" vertical="center" wrapText="1"/>
    </xf>
    <xf numFmtId="9" fontId="97" fillId="36" borderId="10" xfId="0" applyNumberFormat="1" applyFont="1" applyFill="1" applyBorder="1" applyAlignment="1">
      <alignment horizontal="center" vertical="center" wrapText="1"/>
    </xf>
    <xf numFmtId="9" fontId="97" fillId="40" borderId="10" xfId="0" applyNumberFormat="1" applyFont="1" applyFill="1" applyBorder="1" applyAlignment="1">
      <alignment horizontal="center" vertical="center" wrapText="1"/>
    </xf>
    <xf numFmtId="9" fontId="97" fillId="11" borderId="10" xfId="0" applyNumberFormat="1" applyFont="1" applyFill="1" applyBorder="1" applyAlignment="1">
      <alignment horizontal="center" vertical="center" wrapText="1"/>
    </xf>
    <xf numFmtId="9" fontId="97" fillId="9" borderId="12" xfId="0" applyNumberFormat="1" applyFont="1" applyFill="1" applyBorder="1" applyAlignment="1">
      <alignment vertical="center" wrapText="1"/>
    </xf>
    <xf numFmtId="9" fontId="97" fillId="18" borderId="10" xfId="0" applyNumberFormat="1" applyFont="1" applyFill="1" applyBorder="1" applyAlignment="1">
      <alignment horizontal="center" vertical="center" wrapText="1"/>
    </xf>
    <xf numFmtId="9" fontId="97" fillId="5" borderId="0" xfId="0" applyNumberFormat="1" applyFont="1" applyFill="1" applyAlignment="1">
      <alignment horizontal="center"/>
    </xf>
    <xf numFmtId="0" fontId="3" fillId="0" borderId="0" xfId="0" applyFont="1" applyAlignment="1">
      <alignment horizontal="center" vertical="center" wrapText="1"/>
    </xf>
    <xf numFmtId="0" fontId="3" fillId="0" borderId="10" xfId="0" applyFont="1" applyFill="1" applyBorder="1" applyAlignment="1">
      <alignment wrapText="1"/>
    </xf>
    <xf numFmtId="0" fontId="0" fillId="0" borderId="10" xfId="0" applyFill="1" applyBorder="1" applyAlignment="1">
      <alignment wrapText="1"/>
    </xf>
    <xf numFmtId="0" fontId="3" fillId="0"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176" fontId="3" fillId="36" borderId="15" xfId="46" applyNumberFormat="1" applyFont="1" applyFill="1" applyBorder="1" applyAlignment="1">
      <alignment horizontal="left" vertical="center" wrapText="1"/>
    </xf>
    <xf numFmtId="176" fontId="3" fillId="3" borderId="10" xfId="46" applyNumberFormat="1" applyFont="1" applyFill="1" applyBorder="1" applyAlignment="1">
      <alignment horizontal="left" vertical="center" wrapText="1"/>
    </xf>
    <xf numFmtId="176" fontId="2" fillId="0" borderId="15" xfId="0" applyNumberFormat="1" applyFont="1" applyBorder="1" applyAlignment="1">
      <alignment/>
    </xf>
    <xf numFmtId="0" fontId="106" fillId="3" borderId="15" xfId="0" applyFont="1" applyFill="1" applyBorder="1" applyAlignment="1">
      <alignment horizontal="center" wrapText="1"/>
    </xf>
    <xf numFmtId="0" fontId="117" fillId="3" borderId="15" xfId="0" applyFont="1" applyFill="1" applyBorder="1" applyAlignment="1">
      <alignment horizontal="center" wrapText="1"/>
    </xf>
    <xf numFmtId="172" fontId="109" fillId="3" borderId="15" xfId="0" applyNumberFormat="1" applyFont="1" applyFill="1" applyBorder="1" applyAlignment="1">
      <alignment/>
    </xf>
    <xf numFmtId="0" fontId="106" fillId="0" borderId="10" xfId="0" applyFont="1" applyFill="1" applyBorder="1" applyAlignment="1">
      <alignment horizontal="center" vertical="top" wrapText="1"/>
    </xf>
    <xf numFmtId="0" fontId="108" fillId="0" borderId="10" xfId="0" applyFont="1" applyFill="1" applyBorder="1" applyAlignment="1">
      <alignment horizontal="center" vertical="center" wrapText="1"/>
    </xf>
    <xf numFmtId="0" fontId="108" fillId="34" borderId="11" xfId="0" applyFont="1" applyFill="1" applyBorder="1" applyAlignment="1">
      <alignment horizontal="center" vertical="center" wrapText="1"/>
    </xf>
    <xf numFmtId="0" fontId="108" fillId="34" borderId="12" xfId="0" applyFont="1" applyFill="1" applyBorder="1" applyAlignment="1">
      <alignment horizontal="center" vertical="center" wrapText="1"/>
    </xf>
    <xf numFmtId="0" fontId="108" fillId="34" borderId="15" xfId="0" applyFont="1" applyFill="1" applyBorder="1" applyAlignment="1">
      <alignment horizontal="center" vertical="center" wrapText="1"/>
    </xf>
    <xf numFmtId="0" fontId="109" fillId="34" borderId="15" xfId="0" applyFont="1" applyFill="1" applyBorder="1" applyAlignment="1">
      <alignment horizontal="center" vertical="center"/>
    </xf>
    <xf numFmtId="0" fontId="108" fillId="34" borderId="10" xfId="0" applyFont="1" applyFill="1" applyBorder="1" applyAlignment="1">
      <alignment horizontal="center" vertical="center" wrapText="1"/>
    </xf>
    <xf numFmtId="0" fontId="109" fillId="34" borderId="12" xfId="0" applyFont="1" applyFill="1" applyBorder="1" applyAlignment="1">
      <alignment horizontal="center" vertical="center" wrapText="1"/>
    </xf>
    <xf numFmtId="171" fontId="109" fillId="34" borderId="15" xfId="46" applyFont="1" applyFill="1" applyBorder="1" applyAlignment="1">
      <alignment horizontal="center" vertical="center"/>
    </xf>
    <xf numFmtId="0" fontId="109" fillId="0" borderId="15" xfId="0" applyFont="1" applyBorder="1" applyAlignment="1">
      <alignment wrapText="1"/>
    </xf>
    <xf numFmtId="0" fontId="108" fillId="0" borderId="12" xfId="0" applyFont="1" applyFill="1" applyBorder="1" applyAlignment="1">
      <alignment horizontal="center" wrapText="1"/>
    </xf>
    <xf numFmtId="9" fontId="108" fillId="0" borderId="12" xfId="0" applyNumberFormat="1" applyFont="1" applyFill="1" applyBorder="1" applyAlignment="1">
      <alignment horizontal="center" vertical="center" wrapText="1"/>
    </xf>
    <xf numFmtId="0" fontId="108" fillId="34" borderId="10" xfId="0" applyFont="1" applyFill="1" applyBorder="1" applyAlignment="1">
      <alignment horizontal="justify" wrapText="1"/>
    </xf>
    <xf numFmtId="9" fontId="110" fillId="0" borderId="10" xfId="52" applyFont="1" applyFill="1" applyBorder="1" applyAlignment="1">
      <alignment horizontal="center" vertical="center"/>
    </xf>
    <xf numFmtId="9" fontId="110" fillId="13" borderId="10" xfId="52" applyFont="1" applyFill="1" applyBorder="1" applyAlignment="1">
      <alignment horizontal="center" vertical="center"/>
    </xf>
    <xf numFmtId="9" fontId="110" fillId="19" borderId="10" xfId="0" applyNumberFormat="1" applyFont="1" applyFill="1" applyBorder="1" applyAlignment="1">
      <alignment horizontal="center" vertical="center" wrapText="1"/>
    </xf>
    <xf numFmtId="0" fontId="108" fillId="34" borderId="10" xfId="0" applyFont="1" applyFill="1" applyBorder="1" applyAlignment="1">
      <alignment horizontal="center" vertical="center" wrapText="1"/>
    </xf>
    <xf numFmtId="0" fontId="108" fillId="0" borderId="11" xfId="0" applyFont="1" applyFill="1" applyBorder="1" applyAlignment="1">
      <alignment wrapText="1"/>
    </xf>
    <xf numFmtId="0" fontId="108" fillId="18" borderId="12" xfId="0" applyFont="1" applyFill="1" applyBorder="1" applyAlignment="1">
      <alignment horizontal="center" vertical="center" wrapText="1"/>
    </xf>
    <xf numFmtId="0" fontId="102" fillId="0" borderId="0" xfId="0" applyFont="1" applyAlignment="1">
      <alignment/>
    </xf>
    <xf numFmtId="0" fontId="108" fillId="10" borderId="10" xfId="0" applyFont="1" applyFill="1" applyBorder="1" applyAlignment="1">
      <alignment horizontal="center" vertical="center" wrapText="1"/>
    </xf>
    <xf numFmtId="0" fontId="109" fillId="10" borderId="10" xfId="0" applyFont="1" applyFill="1" applyBorder="1" applyAlignment="1">
      <alignment horizontal="center" vertical="center"/>
    </xf>
    <xf numFmtId="171" fontId="109" fillId="10" borderId="10" xfId="46" applyFont="1" applyFill="1" applyBorder="1" applyAlignment="1">
      <alignment horizontal="center" vertical="center"/>
    </xf>
    <xf numFmtId="0" fontId="109" fillId="10" borderId="10" xfId="0" applyFont="1" applyFill="1" applyBorder="1" applyAlignment="1">
      <alignment vertical="center" wrapText="1"/>
    </xf>
    <xf numFmtId="0" fontId="108" fillId="10" borderId="10" xfId="0" applyFont="1" applyFill="1" applyBorder="1" applyAlignment="1">
      <alignment horizontal="justify" wrapText="1"/>
    </xf>
    <xf numFmtId="0" fontId="108" fillId="10" borderId="10" xfId="0" applyFont="1" applyFill="1" applyBorder="1" applyAlignment="1">
      <alignment horizontal="center" vertical="center"/>
    </xf>
    <xf numFmtId="3" fontId="108" fillId="10" borderId="10" xfId="0" applyNumberFormat="1" applyFont="1" applyFill="1" applyBorder="1" applyAlignment="1">
      <alignment horizontal="center" vertical="center"/>
    </xf>
    <xf numFmtId="43" fontId="109" fillId="10" borderId="10" xfId="0" applyNumberFormat="1" applyFont="1" applyFill="1" applyBorder="1" applyAlignment="1">
      <alignment vertical="center"/>
    </xf>
    <xf numFmtId="0" fontId="108" fillId="10" borderId="10" xfId="0" applyFont="1" applyFill="1" applyBorder="1" applyAlignment="1">
      <alignment wrapText="1"/>
    </xf>
    <xf numFmtId="171" fontId="109" fillId="10" borderId="10" xfId="46" applyFont="1" applyFill="1" applyBorder="1" applyAlignment="1">
      <alignment vertical="center"/>
    </xf>
    <xf numFmtId="43" fontId="109" fillId="10" borderId="10" xfId="0" applyNumberFormat="1" applyFont="1" applyFill="1" applyBorder="1" applyAlignment="1">
      <alignment horizontal="center" vertical="center"/>
    </xf>
    <xf numFmtId="3" fontId="109" fillId="10" borderId="10" xfId="0" applyNumberFormat="1" applyFont="1" applyFill="1" applyBorder="1" applyAlignment="1">
      <alignment horizontal="center" vertical="center"/>
    </xf>
    <xf numFmtId="0" fontId="108" fillId="10" borderId="11" xfId="0" applyFont="1" applyFill="1" applyBorder="1" applyAlignment="1">
      <alignment horizontal="justify" wrapText="1"/>
    </xf>
    <xf numFmtId="0" fontId="109" fillId="10" borderId="10" xfId="0" applyFont="1" applyFill="1" applyBorder="1" applyAlignment="1">
      <alignment vertical="center"/>
    </xf>
    <xf numFmtId="10" fontId="0" fillId="0" borderId="0" xfId="52" applyNumberFormat="1" applyFont="1" applyAlignment="1">
      <alignment/>
    </xf>
    <xf numFmtId="171" fontId="97" fillId="0" borderId="0" xfId="46" applyFont="1" applyAlignment="1">
      <alignment/>
    </xf>
    <xf numFmtId="9" fontId="108" fillId="34" borderId="10" xfId="52" applyFont="1" applyFill="1" applyBorder="1" applyAlignment="1">
      <alignment horizontal="center" vertical="center" wrapText="1"/>
    </xf>
    <xf numFmtId="9" fontId="108" fillId="34" borderId="10" xfId="52" applyFont="1" applyFill="1" applyBorder="1" applyAlignment="1">
      <alignment horizontal="center" vertical="center"/>
    </xf>
    <xf numFmtId="10" fontId="108" fillId="34" borderId="10" xfId="0" applyNumberFormat="1" applyFont="1" applyFill="1" applyBorder="1" applyAlignment="1">
      <alignment horizontal="center" vertical="center"/>
    </xf>
    <xf numFmtId="9" fontId="108" fillId="0" borderId="10" xfId="52" applyFont="1" applyFill="1" applyBorder="1" applyAlignment="1">
      <alignment horizontal="center" vertical="center" wrapText="1"/>
    </xf>
    <xf numFmtId="0" fontId="108" fillId="34" borderId="0" xfId="0" applyFont="1" applyFill="1" applyBorder="1" applyAlignment="1">
      <alignment horizontal="center" vertical="center" wrapText="1"/>
    </xf>
    <xf numFmtId="0" fontId="109" fillId="34" borderId="0" xfId="0" applyFont="1" applyFill="1" applyBorder="1" applyAlignment="1">
      <alignment horizontal="center" vertical="center"/>
    </xf>
    <xf numFmtId="0" fontId="108" fillId="16" borderId="0" xfId="0" applyFont="1" applyFill="1" applyBorder="1" applyAlignment="1">
      <alignment horizontal="center" vertical="center" wrapText="1"/>
    </xf>
    <xf numFmtId="171" fontId="123" fillId="34" borderId="0" xfId="46" applyFont="1" applyFill="1" applyBorder="1" applyAlignment="1">
      <alignment horizontal="center" vertical="center" wrapText="1"/>
    </xf>
    <xf numFmtId="171" fontId="109" fillId="34" borderId="0" xfId="46" applyFont="1" applyFill="1" applyBorder="1" applyAlignment="1">
      <alignment horizontal="center" vertical="center"/>
    </xf>
    <xf numFmtId="171" fontId="109" fillId="34" borderId="0" xfId="46" applyFont="1" applyFill="1" applyBorder="1" applyAlignment="1">
      <alignment horizontal="center"/>
    </xf>
    <xf numFmtId="0" fontId="109" fillId="34" borderId="0" xfId="0" applyFont="1" applyFill="1" applyBorder="1" applyAlignment="1">
      <alignment horizontal="center" vertical="center" wrapText="1"/>
    </xf>
    <xf numFmtId="9" fontId="108" fillId="34" borderId="0" xfId="52" applyFont="1" applyFill="1" applyBorder="1" applyAlignment="1">
      <alignment horizontal="center" vertical="center" wrapText="1"/>
    </xf>
    <xf numFmtId="0" fontId="124" fillId="33" borderId="23" xfId="0" applyFont="1" applyFill="1" applyBorder="1" applyAlignment="1">
      <alignment wrapText="1"/>
    </xf>
    <xf numFmtId="0" fontId="124" fillId="33" borderId="24" xfId="0" applyFont="1" applyFill="1" applyBorder="1" applyAlignment="1">
      <alignment/>
    </xf>
    <xf numFmtId="0" fontId="124" fillId="33" borderId="24" xfId="0" applyFont="1" applyFill="1" applyBorder="1" applyAlignment="1">
      <alignment vertical="top" wrapText="1"/>
    </xf>
    <xf numFmtId="0" fontId="124" fillId="33" borderId="24" xfId="0" applyFont="1" applyFill="1" applyBorder="1" applyAlignment="1">
      <alignment wrapText="1"/>
    </xf>
    <xf numFmtId="0" fontId="124" fillId="33" borderId="25" xfId="0" applyFont="1" applyFill="1" applyBorder="1" applyAlignment="1">
      <alignment wrapText="1"/>
    </xf>
    <xf numFmtId="0" fontId="103" fillId="33" borderId="11" xfId="0" applyFont="1" applyFill="1" applyBorder="1" applyAlignment="1">
      <alignment horizontal="center"/>
    </xf>
    <xf numFmtId="0" fontId="106" fillId="36" borderId="12" xfId="0" applyFont="1" applyFill="1" applyBorder="1" applyAlignment="1">
      <alignment horizontal="center" vertical="center" wrapText="1"/>
    </xf>
    <xf numFmtId="0" fontId="106" fillId="36" borderId="15" xfId="0" applyFont="1" applyFill="1" applyBorder="1" applyAlignment="1">
      <alignment horizontal="center" vertical="center" wrapText="1"/>
    </xf>
    <xf numFmtId="0" fontId="106" fillId="0" borderId="15" xfId="0" applyFont="1" applyBorder="1" applyAlignment="1">
      <alignment horizontal="center" vertical="center" wrapText="1"/>
    </xf>
    <xf numFmtId="0" fontId="106" fillId="0"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12" xfId="0" applyFont="1" applyBorder="1" applyAlignment="1">
      <alignment horizontal="center" vertical="top" textRotation="255" wrapText="1"/>
    </xf>
    <xf numFmtId="0" fontId="106" fillId="0" borderId="10" xfId="0" applyFont="1" applyBorder="1" applyAlignment="1">
      <alignment horizontal="center" vertical="center" wrapText="1"/>
    </xf>
    <xf numFmtId="0" fontId="11" fillId="0" borderId="11" xfId="0" applyFont="1" applyBorder="1" applyAlignment="1">
      <alignment horizontal="center" wrapText="1"/>
    </xf>
    <xf numFmtId="0" fontId="11" fillId="0" borderId="10" xfId="0" applyFont="1" applyBorder="1" applyAlignment="1">
      <alignment horizontal="center" wrapText="1"/>
    </xf>
    <xf numFmtId="0" fontId="13" fillId="36" borderId="10" xfId="0" applyFont="1" applyFill="1" applyBorder="1" applyAlignment="1">
      <alignment horizontal="center" vertical="center" wrapText="1"/>
    </xf>
    <xf numFmtId="0" fontId="104" fillId="36" borderId="10" xfId="0" applyFont="1" applyFill="1" applyBorder="1" applyAlignment="1">
      <alignment horizontal="center" vertical="center" wrapText="1"/>
    </xf>
    <xf numFmtId="3" fontId="104" fillId="36" borderId="10" xfId="0" applyNumberFormat="1" applyFont="1" applyFill="1" applyBorder="1" applyAlignment="1">
      <alignment horizontal="center" vertical="center"/>
    </xf>
    <xf numFmtId="3" fontId="0" fillId="36" borderId="10" xfId="0" applyNumberFormat="1" applyFill="1" applyBorder="1" applyAlignment="1">
      <alignment horizontal="center" vertical="center" wrapText="1"/>
    </xf>
    <xf numFmtId="0" fontId="0" fillId="36" borderId="10" xfId="0" applyFill="1" applyBorder="1" applyAlignment="1">
      <alignment horizontal="center" vertical="center" wrapText="1"/>
    </xf>
    <xf numFmtId="3" fontId="104" fillId="36" borderId="10" xfId="0" applyNumberFormat="1" applyFont="1" applyFill="1" applyBorder="1" applyAlignment="1">
      <alignment horizontal="center" vertical="center" wrapText="1"/>
    </xf>
    <xf numFmtId="0" fontId="104" fillId="36" borderId="10" xfId="0" applyFont="1" applyFill="1" applyBorder="1" applyAlignment="1">
      <alignment horizontal="center" wrapText="1"/>
    </xf>
    <xf numFmtId="0" fontId="104" fillId="36" borderId="10" xfId="0" applyFont="1" applyFill="1" applyBorder="1" applyAlignment="1">
      <alignment horizontal="center" vertical="center"/>
    </xf>
    <xf numFmtId="0" fontId="106" fillId="36" borderId="10" xfId="0" applyFont="1" applyFill="1" applyBorder="1" applyAlignment="1">
      <alignment horizontal="center" vertical="top" wrapText="1"/>
    </xf>
    <xf numFmtId="0" fontId="104" fillId="36" borderId="10" xfId="0" applyFont="1" applyFill="1" applyBorder="1" applyAlignment="1">
      <alignment wrapText="1"/>
    </xf>
    <xf numFmtId="0" fontId="105" fillId="36" borderId="12" xfId="0" applyFont="1" applyFill="1" applyBorder="1" applyAlignment="1">
      <alignment horizontal="center" vertical="center" wrapText="1"/>
    </xf>
    <xf numFmtId="0" fontId="104" fillId="36" borderId="12" xfId="0" applyFont="1" applyFill="1" applyBorder="1" applyAlignment="1">
      <alignment horizontal="center" vertical="center" wrapText="1"/>
    </xf>
    <xf numFmtId="9" fontId="104" fillId="36" borderId="12" xfId="0" applyNumberFormat="1" applyFont="1" applyFill="1" applyBorder="1" applyAlignment="1">
      <alignment horizontal="center" vertical="center" wrapText="1"/>
    </xf>
    <xf numFmtId="3" fontId="0" fillId="36" borderId="11" xfId="0" applyNumberFormat="1" applyFill="1" applyBorder="1" applyAlignment="1">
      <alignment horizontal="center" vertical="center" wrapText="1"/>
    </xf>
    <xf numFmtId="0" fontId="0" fillId="36" borderId="11" xfId="0" applyFill="1" applyBorder="1" applyAlignment="1">
      <alignment horizontal="center" vertical="center" wrapText="1"/>
    </xf>
    <xf numFmtId="0" fontId="104" fillId="10" borderId="10" xfId="0" applyFont="1" applyFill="1" applyBorder="1" applyAlignment="1">
      <alignment horizontal="center" vertical="center" wrapText="1"/>
    </xf>
    <xf numFmtId="3" fontId="104" fillId="10" borderId="10" xfId="0" applyNumberFormat="1" applyFont="1" applyFill="1" applyBorder="1" applyAlignment="1">
      <alignment horizontal="center" vertical="center" wrapText="1"/>
    </xf>
    <xf numFmtId="0" fontId="104" fillId="10" borderId="10" xfId="0" applyFont="1" applyFill="1" applyBorder="1" applyAlignment="1">
      <alignment horizontal="left" wrapText="1"/>
    </xf>
    <xf numFmtId="0" fontId="104" fillId="10" borderId="10" xfId="0" applyFont="1" applyFill="1" applyBorder="1" applyAlignment="1">
      <alignment horizontal="center" vertical="center"/>
    </xf>
    <xf numFmtId="0" fontId="0" fillId="10" borderId="10" xfId="0" applyFill="1" applyBorder="1" applyAlignment="1">
      <alignment horizontal="center" vertical="center" wrapText="1"/>
    </xf>
    <xf numFmtId="3" fontId="0" fillId="10" borderId="10" xfId="0" applyNumberFormat="1" applyFill="1" applyBorder="1" applyAlignment="1">
      <alignment horizontal="center" vertical="center" wrapText="1"/>
    </xf>
    <xf numFmtId="0" fontId="104" fillId="10" borderId="10" xfId="0" applyFont="1" applyFill="1" applyBorder="1" applyAlignment="1">
      <alignment horizontal="center" wrapText="1"/>
    </xf>
    <xf numFmtId="0" fontId="0" fillId="10" borderId="10" xfId="0" applyFill="1" applyBorder="1" applyAlignment="1">
      <alignment horizontal="center" vertical="center"/>
    </xf>
    <xf numFmtId="0" fontId="0" fillId="10" borderId="10" xfId="0" applyFill="1" applyBorder="1" applyAlignment="1">
      <alignment vertical="center"/>
    </xf>
    <xf numFmtId="3" fontId="0" fillId="10" borderId="10" xfId="0" applyNumberFormat="1" applyFill="1" applyBorder="1" applyAlignment="1">
      <alignment horizontal="center" vertical="center"/>
    </xf>
    <xf numFmtId="0" fontId="104" fillId="10" borderId="12" xfId="0" applyFont="1" applyFill="1" applyBorder="1" applyAlignment="1">
      <alignment horizontal="center" vertical="center" wrapText="1"/>
    </xf>
    <xf numFmtId="3" fontId="104" fillId="10" borderId="12" xfId="0" applyNumberFormat="1" applyFont="1" applyFill="1" applyBorder="1" applyAlignment="1">
      <alignment horizontal="center" vertical="center" wrapText="1"/>
    </xf>
    <xf numFmtId="0" fontId="104" fillId="10" borderId="15" xfId="0" applyFont="1" applyFill="1" applyBorder="1" applyAlignment="1">
      <alignment horizontal="left" vertical="top" wrapText="1"/>
    </xf>
    <xf numFmtId="0" fontId="0" fillId="10" borderId="12" xfId="0" applyFill="1" applyBorder="1" applyAlignment="1">
      <alignment horizontal="center" vertical="center" wrapText="1"/>
    </xf>
    <xf numFmtId="0" fontId="108" fillId="0" borderId="10" xfId="0" applyFont="1" applyFill="1" applyBorder="1" applyAlignment="1">
      <alignment horizontal="center" vertical="center" wrapText="1"/>
    </xf>
    <xf numFmtId="0" fontId="108" fillId="34" borderId="15" xfId="0" applyFont="1" applyFill="1" applyBorder="1" applyAlignment="1">
      <alignment horizontal="center" vertical="center" wrapText="1"/>
    </xf>
    <xf numFmtId="0" fontId="3" fillId="0" borderId="10" xfId="0" applyFont="1" applyFill="1" applyBorder="1" applyAlignment="1">
      <alignment horizontal="center" wrapText="1"/>
    </xf>
    <xf numFmtId="0" fontId="109" fillId="0" borderId="10" xfId="0" applyFont="1" applyFill="1" applyBorder="1" applyAlignment="1">
      <alignment horizontal="center" wrapText="1"/>
    </xf>
    <xf numFmtId="0" fontId="109" fillId="0" borderId="10" xfId="0" applyFont="1" applyFill="1" applyBorder="1" applyAlignment="1">
      <alignment wrapText="1"/>
    </xf>
    <xf numFmtId="0" fontId="106" fillId="0" borderId="10" xfId="0" applyFont="1" applyFill="1" applyBorder="1" applyAlignment="1">
      <alignment vertical="top" wrapText="1"/>
    </xf>
    <xf numFmtId="179" fontId="109" fillId="10" borderId="10" xfId="52" applyNumberFormat="1" applyFont="1" applyFill="1" applyBorder="1" applyAlignment="1">
      <alignment horizontal="center" vertical="center" wrapText="1"/>
    </xf>
    <xf numFmtId="9" fontId="109" fillId="10" borderId="10" xfId="52" applyFont="1" applyFill="1" applyBorder="1" applyAlignment="1">
      <alignment horizontal="center" vertical="center" wrapText="1"/>
    </xf>
    <xf numFmtId="9" fontId="109" fillId="10" borderId="10" xfId="0" applyNumberFormat="1" applyFont="1" applyFill="1" applyBorder="1" applyAlignment="1">
      <alignment horizontal="center" vertical="center" wrapText="1"/>
    </xf>
    <xf numFmtId="9" fontId="108" fillId="10" borderId="10" xfId="0" applyNumberFormat="1" applyFont="1" applyFill="1" applyBorder="1" applyAlignment="1">
      <alignment horizontal="center" vertical="center" wrapText="1"/>
    </xf>
    <xf numFmtId="179" fontId="108" fillId="10" borderId="10" xfId="0" applyNumberFormat="1" applyFont="1" applyFill="1" applyBorder="1" applyAlignment="1">
      <alignment horizontal="center" wrapText="1"/>
    </xf>
    <xf numFmtId="179" fontId="0" fillId="0" borderId="0" xfId="0" applyNumberFormat="1" applyFont="1" applyAlignment="1">
      <alignment/>
    </xf>
    <xf numFmtId="0" fontId="0" fillId="0" borderId="0" xfId="0" applyFont="1" applyAlignment="1">
      <alignment/>
    </xf>
    <xf numFmtId="0" fontId="108" fillId="41" borderId="10" xfId="0" applyFont="1" applyFill="1" applyBorder="1" applyAlignment="1">
      <alignment horizontal="center" wrapText="1"/>
    </xf>
    <xf numFmtId="0" fontId="108" fillId="41" borderId="10" xfId="0" applyFont="1" applyFill="1" applyBorder="1" applyAlignment="1">
      <alignment horizontal="center" vertical="center" wrapText="1"/>
    </xf>
    <xf numFmtId="0" fontId="108" fillId="41" borderId="10" xfId="0" applyFont="1" applyFill="1" applyBorder="1" applyAlignment="1">
      <alignment wrapText="1"/>
    </xf>
    <xf numFmtId="0" fontId="108" fillId="41" borderId="15" xfId="0" applyFont="1" applyFill="1" applyBorder="1" applyAlignment="1">
      <alignment horizontal="center" vertical="center" wrapText="1"/>
    </xf>
    <xf numFmtId="0" fontId="108" fillId="41" borderId="10" xfId="0" applyFont="1" applyFill="1" applyBorder="1" applyAlignment="1">
      <alignment vertical="center" wrapText="1"/>
    </xf>
    <xf numFmtId="0" fontId="108" fillId="41" borderId="0" xfId="0" applyFont="1" applyFill="1" applyBorder="1" applyAlignment="1">
      <alignment horizontal="center" vertical="center" wrapText="1"/>
    </xf>
    <xf numFmtId="0" fontId="0" fillId="41" borderId="0" xfId="0" applyFill="1" applyAlignment="1">
      <alignment/>
    </xf>
    <xf numFmtId="0" fontId="108" fillId="0" borderId="0" xfId="0" applyFont="1" applyFill="1" applyBorder="1" applyAlignment="1">
      <alignment horizontal="center" wrapText="1"/>
    </xf>
    <xf numFmtId="0" fontId="108" fillId="3" borderId="10" xfId="0" applyFont="1" applyFill="1" applyBorder="1" applyAlignment="1">
      <alignment horizontal="center" vertical="center" wrapText="1"/>
    </xf>
    <xf numFmtId="171" fontId="123" fillId="3" borderId="10" xfId="46" applyFont="1" applyFill="1" applyBorder="1" applyAlignment="1">
      <alignment horizontal="center" vertical="center" wrapText="1"/>
    </xf>
    <xf numFmtId="0" fontId="108" fillId="3" borderId="11" xfId="0" applyFont="1" applyFill="1" applyBorder="1" applyAlignment="1">
      <alignment horizontal="center" vertical="center" wrapText="1"/>
    </xf>
    <xf numFmtId="0" fontId="108" fillId="36" borderId="11" xfId="0" applyFont="1" applyFill="1" applyBorder="1" applyAlignment="1">
      <alignment horizontal="center" vertical="center" wrapText="1"/>
    </xf>
    <xf numFmtId="171" fontId="123" fillId="36" borderId="12" xfId="46" applyFont="1" applyFill="1" applyBorder="1" applyAlignment="1">
      <alignment horizontal="center" vertical="center" wrapText="1"/>
    </xf>
    <xf numFmtId="0" fontId="109" fillId="3" borderId="10" xfId="0" applyFont="1" applyFill="1" applyBorder="1" applyAlignment="1">
      <alignment horizontal="center" vertical="center"/>
    </xf>
    <xf numFmtId="171" fontId="109" fillId="3" borderId="10" xfId="46" applyFont="1" applyFill="1" applyBorder="1" applyAlignment="1">
      <alignment horizontal="center" vertical="center"/>
    </xf>
    <xf numFmtId="0" fontId="109" fillId="3" borderId="10" xfId="0" applyFont="1" applyFill="1" applyBorder="1" applyAlignment="1">
      <alignment horizontal="center" vertical="center" wrapText="1"/>
    </xf>
    <xf numFmtId="0" fontId="108" fillId="3" borderId="10" xfId="0" applyFont="1" applyFill="1" applyBorder="1" applyAlignment="1">
      <alignment horizontal="center" wrapText="1"/>
    </xf>
    <xf numFmtId="0" fontId="109" fillId="3" borderId="10" xfId="0" applyFont="1" applyFill="1" applyBorder="1" applyAlignment="1">
      <alignment vertical="center"/>
    </xf>
    <xf numFmtId="0" fontId="109" fillId="3" borderId="15" xfId="0" applyFont="1" applyFill="1" applyBorder="1" applyAlignment="1">
      <alignment horizontal="center" vertical="center"/>
    </xf>
    <xf numFmtId="9" fontId="109" fillId="3" borderId="10" xfId="0" applyNumberFormat="1" applyFont="1" applyFill="1" applyBorder="1" applyAlignment="1">
      <alignment horizontal="center" vertical="center"/>
    </xf>
    <xf numFmtId="2" fontId="109" fillId="3" borderId="10" xfId="0" applyNumberFormat="1" applyFont="1" applyFill="1" applyBorder="1" applyAlignment="1">
      <alignment horizontal="center" vertical="center"/>
    </xf>
    <xf numFmtId="0" fontId="0" fillId="3" borderId="10" xfId="0" applyFont="1" applyFill="1" applyBorder="1" applyAlignment="1">
      <alignment/>
    </xf>
    <xf numFmtId="0" fontId="0" fillId="3" borderId="0" xfId="0" applyFont="1" applyFill="1" applyBorder="1" applyAlignment="1">
      <alignment/>
    </xf>
    <xf numFmtId="0" fontId="0" fillId="3" borderId="0" xfId="0" applyFill="1" applyAlignment="1">
      <alignment/>
    </xf>
    <xf numFmtId="172" fontId="0" fillId="0" borderId="0" xfId="46" applyNumberFormat="1" applyFont="1" applyAlignment="1">
      <alignment/>
    </xf>
    <xf numFmtId="172" fontId="102" fillId="0" borderId="0" xfId="46" applyNumberFormat="1" applyFont="1" applyAlignment="1">
      <alignment/>
    </xf>
    <xf numFmtId="171" fontId="102" fillId="0" borderId="0" xfId="46" applyFont="1" applyAlignment="1">
      <alignment/>
    </xf>
    <xf numFmtId="2" fontId="102" fillId="0" borderId="0" xfId="0" applyNumberFormat="1" applyFont="1" applyAlignment="1">
      <alignment/>
    </xf>
    <xf numFmtId="0" fontId="0" fillId="0" borderId="15" xfId="0" applyBorder="1" applyAlignment="1">
      <alignment/>
    </xf>
    <xf numFmtId="0" fontId="105" fillId="34" borderId="10" xfId="0" applyFont="1" applyFill="1" applyBorder="1" applyAlignment="1">
      <alignment horizontal="center" vertical="center" wrapText="1"/>
    </xf>
    <xf numFmtId="0" fontId="106" fillId="0" borderId="10" xfId="0" applyFont="1" applyFill="1" applyBorder="1" applyAlignment="1">
      <alignment horizontal="center" vertical="top" wrapText="1"/>
    </xf>
    <xf numFmtId="0" fontId="0" fillId="0" borderId="10" xfId="0" applyBorder="1" applyAlignment="1">
      <alignment/>
    </xf>
    <xf numFmtId="0" fontId="106" fillId="0" borderId="10" xfId="0" applyFont="1" applyFill="1" applyBorder="1" applyAlignment="1">
      <alignment horizontal="center" vertical="center" wrapText="1"/>
    </xf>
    <xf numFmtId="0" fontId="106" fillId="34"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34" borderId="10" xfId="0" applyFill="1" applyBorder="1" applyAlignment="1">
      <alignment/>
    </xf>
    <xf numFmtId="0" fontId="104" fillId="34" borderId="10" xfId="0" applyFont="1" applyFill="1" applyBorder="1" applyAlignment="1">
      <alignment horizontal="center" wrapText="1"/>
    </xf>
    <xf numFmtId="9" fontId="2" fillId="10" borderId="10" xfId="0" applyNumberFormat="1" applyFont="1" applyFill="1" applyBorder="1" applyAlignment="1">
      <alignment horizontal="center" vertical="center" wrapText="1"/>
    </xf>
    <xf numFmtId="0" fontId="12" fillId="34" borderId="10" xfId="0" applyFont="1" applyFill="1" applyBorder="1" applyAlignment="1">
      <alignment vertical="center" wrapText="1"/>
    </xf>
    <xf numFmtId="10" fontId="108" fillId="0" borderId="10" xfId="52" applyNumberFormat="1" applyFont="1" applyFill="1" applyBorder="1" applyAlignment="1">
      <alignment horizontal="center" vertical="center" wrapText="1"/>
    </xf>
    <xf numFmtId="0" fontId="106" fillId="0" borderId="10" xfId="0" applyFont="1" applyFill="1" applyBorder="1" applyAlignment="1">
      <alignment horizontal="center" vertical="center"/>
    </xf>
    <xf numFmtId="172" fontId="3" fillId="0" borderId="19" xfId="46" applyNumberFormat="1" applyFont="1" applyFill="1" applyBorder="1" applyAlignment="1">
      <alignment horizontal="center" vertical="center" wrapText="1"/>
    </xf>
    <xf numFmtId="0" fontId="107" fillId="34" borderId="10" xfId="0" applyFont="1" applyFill="1" applyBorder="1" applyAlignment="1">
      <alignment wrapText="1"/>
    </xf>
    <xf numFmtId="0" fontId="0" fillId="0" borderId="10" xfId="0" applyBorder="1" applyAlignment="1">
      <alignment horizontal="center"/>
    </xf>
    <xf numFmtId="0" fontId="125" fillId="12" borderId="10" xfId="0" applyFont="1" applyFill="1" applyBorder="1" applyAlignment="1">
      <alignment horizontal="center" vertical="center" wrapText="1"/>
    </xf>
    <xf numFmtId="0" fontId="125" fillId="12" borderId="12" xfId="0" applyFont="1" applyFill="1" applyBorder="1" applyAlignment="1">
      <alignment horizontal="center" vertical="center" wrapText="1"/>
    </xf>
    <xf numFmtId="0" fontId="104" fillId="9" borderId="10" xfId="0" applyFont="1" applyFill="1" applyBorder="1" applyAlignment="1">
      <alignment horizontal="center" vertical="center" wrapText="1"/>
    </xf>
    <xf numFmtId="0" fontId="104" fillId="9" borderId="11" xfId="0" applyFont="1" applyFill="1" applyBorder="1" applyAlignment="1">
      <alignment horizontal="center" vertical="center" wrapText="1"/>
    </xf>
    <xf numFmtId="0" fontId="0" fillId="9" borderId="10" xfId="0" applyFill="1" applyBorder="1" applyAlignment="1">
      <alignment/>
    </xf>
    <xf numFmtId="0" fontId="0" fillId="9" borderId="10" xfId="0" applyFill="1" applyBorder="1" applyAlignment="1">
      <alignment horizontal="center"/>
    </xf>
    <xf numFmtId="0" fontId="126" fillId="7" borderId="10" xfId="0" applyFont="1" applyFill="1" applyBorder="1" applyAlignment="1">
      <alignment horizontal="center" vertical="center" wrapText="1"/>
    </xf>
    <xf numFmtId="0" fontId="127" fillId="7" borderId="10" xfId="0" applyFont="1" applyFill="1" applyBorder="1" applyAlignment="1">
      <alignment horizontal="justify" vertical="center" wrapText="1"/>
    </xf>
    <xf numFmtId="0" fontId="3" fillId="9" borderId="15" xfId="0" applyFont="1" applyFill="1" applyBorder="1" applyAlignment="1">
      <alignment horizontal="justify" vertical="center" wrapText="1"/>
    </xf>
    <xf numFmtId="9" fontId="3" fillId="9" borderId="15" xfId="0" applyNumberFormat="1" applyFont="1" applyFill="1" applyBorder="1" applyAlignment="1">
      <alignment horizontal="center" vertical="center" wrapText="1"/>
    </xf>
    <xf numFmtId="3" fontId="115" fillId="0" borderId="10" xfId="0" applyNumberFormat="1" applyFont="1" applyBorder="1" applyAlignment="1">
      <alignment horizontal="justify" vertical="center"/>
    </xf>
    <xf numFmtId="3" fontId="2" fillId="37" borderId="10" xfId="0" applyNumberFormat="1" applyFont="1" applyFill="1" applyBorder="1" applyAlignment="1">
      <alignment horizontal="center" vertical="center" wrapText="1"/>
    </xf>
    <xf numFmtId="0" fontId="0" fillId="10" borderId="10" xfId="0" applyFill="1" applyBorder="1" applyAlignment="1">
      <alignment/>
    </xf>
    <xf numFmtId="1" fontId="3" fillId="0" borderId="11" xfId="0" applyNumberFormat="1" applyFont="1" applyBorder="1" applyAlignment="1">
      <alignment horizontal="center" vertical="center"/>
    </xf>
    <xf numFmtId="3" fontId="3" fillId="0" borderId="11" xfId="0" applyNumberFormat="1" applyFont="1" applyFill="1" applyBorder="1" applyAlignment="1">
      <alignment horizontal="left" vertical="center" wrapText="1"/>
    </xf>
    <xf numFmtId="0" fontId="3" fillId="9" borderId="15" xfId="0" applyFont="1" applyFill="1" applyBorder="1" applyAlignment="1">
      <alignment horizontal="center" vertical="center" wrapText="1"/>
    </xf>
    <xf numFmtId="0" fontId="3" fillId="42" borderId="15" xfId="0" applyFont="1" applyFill="1" applyBorder="1" applyAlignment="1">
      <alignment horizontal="center" vertical="center" wrapText="1"/>
    </xf>
    <xf numFmtId="9" fontId="3" fillId="42" borderId="15" xfId="0" applyNumberFormat="1" applyFont="1" applyFill="1" applyBorder="1" applyAlignment="1">
      <alignment horizontal="center" vertical="center" wrapText="1"/>
    </xf>
    <xf numFmtId="0" fontId="3" fillId="42" borderId="15" xfId="0" applyFont="1" applyFill="1" applyBorder="1" applyAlignment="1">
      <alignment horizontal="justify" vertical="center" wrapText="1"/>
    </xf>
    <xf numFmtId="0" fontId="3" fillId="42" borderId="10" xfId="0" applyFont="1" applyFill="1" applyBorder="1" applyAlignment="1">
      <alignment horizontal="left" vertical="center" wrapText="1"/>
    </xf>
    <xf numFmtId="9" fontId="3" fillId="42" borderId="10"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3" fillId="19" borderId="11" xfId="0" applyFont="1" applyFill="1" applyBorder="1" applyAlignment="1">
      <alignment horizontal="center" vertical="center" wrapText="1"/>
    </xf>
    <xf numFmtId="0" fontId="117" fillId="19" borderId="12" xfId="0" applyFont="1" applyFill="1" applyBorder="1" applyAlignment="1">
      <alignment horizontal="justify" vertical="center" wrapText="1"/>
    </xf>
    <xf numFmtId="0" fontId="3" fillId="19" borderId="11" xfId="0" applyFont="1" applyFill="1" applyBorder="1" applyAlignment="1">
      <alignment horizontal="left" vertical="center" wrapText="1"/>
    </xf>
    <xf numFmtId="9" fontId="3" fillId="19" borderId="10" xfId="0" applyNumberFormat="1" applyFont="1" applyFill="1" applyBorder="1" applyAlignment="1">
      <alignment horizontal="center" vertical="center" wrapText="1"/>
    </xf>
    <xf numFmtId="0" fontId="3" fillId="43" borderId="12" xfId="0" applyFont="1" applyFill="1" applyBorder="1" applyAlignment="1">
      <alignment horizontal="center" vertical="center" wrapText="1"/>
    </xf>
    <xf numFmtId="0" fontId="117" fillId="43" borderId="12" xfId="0" applyFont="1" applyFill="1" applyBorder="1" applyAlignment="1">
      <alignment horizontal="justify" vertical="center" wrapText="1"/>
    </xf>
    <xf numFmtId="9" fontId="3" fillId="43" borderId="11" xfId="0" applyNumberFormat="1" applyFont="1" applyFill="1" applyBorder="1" applyAlignment="1">
      <alignment horizontal="center" vertical="center" wrapText="1"/>
    </xf>
    <xf numFmtId="9" fontId="3" fillId="13" borderId="10" xfId="0" applyNumberFormat="1" applyFont="1" applyFill="1" applyBorder="1" applyAlignment="1">
      <alignment horizontal="center" vertical="center" wrapText="1"/>
    </xf>
    <xf numFmtId="0" fontId="0" fillId="13" borderId="10" xfId="0" applyFill="1" applyBorder="1" applyAlignment="1">
      <alignment/>
    </xf>
    <xf numFmtId="0" fontId="0" fillId="25" borderId="10" xfId="0" applyFill="1" applyBorder="1" applyAlignment="1">
      <alignment/>
    </xf>
    <xf numFmtId="9" fontId="0" fillId="25" borderId="10" xfId="0" applyNumberFormat="1" applyFill="1" applyBorder="1" applyAlignment="1">
      <alignment horizontal="center"/>
    </xf>
    <xf numFmtId="0" fontId="35" fillId="9" borderId="15" xfId="0" applyFont="1" applyFill="1" applyBorder="1" applyAlignment="1">
      <alignment horizontal="center" vertical="center" wrapText="1"/>
    </xf>
    <xf numFmtId="0" fontId="3" fillId="9" borderId="11" xfId="0" applyFont="1" applyFill="1" applyBorder="1" applyAlignment="1">
      <alignment horizontal="justify" vertical="center" wrapText="1"/>
    </xf>
    <xf numFmtId="178" fontId="3" fillId="9" borderId="11" xfId="0" applyNumberFormat="1" applyFont="1" applyFill="1" applyBorder="1" applyAlignment="1">
      <alignment horizontal="justify" vertical="center" wrapText="1"/>
    </xf>
    <xf numFmtId="3" fontId="3" fillId="9" borderId="11" xfId="0" applyNumberFormat="1"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2" fillId="12" borderId="15" xfId="0" applyFont="1" applyFill="1" applyBorder="1" applyAlignment="1">
      <alignment/>
    </xf>
    <xf numFmtId="0" fontId="0" fillId="12" borderId="15" xfId="0" applyFont="1" applyFill="1" applyBorder="1" applyAlignment="1">
      <alignment/>
    </xf>
    <xf numFmtId="0" fontId="3" fillId="12" borderId="10" xfId="0" applyFont="1" applyFill="1" applyBorder="1" applyAlignment="1">
      <alignment horizontal="justify" vertical="center" wrapText="1"/>
    </xf>
    <xf numFmtId="0" fontId="115" fillId="12" borderId="10" xfId="0" applyFont="1" applyFill="1" applyBorder="1" applyAlignment="1">
      <alignment horizontal="justify" vertical="center" wrapText="1"/>
    </xf>
    <xf numFmtId="0" fontId="3" fillId="12" borderId="10" xfId="0" applyFont="1" applyFill="1" applyBorder="1" applyAlignment="1">
      <alignment horizontal="center" vertical="center" wrapText="1"/>
    </xf>
    <xf numFmtId="178" fontId="3" fillId="12" borderId="10" xfId="0" applyNumberFormat="1" applyFont="1" applyFill="1" applyBorder="1" applyAlignment="1">
      <alignment horizontal="justify" vertical="center" wrapText="1"/>
    </xf>
    <xf numFmtId="178" fontId="3" fillId="12" borderId="10" xfId="0" applyNumberFormat="1" applyFont="1" applyFill="1" applyBorder="1" applyAlignment="1">
      <alignment horizontal="justify" vertical="center"/>
    </xf>
    <xf numFmtId="3" fontId="3" fillId="12" borderId="10" xfId="0" applyNumberFormat="1" applyFont="1" applyFill="1" applyBorder="1" applyAlignment="1">
      <alignment horizontal="justify" vertical="center" wrapText="1"/>
    </xf>
    <xf numFmtId="3" fontId="115" fillId="12" borderId="0" xfId="0" applyNumberFormat="1" applyFont="1" applyFill="1" applyAlignment="1">
      <alignment horizontal="justify" vertical="center"/>
    </xf>
    <xf numFmtId="0" fontId="2" fillId="12" borderId="17" xfId="0" applyFont="1" applyFill="1" applyBorder="1" applyAlignment="1">
      <alignment horizontal="justify" vertical="center" wrapText="1"/>
    </xf>
    <xf numFmtId="0" fontId="102" fillId="10" borderId="10" xfId="0" applyFont="1" applyFill="1" applyBorder="1" applyAlignment="1">
      <alignment/>
    </xf>
    <xf numFmtId="9" fontId="102" fillId="10" borderId="10" xfId="0" applyNumberFormat="1" applyFont="1" applyFill="1" applyBorder="1" applyAlignment="1">
      <alignment/>
    </xf>
    <xf numFmtId="0" fontId="18" fillId="10" borderId="11" xfId="0" applyFont="1" applyFill="1" applyBorder="1" applyAlignment="1">
      <alignment horizontal="center" vertical="center" wrapText="1"/>
    </xf>
    <xf numFmtId="9" fontId="102" fillId="10" borderId="11" xfId="0" applyNumberFormat="1" applyFont="1" applyFill="1" applyBorder="1" applyAlignment="1">
      <alignment horizontal="justify" vertical="center"/>
    </xf>
    <xf numFmtId="0" fontId="9" fillId="10" borderId="10" xfId="0" applyFont="1" applyFill="1" applyBorder="1" applyAlignment="1">
      <alignment horizontal="justify" vertical="center" wrapText="1"/>
    </xf>
    <xf numFmtId="0" fontId="2" fillId="10" borderId="10" xfId="0" applyFont="1" applyFill="1" applyBorder="1" applyAlignment="1">
      <alignment horizontal="justify" vertical="center" wrapText="1"/>
    </xf>
    <xf numFmtId="0" fontId="118" fillId="10" borderId="10" xfId="0" applyFont="1" applyFill="1" applyBorder="1" applyAlignment="1">
      <alignment horizontal="justify" vertical="center" wrapText="1"/>
    </xf>
    <xf numFmtId="0" fontId="2" fillId="10" borderId="10" xfId="0" applyFont="1" applyFill="1" applyBorder="1" applyAlignment="1">
      <alignment horizontal="center" vertical="center" wrapText="1"/>
    </xf>
    <xf numFmtId="178" fontId="2" fillId="10" borderId="10" xfId="0" applyNumberFormat="1" applyFont="1" applyFill="1" applyBorder="1" applyAlignment="1">
      <alignment horizontal="justify" vertical="center" wrapText="1"/>
    </xf>
    <xf numFmtId="178" fontId="2" fillId="10" borderId="10" xfId="0" applyNumberFormat="1" applyFont="1" applyFill="1" applyBorder="1" applyAlignment="1">
      <alignment horizontal="justify" vertical="center"/>
    </xf>
    <xf numFmtId="0" fontId="9" fillId="0"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3" fontId="9" fillId="0" borderId="12" xfId="0" applyNumberFormat="1"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18" fillId="0" borderId="12" xfId="0" applyFont="1" applyBorder="1" applyAlignment="1">
      <alignment horizontal="justify" vertical="center"/>
    </xf>
    <xf numFmtId="0" fontId="9" fillId="0" borderId="15"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3" fontId="9" fillId="0" borderId="10" xfId="0" applyNumberFormat="1" applyFont="1" applyFill="1" applyBorder="1" applyAlignment="1">
      <alignment horizontal="justify" vertical="center" wrapText="1"/>
    </xf>
    <xf numFmtId="9" fontId="102" fillId="9" borderId="15" xfId="0" applyNumberFormat="1" applyFont="1" applyFill="1" applyBorder="1" applyAlignment="1">
      <alignment horizontal="center" vertical="center" wrapText="1"/>
    </xf>
    <xf numFmtId="0" fontId="2" fillId="9" borderId="10" xfId="0" applyFont="1" applyFill="1" applyBorder="1" applyAlignment="1">
      <alignment horizontal="justify" vertical="center" wrapText="1"/>
    </xf>
    <xf numFmtId="0" fontId="117" fillId="9" borderId="10" xfId="0" applyFont="1" applyFill="1" applyBorder="1" applyAlignment="1">
      <alignment horizontal="center" vertical="center" wrapText="1"/>
    </xf>
    <xf numFmtId="0" fontId="2" fillId="9" borderId="15" xfId="0" applyFont="1" applyFill="1" applyBorder="1" applyAlignment="1">
      <alignment horizontal="justify" vertical="center" wrapText="1"/>
    </xf>
    <xf numFmtId="9" fontId="2" fillId="9" borderId="15" xfId="0" applyNumberFormat="1" applyFont="1" applyFill="1" applyBorder="1" applyAlignment="1">
      <alignment horizontal="center" vertical="center" wrapText="1"/>
    </xf>
    <xf numFmtId="3" fontId="2" fillId="9" borderId="11" xfId="0" applyNumberFormat="1"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0" fillId="13" borderId="12" xfId="0" applyFill="1" applyBorder="1" applyAlignment="1">
      <alignment horizontal="justify" vertical="center"/>
    </xf>
    <xf numFmtId="0" fontId="3" fillId="13" borderId="10" xfId="0" applyFont="1" applyFill="1" applyBorder="1" applyAlignment="1">
      <alignment vertical="center" wrapText="1"/>
    </xf>
    <xf numFmtId="0" fontId="115" fillId="13" borderId="15" xfId="0" applyFont="1" applyFill="1" applyBorder="1" applyAlignment="1">
      <alignment horizontal="center" vertical="center" wrapText="1"/>
    </xf>
    <xf numFmtId="0" fontId="3" fillId="13" borderId="17" xfId="0" applyFont="1" applyFill="1" applyBorder="1" applyAlignment="1">
      <alignment horizontal="left" vertical="center" wrapText="1"/>
    </xf>
    <xf numFmtId="0" fontId="3" fillId="13" borderId="10" xfId="0" applyFont="1" applyFill="1" applyBorder="1" applyAlignment="1">
      <alignment horizontal="center" vertical="center" wrapText="1"/>
    </xf>
    <xf numFmtId="0" fontId="3" fillId="13" borderId="10" xfId="0" applyFont="1" applyFill="1" applyBorder="1" applyAlignment="1">
      <alignment horizontal="left" vertical="center" wrapText="1"/>
    </xf>
    <xf numFmtId="178" fontId="3" fillId="13" borderId="10" xfId="0" applyNumberFormat="1" applyFont="1" applyFill="1" applyBorder="1" applyAlignment="1">
      <alignment horizontal="left" vertical="center" wrapText="1"/>
    </xf>
    <xf numFmtId="178" fontId="3" fillId="13" borderId="10" xfId="0" applyNumberFormat="1" applyFont="1" applyFill="1" applyBorder="1" applyAlignment="1">
      <alignment horizontal="justify" vertical="center"/>
    </xf>
    <xf numFmtId="9" fontId="109" fillId="0" borderId="10" xfId="0" applyNumberFormat="1" applyFont="1" applyFill="1" applyBorder="1" applyAlignment="1">
      <alignment horizontal="center" vertical="center" wrapText="1"/>
    </xf>
    <xf numFmtId="9" fontId="114" fillId="0" borderId="10" xfId="0" applyNumberFormat="1" applyFont="1" applyFill="1" applyBorder="1" applyAlignment="1">
      <alignment horizontal="center" vertical="center" wrapText="1"/>
    </xf>
    <xf numFmtId="9" fontId="114" fillId="13" borderId="10" xfId="0" applyNumberFormat="1" applyFont="1" applyFill="1" applyBorder="1" applyAlignment="1">
      <alignment horizontal="center" vertical="center" wrapText="1"/>
    </xf>
    <xf numFmtId="0" fontId="0" fillId="13" borderId="10" xfId="0" applyFill="1" applyBorder="1" applyAlignment="1">
      <alignment horizontal="center"/>
    </xf>
    <xf numFmtId="180" fontId="109" fillId="13" borderId="10" xfId="0" applyNumberFormat="1" applyFont="1" applyFill="1" applyBorder="1" applyAlignment="1">
      <alignment/>
    </xf>
    <xf numFmtId="172" fontId="128" fillId="16" borderId="10" xfId="46" applyNumberFormat="1" applyFont="1" applyFill="1" applyBorder="1" applyAlignment="1">
      <alignment vertical="center"/>
    </xf>
    <xf numFmtId="172" fontId="128" fillId="16" borderId="10" xfId="46" applyNumberFormat="1" applyFont="1" applyFill="1" applyBorder="1" applyAlignment="1">
      <alignment/>
    </xf>
    <xf numFmtId="0" fontId="9" fillId="0" borderId="10" xfId="0" applyFont="1" applyFill="1" applyBorder="1" applyAlignment="1">
      <alignment horizontal="right" vertical="center" wrapText="1"/>
    </xf>
    <xf numFmtId="172" fontId="9" fillId="0" borderId="10" xfId="46"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9" fontId="110" fillId="19" borderId="10" xfId="52" applyFont="1" applyFill="1" applyBorder="1" applyAlignment="1">
      <alignment horizontal="center" vertical="center" wrapText="1"/>
    </xf>
    <xf numFmtId="9" fontId="110" fillId="0" borderId="10" xfId="52" applyFont="1" applyFill="1" applyBorder="1" applyAlignment="1">
      <alignment horizontal="center" wrapText="1"/>
    </xf>
    <xf numFmtId="9" fontId="110" fillId="0" borderId="10" xfId="52" applyFont="1" applyFill="1" applyBorder="1" applyAlignment="1">
      <alignment horizontal="center" vertical="center" wrapText="1"/>
    </xf>
    <xf numFmtId="9" fontId="110" fillId="0" borderId="11" xfId="52" applyFont="1" applyFill="1" applyBorder="1" applyAlignment="1">
      <alignment horizontal="center" wrapText="1"/>
    </xf>
    <xf numFmtId="9" fontId="0" fillId="0" borderId="11" xfId="52" applyFont="1" applyBorder="1" applyAlignment="1">
      <alignment horizontal="center" vertical="center"/>
    </xf>
    <xf numFmtId="0" fontId="0" fillId="0" borderId="10" xfId="0" applyBorder="1" applyAlignment="1">
      <alignment/>
    </xf>
    <xf numFmtId="9" fontId="102" fillId="12" borderId="10" xfId="0" applyNumberFormat="1" applyFont="1" applyFill="1" applyBorder="1" applyAlignment="1">
      <alignment horizontal="center" vertical="center" wrapText="1"/>
    </xf>
    <xf numFmtId="9" fontId="129" fillId="7" borderId="10" xfId="0" applyNumberFormat="1" applyFont="1" applyFill="1" applyBorder="1" applyAlignment="1">
      <alignment horizontal="center" vertical="center"/>
    </xf>
    <xf numFmtId="0" fontId="39" fillId="0" borderId="0" xfId="0" applyFont="1" applyAlignment="1">
      <alignment horizontal="left"/>
    </xf>
    <xf numFmtId="0" fontId="0" fillId="0" borderId="10" xfId="0" applyBorder="1" applyAlignment="1">
      <alignment/>
    </xf>
    <xf numFmtId="0" fontId="108" fillId="34" borderId="10" xfId="0" applyFont="1" applyFill="1" applyBorder="1" applyAlignment="1">
      <alignment horizontal="center" vertical="center" wrapText="1"/>
    </xf>
    <xf numFmtId="3" fontId="0" fillId="0" borderId="10" xfId="0" applyNumberFormat="1" applyBorder="1" applyAlignment="1">
      <alignment/>
    </xf>
    <xf numFmtId="0" fontId="110" fillId="34" borderId="10" xfId="0" applyFont="1" applyFill="1" applyBorder="1" applyAlignment="1">
      <alignment horizontal="center" vertical="center" wrapText="1"/>
    </xf>
    <xf numFmtId="3" fontId="11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172" fontId="0" fillId="34" borderId="10" xfId="46" applyNumberFormat="1" applyFont="1" applyFill="1" applyBorder="1" applyAlignment="1">
      <alignment horizontal="center" vertical="center"/>
    </xf>
    <xf numFmtId="0" fontId="0" fillId="34" borderId="10" xfId="0" applyFont="1" applyFill="1" applyBorder="1" applyAlignment="1">
      <alignment horizontal="center" vertical="center"/>
    </xf>
    <xf numFmtId="0" fontId="110" fillId="34" borderId="10" xfId="0" applyFont="1" applyFill="1" applyBorder="1" applyAlignment="1">
      <alignment vertical="center"/>
    </xf>
    <xf numFmtId="0" fontId="110" fillId="34" borderId="10" xfId="0" applyFont="1" applyFill="1" applyBorder="1" applyAlignment="1">
      <alignment vertical="center" wrapText="1"/>
    </xf>
    <xf numFmtId="0" fontId="0" fillId="34" borderId="10" xfId="0" applyFont="1" applyFill="1" applyBorder="1" applyAlignment="1">
      <alignment vertical="center"/>
    </xf>
    <xf numFmtId="0" fontId="110" fillId="34" borderId="10" xfId="0" applyFont="1" applyFill="1" applyBorder="1" applyAlignment="1">
      <alignment horizontal="center" vertical="center"/>
    </xf>
    <xf numFmtId="0" fontId="112" fillId="34" borderId="10" xfId="0" applyFont="1" applyFill="1" applyBorder="1" applyAlignment="1">
      <alignment horizontal="center" vertical="center" wrapText="1"/>
    </xf>
    <xf numFmtId="3" fontId="110" fillId="34" borderId="10" xfId="0" applyNumberFormat="1" applyFont="1" applyFill="1" applyBorder="1" applyAlignment="1">
      <alignment horizontal="center" vertical="center"/>
    </xf>
    <xf numFmtId="172" fontId="0" fillId="0" borderId="10" xfId="46" applyNumberFormat="1" applyFont="1" applyBorder="1" applyAlignment="1">
      <alignment/>
    </xf>
    <xf numFmtId="0" fontId="2" fillId="0" borderId="24" xfId="0" applyFont="1" applyBorder="1" applyAlignment="1">
      <alignment horizontal="left"/>
    </xf>
    <xf numFmtId="0" fontId="2" fillId="0" borderId="19" xfId="0" applyFont="1" applyBorder="1" applyAlignment="1">
      <alignment/>
    </xf>
    <xf numFmtId="0" fontId="2" fillId="0" borderId="0" xfId="0" applyFont="1" applyFill="1" applyBorder="1" applyAlignment="1">
      <alignment horizontal="left"/>
    </xf>
    <xf numFmtId="0" fontId="2" fillId="0" borderId="18" xfId="0" applyFont="1" applyBorder="1" applyAlignment="1">
      <alignment horizontal="left"/>
    </xf>
    <xf numFmtId="0" fontId="0" fillId="0" borderId="10" xfId="0" applyBorder="1" applyAlignment="1">
      <alignment/>
    </xf>
    <xf numFmtId="0" fontId="106" fillId="34" borderId="10" xfId="0"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3" fontId="106" fillId="34"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Border="1" applyAlignment="1">
      <alignment/>
    </xf>
    <xf numFmtId="181" fontId="106" fillId="0" borderId="10" xfId="0" applyNumberFormat="1" applyFont="1" applyFill="1" applyBorder="1" applyAlignment="1">
      <alignment horizontal="center" vertical="center" wrapText="1"/>
    </xf>
    <xf numFmtId="0" fontId="106" fillId="0" borderId="10" xfId="0" applyFont="1" applyFill="1" applyBorder="1" applyAlignment="1">
      <alignment horizontal="center" wrapText="1"/>
    </xf>
    <xf numFmtId="181" fontId="106" fillId="0" borderId="11" xfId="0" applyNumberFormat="1" applyFont="1" applyFill="1" applyBorder="1" applyAlignment="1">
      <alignment horizontal="center" vertical="center" wrapText="1"/>
    </xf>
    <xf numFmtId="0" fontId="108" fillId="0" borderId="11" xfId="0" applyFont="1" applyFill="1" applyBorder="1" applyAlignment="1">
      <alignment horizontal="center" vertical="center"/>
    </xf>
    <xf numFmtId="180" fontId="108" fillId="0" borderId="11" xfId="48" applyNumberFormat="1" applyFont="1" applyFill="1" applyBorder="1" applyAlignment="1">
      <alignment horizontal="center" vertical="center"/>
    </xf>
    <xf numFmtId="0" fontId="106" fillId="0" borderId="11" xfId="0" applyFont="1" applyFill="1" applyBorder="1" applyAlignment="1">
      <alignment horizontal="center" vertical="center" wrapText="1"/>
    </xf>
    <xf numFmtId="180" fontId="108" fillId="0" borderId="10" xfId="48" applyNumberFormat="1" applyFont="1" applyFill="1" applyBorder="1" applyAlignment="1">
      <alignment vertical="center"/>
    </xf>
    <xf numFmtId="180" fontId="108" fillId="0" borderId="10" xfId="48" applyNumberFormat="1" applyFont="1" applyFill="1" applyBorder="1" applyAlignment="1">
      <alignment horizontal="center" vertical="center"/>
    </xf>
    <xf numFmtId="2" fontId="13" fillId="16" borderId="10" xfId="0" applyNumberFormat="1"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04" fillId="16" borderId="10" xfId="0" applyFont="1" applyFill="1" applyBorder="1" applyAlignment="1">
      <alignment horizontal="center" vertical="center" wrapText="1"/>
    </xf>
    <xf numFmtId="181" fontId="13" fillId="16" borderId="10" xfId="0" applyNumberFormat="1" applyFont="1" applyFill="1" applyBorder="1" applyAlignment="1">
      <alignment horizontal="center" vertical="center" wrapText="1"/>
    </xf>
    <xf numFmtId="172" fontId="114" fillId="16" borderId="10" xfId="46" applyNumberFormat="1" applyFont="1" applyFill="1" applyBorder="1" applyAlignment="1">
      <alignment horizontal="right" vertical="center"/>
    </xf>
    <xf numFmtId="0" fontId="0" fillId="0" borderId="15" xfId="0" applyBorder="1" applyAlignment="1">
      <alignment/>
    </xf>
    <xf numFmtId="0" fontId="106" fillId="0" borderId="12" xfId="0" applyFont="1" applyBorder="1" applyAlignment="1">
      <alignment horizontal="center" vertical="center" wrapText="1"/>
    </xf>
    <xf numFmtId="0" fontId="2" fillId="0" borderId="22" xfId="0" applyFont="1" applyBorder="1" applyAlignment="1">
      <alignment horizontal="center"/>
    </xf>
    <xf numFmtId="0" fontId="130" fillId="33" borderId="0" xfId="0" applyFont="1" applyFill="1" applyBorder="1" applyAlignment="1">
      <alignment horizontal="center"/>
    </xf>
    <xf numFmtId="0" fontId="2" fillId="0" borderId="22" xfId="0" applyFont="1" applyBorder="1" applyAlignment="1">
      <alignment horizontal="left"/>
    </xf>
    <xf numFmtId="0" fontId="0" fillId="0" borderId="10" xfId="0" applyBorder="1" applyAlignment="1">
      <alignment/>
    </xf>
    <xf numFmtId="0" fontId="2" fillId="37" borderId="10" xfId="0" applyFont="1" applyFill="1" applyBorder="1" applyAlignment="1">
      <alignment horizontal="center" vertical="center" wrapText="1"/>
    </xf>
    <xf numFmtId="0" fontId="3" fillId="0" borderId="24" xfId="0" applyFont="1" applyBorder="1" applyAlignment="1">
      <alignment horizontal="left"/>
    </xf>
    <xf numFmtId="0" fontId="87" fillId="33" borderId="26" xfId="0" applyFont="1" applyFill="1" applyBorder="1" applyAlignment="1">
      <alignment horizontal="center"/>
    </xf>
    <xf numFmtId="0" fontId="109" fillId="3" borderId="12" xfId="0" applyFont="1" applyFill="1" applyBorder="1" applyAlignment="1">
      <alignment horizontal="center" vertical="center" wrapText="1"/>
    </xf>
    <xf numFmtId="0" fontId="109" fillId="3" borderId="12" xfId="0" applyFont="1" applyFill="1" applyBorder="1" applyAlignment="1">
      <alignment horizontal="center" vertical="center"/>
    </xf>
    <xf numFmtId="0" fontId="106" fillId="3" borderId="12" xfId="0" applyFont="1" applyFill="1" applyBorder="1" applyAlignment="1">
      <alignment horizontal="center" vertical="center" wrapText="1"/>
    </xf>
    <xf numFmtId="0" fontId="0" fillId="0" borderId="12" xfId="0" applyBorder="1" applyAlignment="1">
      <alignment/>
    </xf>
    <xf numFmtId="0" fontId="2" fillId="0" borderId="24" xfId="0" applyNumberFormat="1" applyFont="1" applyBorder="1" applyAlignment="1">
      <alignment horizontal="left" wrapText="1"/>
    </xf>
    <xf numFmtId="0" fontId="0" fillId="0" borderId="24" xfId="0" applyBorder="1" applyAlignment="1">
      <alignment/>
    </xf>
    <xf numFmtId="0" fontId="97" fillId="0" borderId="24" xfId="0" applyFont="1" applyBorder="1" applyAlignment="1">
      <alignment/>
    </xf>
    <xf numFmtId="0" fontId="0" fillId="0" borderId="20" xfId="0" applyBorder="1" applyAlignment="1">
      <alignment/>
    </xf>
    <xf numFmtId="0" fontId="131" fillId="0" borderId="22" xfId="0" applyFont="1" applyBorder="1" applyAlignment="1">
      <alignment horizontal="left"/>
    </xf>
    <xf numFmtId="0" fontId="2" fillId="0" borderId="22" xfId="0" applyFont="1" applyFill="1" applyBorder="1" applyAlignment="1">
      <alignment horizontal="left"/>
    </xf>
    <xf numFmtId="173" fontId="38" fillId="0" borderId="22" xfId="46" applyNumberFormat="1" applyFont="1" applyFill="1" applyBorder="1" applyAlignment="1">
      <alignment vertical="center"/>
    </xf>
    <xf numFmtId="0" fontId="2" fillId="0" borderId="22" xfId="0" applyFont="1" applyBorder="1" applyAlignment="1">
      <alignment/>
    </xf>
    <xf numFmtId="0" fontId="2" fillId="0" borderId="17" xfId="0" applyFont="1" applyBorder="1" applyAlignment="1">
      <alignment/>
    </xf>
    <xf numFmtId="0" fontId="109" fillId="0" borderId="0" xfId="0" applyFont="1" applyAlignment="1">
      <alignment/>
    </xf>
    <xf numFmtId="0" fontId="132" fillId="33" borderId="15" xfId="0" applyFont="1" applyFill="1" applyBorder="1" applyAlignment="1">
      <alignment horizontal="center" vertical="center" wrapText="1"/>
    </xf>
    <xf numFmtId="0" fontId="132" fillId="33" borderId="12" xfId="0" applyFont="1" applyFill="1" applyBorder="1" applyAlignment="1">
      <alignment vertical="center" wrapText="1"/>
    </xf>
    <xf numFmtId="0" fontId="132" fillId="33" borderId="12" xfId="0" applyFont="1" applyFill="1" applyBorder="1" applyAlignment="1">
      <alignment horizontal="center" vertical="center" wrapText="1"/>
    </xf>
    <xf numFmtId="0" fontId="132" fillId="33" borderId="11" xfId="0" applyFont="1" applyFill="1" applyBorder="1" applyAlignment="1">
      <alignment horizontal="center" vertical="center" wrapText="1"/>
    </xf>
    <xf numFmtId="0" fontId="120" fillId="0" borderId="0" xfId="0" applyFont="1" applyAlignment="1">
      <alignment vertical="center"/>
    </xf>
    <xf numFmtId="0" fontId="120" fillId="0" borderId="0" xfId="0" applyFont="1" applyBorder="1" applyAlignment="1">
      <alignment/>
    </xf>
    <xf numFmtId="0" fontId="132" fillId="33" borderId="11" xfId="0" applyFont="1" applyFill="1" applyBorder="1" applyAlignment="1">
      <alignment horizontal="center" wrapText="1"/>
    </xf>
    <xf numFmtId="0" fontId="10" fillId="33" borderId="12" xfId="0" applyFont="1" applyFill="1" applyBorder="1" applyAlignment="1">
      <alignment horizontal="center" vertical="center" wrapText="1"/>
    </xf>
    <xf numFmtId="0" fontId="120" fillId="0" borderId="0" xfId="0" applyFont="1" applyAlignment="1">
      <alignment/>
    </xf>
    <xf numFmtId="0" fontId="132" fillId="33" borderId="12" xfId="0" applyFont="1" applyFill="1" applyBorder="1" applyAlignment="1">
      <alignment horizontal="center" wrapText="1"/>
    </xf>
    <xf numFmtId="0" fontId="10" fillId="33" borderId="12" xfId="0" applyFont="1" applyFill="1" applyBorder="1" applyAlignment="1">
      <alignment horizontal="center" wrapText="1"/>
    </xf>
    <xf numFmtId="0" fontId="133" fillId="33" borderId="10" xfId="0" applyFont="1" applyFill="1" applyBorder="1" applyAlignment="1">
      <alignment horizontal="center" vertical="center" wrapText="1"/>
    </xf>
    <xf numFmtId="0" fontId="133" fillId="33" borderId="10" xfId="0" applyFont="1" applyFill="1" applyBorder="1" applyAlignment="1">
      <alignment vertical="center" wrapText="1"/>
    </xf>
    <xf numFmtId="0" fontId="133" fillId="33" borderId="10" xfId="0" applyFont="1" applyFill="1" applyBorder="1" applyAlignment="1">
      <alignment horizontal="center" wrapText="1"/>
    </xf>
    <xf numFmtId="0" fontId="40" fillId="33" borderId="10" xfId="0" applyFont="1" applyFill="1" applyBorder="1" applyAlignment="1">
      <alignment horizontal="center" vertical="center" wrapText="1"/>
    </xf>
    <xf numFmtId="0" fontId="0" fillId="0" borderId="22" xfId="0" applyBorder="1" applyAlignment="1">
      <alignment/>
    </xf>
    <xf numFmtId="0" fontId="36" fillId="0" borderId="10" xfId="0" applyFont="1" applyBorder="1" applyAlignment="1">
      <alignment vertical="center"/>
    </xf>
    <xf numFmtId="0" fontId="3" fillId="0" borderId="17" xfId="0" applyFont="1" applyBorder="1" applyAlignment="1">
      <alignment/>
    </xf>
    <xf numFmtId="0" fontId="37" fillId="0" borderId="17" xfId="0" applyFont="1" applyBorder="1" applyAlignment="1">
      <alignment/>
    </xf>
    <xf numFmtId="0" fontId="37" fillId="0" borderId="19" xfId="0" applyFont="1" applyBorder="1" applyAlignment="1">
      <alignment horizontal="left" vertical="center"/>
    </xf>
    <xf numFmtId="0" fontId="37" fillId="0" borderId="22" xfId="0" applyFont="1" applyBorder="1" applyAlignment="1">
      <alignment horizontal="left" vertical="center"/>
    </xf>
    <xf numFmtId="0" fontId="37" fillId="0" borderId="17" xfId="0" applyFont="1" applyBorder="1" applyAlignment="1">
      <alignment horizontal="left" vertical="center"/>
    </xf>
    <xf numFmtId="0" fontId="36" fillId="0" borderId="19" xfId="0" applyFont="1" applyBorder="1" applyAlignment="1">
      <alignment horizontal="left" vertical="center"/>
    </xf>
    <xf numFmtId="0" fontId="37" fillId="0" borderId="24" xfId="0" applyFont="1" applyBorder="1" applyAlignment="1">
      <alignment vertical="center"/>
    </xf>
    <xf numFmtId="0" fontId="36" fillId="0" borderId="20" xfId="0" applyFont="1" applyBorder="1" applyAlignment="1">
      <alignment vertical="center"/>
    </xf>
    <xf numFmtId="0" fontId="36" fillId="0" borderId="14" xfId="0" applyFont="1" applyBorder="1" applyAlignment="1">
      <alignment vertical="center"/>
    </xf>
    <xf numFmtId="0" fontId="36" fillId="0" borderId="19" xfId="0" applyFont="1" applyBorder="1" applyAlignment="1">
      <alignment vertical="center"/>
    </xf>
    <xf numFmtId="0" fontId="37" fillId="0" borderId="22" xfId="0" applyFont="1" applyBorder="1" applyAlignment="1">
      <alignment vertical="center"/>
    </xf>
    <xf numFmtId="0" fontId="37" fillId="0" borderId="17" xfId="0" applyFont="1" applyBorder="1" applyAlignment="1">
      <alignment vertical="center"/>
    </xf>
    <xf numFmtId="0" fontId="36" fillId="0" borderId="10" xfId="0" applyFont="1" applyBorder="1" applyAlignment="1">
      <alignment vertical="center" wrapText="1"/>
    </xf>
    <xf numFmtId="0" fontId="37" fillId="0" borderId="19" xfId="0" applyFont="1" applyBorder="1" applyAlignment="1">
      <alignment vertical="center"/>
    </xf>
    <xf numFmtId="0" fontId="36" fillId="0" borderId="17" xfId="0" applyFont="1" applyBorder="1" applyAlignment="1">
      <alignment/>
    </xf>
    <xf numFmtId="0" fontId="36" fillId="0" borderId="10" xfId="0" applyFont="1" applyBorder="1" applyAlignment="1">
      <alignment vertical="center"/>
    </xf>
    <xf numFmtId="0" fontId="36" fillId="0" borderId="19" xfId="0" applyFont="1" applyBorder="1" applyAlignment="1">
      <alignment vertical="center" wrapText="1"/>
    </xf>
    <xf numFmtId="0" fontId="0" fillId="0" borderId="0" xfId="0" applyAlignment="1">
      <alignment vertical="center"/>
    </xf>
    <xf numFmtId="0" fontId="36" fillId="0" borderId="15" xfId="0" applyFont="1" applyBorder="1" applyAlignment="1">
      <alignment vertical="center"/>
    </xf>
    <xf numFmtId="0" fontId="2" fillId="0" borderId="17" xfId="0" applyFont="1" applyBorder="1" applyAlignment="1">
      <alignment vertical="center"/>
    </xf>
    <xf numFmtId="0" fontId="36" fillId="0" borderId="11" xfId="0" applyFont="1" applyBorder="1" applyAlignment="1">
      <alignment vertical="center" wrapText="1"/>
    </xf>
    <xf numFmtId="0" fontId="39" fillId="0" borderId="22" xfId="0" applyFont="1" applyBorder="1" applyAlignment="1">
      <alignment horizontal="left"/>
    </xf>
    <xf numFmtId="0" fontId="39" fillId="0" borderId="13" xfId="0" applyFont="1" applyBorder="1" applyAlignment="1">
      <alignment horizontal="left"/>
    </xf>
    <xf numFmtId="0" fontId="39" fillId="0" borderId="13" xfId="0" applyFont="1" applyBorder="1" applyAlignment="1">
      <alignment/>
    </xf>
    <xf numFmtId="0" fontId="36" fillId="0" borderId="10" xfId="0" applyFont="1" applyBorder="1" applyAlignment="1">
      <alignment horizontal="left" vertical="center"/>
    </xf>
    <xf numFmtId="0" fontId="36" fillId="0" borderId="10" xfId="0" applyFont="1" applyBorder="1" applyAlignment="1">
      <alignment horizontal="left" vertical="center" wrapText="1"/>
    </xf>
    <xf numFmtId="0" fontId="36" fillId="0" borderId="21" xfId="0" applyFont="1" applyBorder="1" applyAlignment="1">
      <alignment vertical="center"/>
    </xf>
    <xf numFmtId="0" fontId="36" fillId="0" borderId="16" xfId="0" applyFont="1" applyBorder="1" applyAlignment="1">
      <alignment vertical="center"/>
    </xf>
    <xf numFmtId="0" fontId="36" fillId="0" borderId="27" xfId="0" applyFont="1" applyBorder="1" applyAlignment="1">
      <alignment vertical="center"/>
    </xf>
    <xf numFmtId="0" fontId="36" fillId="0" borderId="18" xfId="0" applyFont="1" applyBorder="1" applyAlignment="1">
      <alignment vertical="center"/>
    </xf>
    <xf numFmtId="0" fontId="2" fillId="0" borderId="13" xfId="0" applyFont="1" applyBorder="1" applyAlignment="1">
      <alignment horizontal="left"/>
    </xf>
    <xf numFmtId="0" fontId="2" fillId="0" borderId="13" xfId="0" applyFont="1" applyFill="1" applyBorder="1" applyAlignment="1">
      <alignment horizontal="left"/>
    </xf>
    <xf numFmtId="0" fontId="132" fillId="35" borderId="15" xfId="0" applyFont="1" applyFill="1" applyBorder="1" applyAlignment="1">
      <alignment horizontal="center" vertical="center" wrapText="1"/>
    </xf>
    <xf numFmtId="0" fontId="132" fillId="35" borderId="11" xfId="0" applyFont="1" applyFill="1" applyBorder="1" applyAlignment="1">
      <alignment horizontal="center" vertical="center" wrapText="1"/>
    </xf>
    <xf numFmtId="0" fontId="0" fillId="0" borderId="0" xfId="0" applyFont="1" applyFill="1" applyAlignment="1">
      <alignment/>
    </xf>
    <xf numFmtId="0" fontId="116" fillId="0" borderId="0" xfId="0" applyFont="1" applyFill="1" applyAlignment="1">
      <alignment horizontal="left"/>
    </xf>
    <xf numFmtId="0" fontId="37" fillId="0" borderId="19" xfId="0" applyFont="1" applyFill="1" applyBorder="1" applyAlignment="1">
      <alignment horizontal="left"/>
    </xf>
    <xf numFmtId="0" fontId="37" fillId="0" borderId="22" xfId="0" applyFont="1" applyFill="1" applyBorder="1" applyAlignment="1">
      <alignment horizontal="left"/>
    </xf>
    <xf numFmtId="0" fontId="37" fillId="0" borderId="17" xfId="0" applyFont="1" applyFill="1" applyBorder="1" applyAlignment="1">
      <alignment horizontal="left"/>
    </xf>
    <xf numFmtId="0" fontId="116" fillId="0" borderId="0" xfId="0" applyFont="1" applyFill="1" applyBorder="1" applyAlignment="1">
      <alignment horizontal="left"/>
    </xf>
    <xf numFmtId="0" fontId="2" fillId="0" borderId="0" xfId="0" applyFont="1" applyFill="1" applyBorder="1" applyAlignment="1">
      <alignment/>
    </xf>
    <xf numFmtId="0" fontId="36" fillId="0" borderId="19" xfId="0" applyFont="1" applyFill="1" applyBorder="1" applyAlignment="1">
      <alignment vertical="center"/>
    </xf>
    <xf numFmtId="0" fontId="134" fillId="0" borderId="17" xfId="0" applyFont="1" applyFill="1" applyBorder="1" applyAlignment="1">
      <alignment vertical="center"/>
    </xf>
    <xf numFmtId="0" fontId="36" fillId="0" borderId="17" xfId="0" applyFont="1" applyFill="1" applyBorder="1" applyAlignment="1">
      <alignment vertical="center"/>
    </xf>
    <xf numFmtId="0" fontId="36" fillId="0" borderId="17" xfId="0" applyFont="1" applyBorder="1" applyAlignment="1">
      <alignment vertical="center"/>
    </xf>
    <xf numFmtId="0" fontId="36" fillId="0" borderId="22" xfId="0" applyFont="1" applyBorder="1"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Fill="1" applyAlignment="1">
      <alignment/>
    </xf>
    <xf numFmtId="0" fontId="0" fillId="0" borderId="0" xfId="0" applyFill="1" applyBorder="1" applyAlignment="1">
      <alignment vertical="center"/>
    </xf>
    <xf numFmtId="0" fontId="3" fillId="0" borderId="0" xfId="0" applyFont="1" applyFill="1" applyAlignment="1">
      <alignment horizontal="left"/>
    </xf>
    <xf numFmtId="178" fontId="2" fillId="0" borderId="0" xfId="0" applyNumberFormat="1" applyFont="1" applyFill="1" applyBorder="1" applyAlignment="1">
      <alignment horizontal="left"/>
    </xf>
    <xf numFmtId="178" fontId="2" fillId="0" borderId="0" xfId="0" applyNumberFormat="1" applyFont="1" applyFill="1" applyBorder="1" applyAlignment="1">
      <alignment horizontal="justify" vertical="center"/>
    </xf>
    <xf numFmtId="178" fontId="2" fillId="0" borderId="0" xfId="0" applyNumberFormat="1" applyFont="1" applyFill="1" applyAlignment="1">
      <alignment horizontal="left"/>
    </xf>
    <xf numFmtId="178" fontId="2" fillId="0" borderId="0" xfId="0" applyNumberFormat="1" applyFont="1" applyFill="1" applyAlignment="1">
      <alignment horizontal="justify" vertical="center"/>
    </xf>
    <xf numFmtId="0" fontId="2" fillId="0" borderId="10" xfId="0" applyFont="1" applyFill="1" applyBorder="1" applyAlignment="1">
      <alignment/>
    </xf>
    <xf numFmtId="0" fontId="37" fillId="0" borderId="13" xfId="0" applyFont="1" applyFill="1" applyBorder="1" applyAlignment="1">
      <alignment vertical="center"/>
    </xf>
    <xf numFmtId="0" fontId="36" fillId="0" borderId="14" xfId="0" applyFont="1" applyFill="1" applyBorder="1" applyAlignment="1">
      <alignment vertical="center"/>
    </xf>
    <xf numFmtId="0" fontId="37" fillId="0" borderId="10" xfId="0" applyFont="1" applyFill="1" applyBorder="1" applyAlignment="1">
      <alignment vertical="center" wrapText="1"/>
    </xf>
    <xf numFmtId="0" fontId="37" fillId="0" borderId="10" xfId="0" applyFont="1" applyFill="1" applyBorder="1" applyAlignment="1">
      <alignment horizontal="left" vertical="center" wrapText="1"/>
    </xf>
    <xf numFmtId="0" fontId="2" fillId="0" borderId="13" xfId="0" applyFont="1" applyBorder="1" applyAlignment="1">
      <alignment/>
    </xf>
    <xf numFmtId="0" fontId="37" fillId="0" borderId="22" xfId="0" applyFont="1" applyFill="1" applyBorder="1" applyAlignment="1">
      <alignment vertical="center"/>
    </xf>
    <xf numFmtId="0" fontId="37" fillId="0" borderId="19" xfId="0" applyFont="1" applyFill="1" applyBorder="1" applyAlignment="1">
      <alignment horizontal="left" vertical="center"/>
    </xf>
    <xf numFmtId="0" fontId="37" fillId="0" borderId="17" xfId="0" applyFont="1" applyBorder="1" applyAlignment="1">
      <alignment vertical="center"/>
    </xf>
    <xf numFmtId="0" fontId="37" fillId="0" borderId="19" xfId="0" applyFont="1" applyFill="1" applyBorder="1" applyAlignment="1">
      <alignment vertical="center"/>
    </xf>
    <xf numFmtId="0" fontId="135" fillId="33" borderId="15" xfId="0" applyFont="1" applyFill="1" applyBorder="1" applyAlignment="1">
      <alignment horizontal="center" vertical="center" wrapText="1"/>
    </xf>
    <xf numFmtId="0" fontId="106" fillId="3" borderId="10" xfId="0" applyNumberFormat="1" applyFont="1" applyFill="1" applyBorder="1" applyAlignment="1">
      <alignment horizontal="center" vertical="center" wrapText="1"/>
    </xf>
    <xf numFmtId="0" fontId="106" fillId="3" borderId="10" xfId="0" applyFont="1" applyFill="1" applyBorder="1" applyAlignment="1">
      <alignment horizontal="left" vertical="center" wrapText="1"/>
    </xf>
    <xf numFmtId="0" fontId="106" fillId="3" borderId="10" xfId="0" applyFont="1" applyFill="1" applyBorder="1" applyAlignment="1">
      <alignment horizontal="center" vertical="center" wrapText="1"/>
    </xf>
    <xf numFmtId="0" fontId="106" fillId="3" borderId="28" xfId="0" applyNumberFormat="1" applyFont="1" applyFill="1" applyBorder="1" applyAlignment="1">
      <alignment horizontal="center" vertical="center" wrapText="1"/>
    </xf>
    <xf numFmtId="0" fontId="106" fillId="3" borderId="28" xfId="0" applyFont="1" applyFill="1" applyBorder="1" applyAlignment="1">
      <alignment horizontal="left" vertical="center" wrapText="1"/>
    </xf>
    <xf numFmtId="0" fontId="106" fillId="3" borderId="28" xfId="0" applyFont="1" applyFill="1" applyBorder="1" applyAlignment="1">
      <alignment horizontal="center" vertical="center" wrapText="1"/>
    </xf>
    <xf numFmtId="0" fontId="109" fillId="3" borderId="28" xfId="0" applyFont="1" applyFill="1" applyBorder="1" applyAlignment="1">
      <alignment horizontal="center" vertical="center"/>
    </xf>
    <xf numFmtId="9" fontId="106" fillId="3" borderId="12" xfId="0" applyNumberFormat="1" applyFont="1" applyFill="1" applyBorder="1" applyAlignment="1">
      <alignment horizontal="center" vertical="center" wrapText="1"/>
    </xf>
    <xf numFmtId="3" fontId="106" fillId="3" borderId="12" xfId="0" applyNumberFormat="1" applyFont="1" applyFill="1" applyBorder="1" applyAlignment="1">
      <alignment horizontal="center" vertical="center" wrapText="1"/>
    </xf>
    <xf numFmtId="0" fontId="106" fillId="3" borderId="12" xfId="0" applyFont="1" applyFill="1" applyBorder="1" applyAlignment="1">
      <alignment horizontal="left" vertical="center" wrapText="1"/>
    </xf>
    <xf numFmtId="0" fontId="106" fillId="3" borderId="29" xfId="0" applyFont="1" applyFill="1" applyBorder="1" applyAlignment="1">
      <alignment horizontal="left" vertical="center" wrapText="1"/>
    </xf>
    <xf numFmtId="0" fontId="117" fillId="3" borderId="29" xfId="0" applyFont="1" applyFill="1" applyBorder="1" applyAlignment="1">
      <alignment horizontal="left" vertical="center" wrapText="1"/>
    </xf>
    <xf numFmtId="9" fontId="117" fillId="3" borderId="12" xfId="0" applyNumberFormat="1" applyFont="1" applyFill="1" applyBorder="1" applyAlignment="1">
      <alignment horizontal="center" vertical="center" wrapText="1"/>
    </xf>
    <xf numFmtId="0" fontId="106" fillId="3" borderId="12" xfId="0" applyNumberFormat="1" applyFont="1" applyFill="1" applyBorder="1" applyAlignment="1">
      <alignment horizontal="center" vertical="center" wrapText="1"/>
    </xf>
    <xf numFmtId="0" fontId="106" fillId="44" borderId="10" xfId="0" applyFont="1" applyFill="1" applyBorder="1" applyAlignment="1">
      <alignment horizontal="center" vertical="center"/>
    </xf>
    <xf numFmtId="0" fontId="106" fillId="44" borderId="10" xfId="0" applyFont="1" applyFill="1" applyBorder="1" applyAlignment="1">
      <alignment horizontal="left" vertical="center" wrapText="1"/>
    </xf>
    <xf numFmtId="0" fontId="109" fillId="44" borderId="17" xfId="0" applyFont="1" applyFill="1" applyBorder="1" applyAlignment="1">
      <alignment horizontal="center" vertical="center" wrapText="1"/>
    </xf>
    <xf numFmtId="0" fontId="109" fillId="44" borderId="10" xfId="0" applyFont="1" applyFill="1" applyBorder="1" applyAlignment="1">
      <alignment horizontal="center" vertical="center"/>
    </xf>
    <xf numFmtId="0" fontId="106" fillId="44" borderId="28" xfId="0" applyFont="1" applyFill="1" applyBorder="1" applyAlignment="1">
      <alignment horizontal="center" vertical="center"/>
    </xf>
    <xf numFmtId="0" fontId="106" fillId="44" borderId="28" xfId="0" applyFont="1" applyFill="1" applyBorder="1" applyAlignment="1">
      <alignment horizontal="left" vertical="center" wrapText="1"/>
    </xf>
    <xf numFmtId="0" fontId="109" fillId="44" borderId="30" xfId="0" applyFont="1" applyFill="1" applyBorder="1" applyAlignment="1">
      <alignment horizontal="center" vertical="center" wrapText="1"/>
    </xf>
    <xf numFmtId="0" fontId="109" fillId="44" borderId="28" xfId="0" applyFont="1" applyFill="1" applyBorder="1" applyAlignment="1">
      <alignment horizontal="center" vertical="center"/>
    </xf>
    <xf numFmtId="0" fontId="106" fillId="45" borderId="15" xfId="0" applyFont="1" applyFill="1" applyBorder="1" applyAlignment="1">
      <alignment horizontal="center" vertical="center"/>
    </xf>
    <xf numFmtId="0" fontId="106" fillId="45" borderId="15" xfId="0" applyFont="1" applyFill="1" applyBorder="1" applyAlignment="1">
      <alignment horizontal="left" vertical="center" wrapText="1"/>
    </xf>
    <xf numFmtId="0" fontId="106" fillId="45" borderId="15" xfId="0" applyFont="1" applyFill="1" applyBorder="1" applyAlignment="1">
      <alignment horizontal="center" vertical="center" wrapText="1"/>
    </xf>
    <xf numFmtId="0" fontId="106" fillId="45" borderId="10" xfId="0" applyFont="1" applyFill="1" applyBorder="1" applyAlignment="1">
      <alignment horizontal="center" vertical="center"/>
    </xf>
    <xf numFmtId="0" fontId="106" fillId="45" borderId="10" xfId="0" applyFont="1" applyFill="1" applyBorder="1" applyAlignment="1">
      <alignment horizontal="left" vertical="top" wrapText="1"/>
    </xf>
    <xf numFmtId="0" fontId="106" fillId="45" borderId="10" xfId="0" applyFont="1" applyFill="1" applyBorder="1" applyAlignment="1">
      <alignment horizontal="justify" vertical="center" wrapText="1"/>
    </xf>
    <xf numFmtId="0" fontId="109" fillId="45" borderId="17" xfId="0" applyFont="1" applyFill="1" applyBorder="1" applyAlignment="1">
      <alignment vertical="center"/>
    </xf>
    <xf numFmtId="0" fontId="109" fillId="45" borderId="10" xfId="0" applyFont="1" applyFill="1" applyBorder="1" applyAlignment="1">
      <alignment vertical="center"/>
    </xf>
    <xf numFmtId="0" fontId="106" fillId="45" borderId="10" xfId="0" applyFont="1" applyFill="1" applyBorder="1" applyAlignment="1">
      <alignment vertical="top" wrapText="1"/>
    </xf>
    <xf numFmtId="0" fontId="106" fillId="45" borderId="10" xfId="0" applyFont="1" applyFill="1" applyBorder="1" applyAlignment="1">
      <alignment horizontal="center" vertical="center" wrapText="1"/>
    </xf>
    <xf numFmtId="0" fontId="108" fillId="45" borderId="10" xfId="0" applyFont="1" applyFill="1" applyBorder="1" applyAlignment="1">
      <alignment horizontal="center"/>
    </xf>
    <xf numFmtId="0" fontId="108" fillId="45" borderId="10" xfId="0" applyFont="1" applyFill="1" applyBorder="1" applyAlignment="1">
      <alignment horizontal="left" wrapText="1"/>
    </xf>
    <xf numFmtId="0" fontId="108" fillId="45" borderId="10" xfId="0" applyFont="1" applyFill="1" applyBorder="1" applyAlignment="1">
      <alignment/>
    </xf>
    <xf numFmtId="0" fontId="106" fillId="45" borderId="10" xfId="0" applyFont="1" applyFill="1" applyBorder="1" applyAlignment="1">
      <alignment horizontal="left" vertical="center" wrapText="1"/>
    </xf>
    <xf numFmtId="0" fontId="109" fillId="45" borderId="17" xfId="0" applyFont="1" applyFill="1" applyBorder="1" applyAlignment="1">
      <alignment horizontal="center" vertical="center"/>
    </xf>
    <xf numFmtId="0" fontId="109" fillId="45" borderId="10" xfId="0" applyFont="1" applyFill="1" applyBorder="1" applyAlignment="1">
      <alignment horizontal="center" vertical="center"/>
    </xf>
    <xf numFmtId="0" fontId="108" fillId="45" borderId="10" xfId="0" applyFont="1" applyFill="1" applyBorder="1" applyAlignment="1">
      <alignment horizontal="left" vertical="top" wrapText="1"/>
    </xf>
    <xf numFmtId="0" fontId="106" fillId="45" borderId="10" xfId="0" applyFont="1" applyFill="1" applyBorder="1" applyAlignment="1">
      <alignment vertical="center" wrapText="1"/>
    </xf>
    <xf numFmtId="0" fontId="106" fillId="45" borderId="10" xfId="0" applyFont="1" applyFill="1" applyBorder="1" applyAlignment="1">
      <alignment horizontal="center"/>
    </xf>
    <xf numFmtId="0" fontId="106" fillId="45" borderId="10" xfId="0" applyFont="1" applyFill="1" applyBorder="1" applyAlignment="1">
      <alignment wrapText="1"/>
    </xf>
    <xf numFmtId="0" fontId="106" fillId="45" borderId="10" xfId="0" applyFont="1" applyFill="1" applyBorder="1" applyAlignment="1">
      <alignment horizontal="center" wrapText="1"/>
    </xf>
    <xf numFmtId="0" fontId="109" fillId="45" borderId="17" xfId="0" applyFont="1" applyFill="1" applyBorder="1" applyAlignment="1">
      <alignment/>
    </xf>
    <xf numFmtId="0" fontId="109" fillId="45" borderId="10" xfId="0" applyFont="1" applyFill="1" applyBorder="1" applyAlignment="1">
      <alignment/>
    </xf>
    <xf numFmtId="0" fontId="109" fillId="45" borderId="17" xfId="0" applyFont="1" applyFill="1" applyBorder="1" applyAlignment="1">
      <alignment wrapText="1"/>
    </xf>
    <xf numFmtId="0" fontId="109" fillId="45" borderId="10" xfId="0" applyFont="1" applyFill="1" applyBorder="1" applyAlignment="1">
      <alignment wrapText="1"/>
    </xf>
    <xf numFmtId="0" fontId="109" fillId="45" borderId="17" xfId="0" applyFont="1" applyFill="1" applyBorder="1" applyAlignment="1">
      <alignment vertical="center" wrapText="1"/>
    </xf>
    <xf numFmtId="3" fontId="106" fillId="45" borderId="10" xfId="0" applyNumberFormat="1" applyFont="1" applyFill="1" applyBorder="1" applyAlignment="1">
      <alignment horizontal="center" vertical="center"/>
    </xf>
    <xf numFmtId="3" fontId="106" fillId="45" borderId="10" xfId="0" applyNumberFormat="1" applyFont="1" applyFill="1" applyBorder="1" applyAlignment="1">
      <alignment horizontal="center" vertical="center" wrapText="1"/>
    </xf>
    <xf numFmtId="3" fontId="109" fillId="45" borderId="17" xfId="0" applyNumberFormat="1" applyFont="1" applyFill="1" applyBorder="1" applyAlignment="1">
      <alignment vertical="center" wrapText="1"/>
    </xf>
    <xf numFmtId="3" fontId="109" fillId="45" borderId="10" xfId="0" applyNumberFormat="1" applyFont="1" applyFill="1" applyBorder="1" applyAlignment="1">
      <alignment vertical="center"/>
    </xf>
    <xf numFmtId="0" fontId="106" fillId="45" borderId="28" xfId="0" applyFont="1" applyFill="1" applyBorder="1" applyAlignment="1">
      <alignment horizontal="center"/>
    </xf>
    <xf numFmtId="0" fontId="106" fillId="45" borderId="28" xfId="0" applyFont="1" applyFill="1" applyBorder="1" applyAlignment="1">
      <alignment wrapText="1"/>
    </xf>
    <xf numFmtId="0" fontId="109" fillId="45" borderId="30" xfId="0" applyFont="1" applyFill="1" applyBorder="1" applyAlignment="1">
      <alignment wrapText="1"/>
    </xf>
    <xf numFmtId="0" fontId="109" fillId="45" borderId="28" xfId="0" applyFont="1" applyFill="1" applyBorder="1" applyAlignment="1">
      <alignment/>
    </xf>
    <xf numFmtId="0" fontId="106" fillId="18" borderId="0" xfId="0" applyFont="1" applyFill="1" applyBorder="1" applyAlignment="1">
      <alignment horizontal="left" vertical="center" wrapText="1"/>
    </xf>
    <xf numFmtId="0" fontId="106" fillId="18" borderId="15" xfId="0" applyFont="1" applyFill="1" applyBorder="1" applyAlignment="1">
      <alignment horizontal="left" vertical="center" wrapText="1"/>
    </xf>
    <xf numFmtId="9" fontId="106" fillId="18" borderId="15" xfId="52" applyFont="1" applyFill="1" applyBorder="1" applyAlignment="1">
      <alignment horizontal="center" vertical="center" wrapText="1"/>
    </xf>
    <xf numFmtId="0" fontId="106" fillId="18" borderId="15" xfId="0" applyFont="1" applyFill="1" applyBorder="1" applyAlignment="1">
      <alignment horizontal="center" vertical="center"/>
    </xf>
    <xf numFmtId="0" fontId="106" fillId="18" borderId="15" xfId="0" applyFont="1" applyFill="1" applyBorder="1" applyAlignment="1">
      <alignment wrapText="1"/>
    </xf>
    <xf numFmtId="0" fontId="109" fillId="18" borderId="18" xfId="0" applyFont="1" applyFill="1" applyBorder="1" applyAlignment="1">
      <alignment vertical="center" wrapText="1"/>
    </xf>
    <xf numFmtId="0" fontId="109" fillId="18" borderId="15" xfId="0" applyFont="1" applyFill="1" applyBorder="1" applyAlignment="1">
      <alignment vertical="center"/>
    </xf>
    <xf numFmtId="0" fontId="109" fillId="18" borderId="15" xfId="0" applyFont="1" applyFill="1" applyBorder="1" applyAlignment="1">
      <alignment vertical="center" wrapText="1"/>
    </xf>
    <xf numFmtId="3" fontId="109" fillId="18" borderId="15" xfId="0" applyNumberFormat="1" applyFont="1" applyFill="1" applyBorder="1" applyAlignment="1">
      <alignment vertical="center"/>
    </xf>
    <xf numFmtId="0" fontId="106" fillId="18" borderId="10" xfId="0" applyFont="1" applyFill="1" applyBorder="1" applyAlignment="1">
      <alignment horizontal="center" vertical="center"/>
    </xf>
    <xf numFmtId="0" fontId="106" fillId="18" borderId="10" xfId="0" applyFont="1" applyFill="1" applyBorder="1" applyAlignment="1">
      <alignment vertical="center" wrapText="1"/>
    </xf>
    <xf numFmtId="0" fontId="109" fillId="18" borderId="17" xfId="0" applyFont="1" applyFill="1" applyBorder="1" applyAlignment="1">
      <alignment wrapText="1"/>
    </xf>
    <xf numFmtId="0" fontId="109" fillId="18" borderId="10" xfId="0" applyFont="1" applyFill="1" applyBorder="1" applyAlignment="1">
      <alignment/>
    </xf>
    <xf numFmtId="0" fontId="106" fillId="18" borderId="10" xfId="0" applyFont="1" applyFill="1" applyBorder="1" applyAlignment="1">
      <alignment wrapText="1"/>
    </xf>
    <xf numFmtId="0" fontId="106" fillId="18" borderId="10" xfId="0" applyFont="1" applyFill="1" applyBorder="1" applyAlignment="1">
      <alignment horizontal="center"/>
    </xf>
    <xf numFmtId="0" fontId="106" fillId="18" borderId="10" xfId="0" applyFont="1" applyFill="1" applyBorder="1" applyAlignment="1">
      <alignment horizontal="justify" wrapText="1"/>
    </xf>
    <xf numFmtId="0" fontId="106" fillId="18" borderId="10" xfId="0" applyFont="1" applyFill="1" applyBorder="1" applyAlignment="1">
      <alignment horizontal="justify" vertical="top" wrapText="1"/>
    </xf>
    <xf numFmtId="0" fontId="106" fillId="18" borderId="28" xfId="0" applyFont="1" applyFill="1" applyBorder="1" applyAlignment="1">
      <alignment horizontal="center"/>
    </xf>
    <xf numFmtId="0" fontId="106" fillId="18" borderId="28" xfId="0" applyFont="1" applyFill="1" applyBorder="1" applyAlignment="1">
      <alignment wrapText="1"/>
    </xf>
    <xf numFmtId="0" fontId="109" fillId="18" borderId="28" xfId="0" applyFont="1" applyFill="1" applyBorder="1" applyAlignment="1">
      <alignment wrapText="1"/>
    </xf>
    <xf numFmtId="0" fontId="106" fillId="18" borderId="12" xfId="0" applyFont="1" applyFill="1" applyBorder="1" applyAlignment="1">
      <alignment horizontal="left" vertical="center" wrapText="1"/>
    </xf>
    <xf numFmtId="9" fontId="106" fillId="18" borderId="12" xfId="0" applyNumberFormat="1" applyFont="1" applyFill="1" applyBorder="1" applyAlignment="1">
      <alignment horizontal="center" vertical="center" wrapText="1"/>
    </xf>
    <xf numFmtId="0" fontId="106" fillId="18" borderId="12" xfId="0" applyFont="1" applyFill="1" applyBorder="1" applyAlignment="1">
      <alignment horizontal="center" wrapText="1"/>
    </xf>
    <xf numFmtId="0" fontId="106" fillId="18" borderId="12" xfId="0" applyFont="1" applyFill="1" applyBorder="1" applyAlignment="1">
      <alignment horizontal="center" vertical="center" wrapText="1"/>
    </xf>
    <xf numFmtId="0" fontId="117" fillId="18" borderId="12" xfId="0" applyFont="1" applyFill="1" applyBorder="1" applyAlignment="1">
      <alignment horizontal="center" vertical="center" wrapText="1"/>
    </xf>
    <xf numFmtId="9" fontId="117" fillId="18" borderId="12" xfId="52" applyFont="1" applyFill="1" applyBorder="1" applyAlignment="1">
      <alignment horizontal="center" vertical="center" wrapText="1"/>
    </xf>
    <xf numFmtId="0" fontId="106" fillId="18" borderId="12" xfId="0" applyFont="1" applyFill="1" applyBorder="1" applyAlignment="1">
      <alignment horizontal="center"/>
    </xf>
    <xf numFmtId="0" fontId="106" fillId="18" borderId="12" xfId="0" applyFont="1" applyFill="1" applyBorder="1" applyAlignment="1">
      <alignment wrapText="1"/>
    </xf>
    <xf numFmtId="0" fontId="109" fillId="18" borderId="12" xfId="0" applyFont="1" applyFill="1" applyBorder="1" applyAlignment="1">
      <alignment wrapText="1"/>
    </xf>
    <xf numFmtId="0" fontId="109" fillId="18" borderId="12" xfId="0" applyFont="1" applyFill="1" applyBorder="1" applyAlignment="1">
      <alignment horizontal="center"/>
    </xf>
    <xf numFmtId="0" fontId="109" fillId="18" borderId="12" xfId="0" applyFont="1" applyFill="1" applyBorder="1" applyAlignment="1">
      <alignment horizontal="center" vertical="center"/>
    </xf>
    <xf numFmtId="0" fontId="109" fillId="18" borderId="12" xfId="0" applyFont="1" applyFill="1" applyBorder="1" applyAlignment="1">
      <alignment horizontal="center" vertical="center" wrapText="1"/>
    </xf>
    <xf numFmtId="0" fontId="106" fillId="46" borderId="29" xfId="0" applyFont="1" applyFill="1" applyBorder="1" applyAlignment="1">
      <alignment horizontal="center" vertical="center"/>
    </xf>
    <xf numFmtId="0" fontId="106" fillId="46" borderId="29" xfId="0" applyFont="1" applyFill="1" applyBorder="1" applyAlignment="1">
      <alignment vertical="center" wrapText="1"/>
    </xf>
    <xf numFmtId="0" fontId="109" fillId="46" borderId="15" xfId="0" applyFont="1" applyFill="1" applyBorder="1" applyAlignment="1">
      <alignment wrapText="1"/>
    </xf>
    <xf numFmtId="0" fontId="106" fillId="46" borderId="10" xfId="0" applyFont="1" applyFill="1" applyBorder="1" applyAlignment="1">
      <alignment horizontal="center" vertical="center"/>
    </xf>
    <xf numFmtId="0" fontId="106" fillId="46" borderId="10" xfId="0" applyFont="1" applyFill="1" applyBorder="1" applyAlignment="1">
      <alignment wrapText="1"/>
    </xf>
    <xf numFmtId="0" fontId="106" fillId="46" borderId="10" xfId="0" applyFont="1" applyFill="1" applyBorder="1" applyAlignment="1">
      <alignment horizontal="center" wrapText="1"/>
    </xf>
    <xf numFmtId="0" fontId="109" fillId="46" borderId="15" xfId="0" applyFont="1" applyFill="1" applyBorder="1" applyAlignment="1">
      <alignment/>
    </xf>
    <xf numFmtId="0" fontId="109" fillId="46" borderId="10" xfId="0" applyFont="1" applyFill="1" applyBorder="1" applyAlignment="1">
      <alignment wrapText="1"/>
    </xf>
    <xf numFmtId="0" fontId="109" fillId="46" borderId="10" xfId="0" applyFont="1" applyFill="1" applyBorder="1" applyAlignment="1">
      <alignment/>
    </xf>
    <xf numFmtId="0" fontId="106" fillId="46" borderId="10" xfId="0" applyFont="1" applyFill="1" applyBorder="1" applyAlignment="1">
      <alignment horizontal="center"/>
    </xf>
    <xf numFmtId="0" fontId="106" fillId="46" borderId="10" xfId="0" applyFont="1" applyFill="1" applyBorder="1" applyAlignment="1">
      <alignment horizontal="justify" vertical="center" wrapText="1"/>
    </xf>
    <xf numFmtId="0" fontId="109" fillId="46" borderId="0" xfId="0" applyFont="1" applyFill="1" applyBorder="1" applyAlignment="1">
      <alignment wrapText="1"/>
    </xf>
    <xf numFmtId="0" fontId="106" fillId="46" borderId="10" xfId="0" applyFont="1" applyFill="1" applyBorder="1" applyAlignment="1">
      <alignment horizontal="justify" vertical="top" wrapText="1"/>
    </xf>
    <xf numFmtId="0" fontId="109" fillId="46" borderId="17" xfId="0" applyFont="1" applyFill="1" applyBorder="1" applyAlignment="1">
      <alignment wrapText="1"/>
    </xf>
    <xf numFmtId="0" fontId="106" fillId="46" borderId="28" xfId="0" applyFont="1" applyFill="1" applyBorder="1" applyAlignment="1">
      <alignment horizontal="center"/>
    </xf>
    <xf numFmtId="0" fontId="106" fillId="46" borderId="28" xfId="0" applyFont="1" applyFill="1" applyBorder="1" applyAlignment="1">
      <alignment horizontal="justify" wrapText="1"/>
    </xf>
    <xf numFmtId="0" fontId="109" fillId="46" borderId="30" xfId="0" applyFont="1" applyFill="1" applyBorder="1" applyAlignment="1">
      <alignment wrapText="1"/>
    </xf>
    <xf numFmtId="0" fontId="109" fillId="46" borderId="28" xfId="0" applyFont="1" applyFill="1" applyBorder="1" applyAlignment="1">
      <alignment/>
    </xf>
    <xf numFmtId="0" fontId="106" fillId="0" borderId="12" xfId="0" applyFont="1" applyBorder="1" applyAlignment="1">
      <alignment horizontal="left" vertical="center" wrapText="1"/>
    </xf>
    <xf numFmtId="0" fontId="106" fillId="46" borderId="12" xfId="0" applyFont="1" applyFill="1" applyBorder="1" applyAlignment="1">
      <alignment horizontal="center" vertical="center" wrapText="1"/>
    </xf>
    <xf numFmtId="0" fontId="106" fillId="46" borderId="12" xfId="0" applyFont="1" applyFill="1" applyBorder="1" applyAlignment="1">
      <alignment horizontal="center" wrapText="1"/>
    </xf>
    <xf numFmtId="0" fontId="106" fillId="46" borderId="0" xfId="0" applyFont="1" applyFill="1" applyBorder="1" applyAlignment="1">
      <alignment horizontal="left" vertical="center" wrapText="1"/>
    </xf>
    <xf numFmtId="9" fontId="106" fillId="46" borderId="12" xfId="0" applyNumberFormat="1" applyFont="1" applyFill="1" applyBorder="1" applyAlignment="1">
      <alignment horizontal="center" vertical="center" wrapText="1"/>
    </xf>
    <xf numFmtId="0" fontId="106" fillId="46" borderId="12" xfId="0" applyFont="1" applyFill="1" applyBorder="1" applyAlignment="1">
      <alignment horizontal="center"/>
    </xf>
    <xf numFmtId="0" fontId="106" fillId="46" borderId="12" xfId="0" applyFont="1" applyFill="1" applyBorder="1" applyAlignment="1">
      <alignment horizontal="justify" wrapText="1"/>
    </xf>
    <xf numFmtId="0" fontId="109" fillId="46" borderId="20" xfId="0" applyFont="1" applyFill="1" applyBorder="1" applyAlignment="1">
      <alignment wrapText="1"/>
    </xf>
    <xf numFmtId="0" fontId="109" fillId="46" borderId="12" xfId="0" applyFont="1" applyFill="1" applyBorder="1" applyAlignment="1">
      <alignment/>
    </xf>
    <xf numFmtId="0" fontId="109" fillId="46" borderId="12" xfId="0" applyFont="1" applyFill="1" applyBorder="1" applyAlignment="1">
      <alignment horizontal="center"/>
    </xf>
    <xf numFmtId="0" fontId="109" fillId="46" borderId="12" xfId="0" applyFont="1" applyFill="1" applyBorder="1" applyAlignment="1">
      <alignment horizontal="center" vertical="center"/>
    </xf>
    <xf numFmtId="0" fontId="106" fillId="6" borderId="0" xfId="0" applyFont="1" applyFill="1" applyBorder="1" applyAlignment="1">
      <alignment horizontal="left" wrapText="1"/>
    </xf>
    <xf numFmtId="0" fontId="106" fillId="6" borderId="15" xfId="0" applyFont="1" applyFill="1" applyBorder="1" applyAlignment="1">
      <alignment horizontal="left" wrapText="1"/>
    </xf>
    <xf numFmtId="9" fontId="106" fillId="6" borderId="15" xfId="0" applyNumberFormat="1" applyFont="1" applyFill="1" applyBorder="1" applyAlignment="1">
      <alignment horizontal="center" vertical="center" wrapText="1"/>
    </xf>
    <xf numFmtId="0" fontId="106" fillId="6" borderId="15" xfId="0" applyFont="1" applyFill="1" applyBorder="1" applyAlignment="1">
      <alignment horizontal="center" vertical="center"/>
    </xf>
    <xf numFmtId="0" fontId="106" fillId="6" borderId="15" xfId="0" applyFont="1" applyFill="1" applyBorder="1" applyAlignment="1">
      <alignment vertical="center" wrapText="1"/>
    </xf>
    <xf numFmtId="0" fontId="106" fillId="6" borderId="15" xfId="0" applyFont="1" applyFill="1" applyBorder="1" applyAlignment="1">
      <alignment horizontal="center"/>
    </xf>
    <xf numFmtId="0" fontId="109" fillId="6" borderId="18" xfId="0" applyFont="1" applyFill="1" applyBorder="1" applyAlignment="1">
      <alignment wrapText="1"/>
    </xf>
    <xf numFmtId="0" fontId="109" fillId="6" borderId="15" xfId="0" applyFont="1" applyFill="1" applyBorder="1" applyAlignment="1">
      <alignment/>
    </xf>
    <xf numFmtId="3" fontId="109" fillId="6" borderId="15" xfId="0" applyNumberFormat="1" applyFont="1" applyFill="1" applyBorder="1" applyAlignment="1">
      <alignment vertical="center"/>
    </xf>
    <xf numFmtId="3" fontId="109" fillId="6" borderId="15" xfId="0" applyNumberFormat="1" applyFont="1" applyFill="1" applyBorder="1" applyAlignment="1">
      <alignment horizontal="center" vertical="center"/>
    </xf>
    <xf numFmtId="0" fontId="106" fillId="6" borderId="19" xfId="0" applyFont="1" applyFill="1" applyBorder="1" applyAlignment="1">
      <alignment horizontal="left" wrapText="1"/>
    </xf>
    <xf numFmtId="0" fontId="106" fillId="6" borderId="10" xfId="0" applyFont="1" applyFill="1" applyBorder="1" applyAlignment="1">
      <alignment horizontal="left" wrapText="1"/>
    </xf>
    <xf numFmtId="9" fontId="106" fillId="6" borderId="10" xfId="0" applyNumberFormat="1" applyFont="1" applyFill="1" applyBorder="1" applyAlignment="1">
      <alignment horizontal="center" vertical="center" wrapText="1"/>
    </xf>
    <xf numFmtId="0" fontId="106" fillId="6" borderId="10" xfId="0" applyFont="1" applyFill="1" applyBorder="1" applyAlignment="1">
      <alignment horizontal="center" vertical="center"/>
    </xf>
    <xf numFmtId="0" fontId="106" fillId="6" borderId="10" xfId="0" applyFont="1" applyFill="1" applyBorder="1" applyAlignment="1">
      <alignment vertical="center" wrapText="1"/>
    </xf>
    <xf numFmtId="0" fontId="109" fillId="6" borderId="17" xfId="0" applyFont="1" applyFill="1" applyBorder="1" applyAlignment="1">
      <alignment wrapText="1"/>
    </xf>
    <xf numFmtId="0" fontId="109" fillId="6" borderId="10" xfId="0" applyFont="1" applyFill="1" applyBorder="1" applyAlignment="1">
      <alignment/>
    </xf>
    <xf numFmtId="3" fontId="109" fillId="6" borderId="10" xfId="0" applyNumberFormat="1" applyFont="1" applyFill="1" applyBorder="1" applyAlignment="1">
      <alignment/>
    </xf>
    <xf numFmtId="0" fontId="106" fillId="6" borderId="31" xfId="0" applyFont="1" applyFill="1" applyBorder="1" applyAlignment="1">
      <alignment horizontal="left" wrapText="1"/>
    </xf>
    <xf numFmtId="0" fontId="106" fillId="6" borderId="28" xfId="0" applyFont="1" applyFill="1" applyBorder="1" applyAlignment="1">
      <alignment horizontal="left" wrapText="1"/>
    </xf>
    <xf numFmtId="9" fontId="106" fillId="6" borderId="28" xfId="0" applyNumberFormat="1" applyFont="1" applyFill="1" applyBorder="1" applyAlignment="1">
      <alignment horizontal="center" vertical="center"/>
    </xf>
    <xf numFmtId="0" fontId="106" fillId="6" borderId="28" xfId="0" applyFont="1" applyFill="1" applyBorder="1" applyAlignment="1">
      <alignment horizontal="center"/>
    </xf>
    <xf numFmtId="0" fontId="106" fillId="6" borderId="28" xfId="0" applyFont="1" applyFill="1" applyBorder="1" applyAlignment="1">
      <alignment wrapText="1"/>
    </xf>
    <xf numFmtId="0" fontId="109" fillId="6" borderId="30" xfId="0" applyFont="1" applyFill="1" applyBorder="1" applyAlignment="1">
      <alignment wrapText="1"/>
    </xf>
    <xf numFmtId="3" fontId="109" fillId="6" borderId="28" xfId="0" applyNumberFormat="1" applyFont="1" applyFill="1" applyBorder="1" applyAlignment="1">
      <alignment/>
    </xf>
    <xf numFmtId="0" fontId="106" fillId="34" borderId="12" xfId="0" applyFont="1" applyFill="1" applyBorder="1" applyAlignment="1">
      <alignment horizontal="left" vertical="center" wrapText="1"/>
    </xf>
    <xf numFmtId="0" fontId="106" fillId="6" borderId="12" xfId="0" applyFont="1" applyFill="1" applyBorder="1" applyAlignment="1">
      <alignment horizontal="center" vertical="center"/>
    </xf>
    <xf numFmtId="0" fontId="106" fillId="6" borderId="12" xfId="0" applyFont="1" applyFill="1" applyBorder="1" applyAlignment="1">
      <alignment horizontal="center"/>
    </xf>
    <xf numFmtId="0" fontId="106" fillId="6" borderId="16" xfId="0" applyFont="1" applyFill="1" applyBorder="1" applyAlignment="1">
      <alignment horizontal="left" wrapText="1"/>
    </xf>
    <xf numFmtId="0" fontId="106" fillId="6" borderId="12" xfId="0" applyFont="1" applyFill="1" applyBorder="1" applyAlignment="1">
      <alignment horizontal="left" wrapText="1"/>
    </xf>
    <xf numFmtId="9" fontId="106" fillId="6" borderId="12" xfId="0" applyNumberFormat="1" applyFont="1" applyFill="1" applyBorder="1" applyAlignment="1">
      <alignment horizontal="center" vertical="center"/>
    </xf>
    <xf numFmtId="0" fontId="106" fillId="6" borderId="12" xfId="0" applyFont="1" applyFill="1" applyBorder="1" applyAlignment="1">
      <alignment wrapText="1"/>
    </xf>
    <xf numFmtId="0" fontId="109" fillId="6" borderId="20" xfId="0" applyFont="1" applyFill="1" applyBorder="1" applyAlignment="1">
      <alignment wrapText="1"/>
    </xf>
    <xf numFmtId="3" fontId="109" fillId="6" borderId="12" xfId="0" applyNumberFormat="1" applyFont="1" applyFill="1" applyBorder="1" applyAlignment="1">
      <alignment/>
    </xf>
    <xf numFmtId="0" fontId="109" fillId="6" borderId="12" xfId="0" applyFont="1" applyFill="1" applyBorder="1" applyAlignment="1">
      <alignment horizontal="center" vertical="center" wrapText="1"/>
    </xf>
    <xf numFmtId="0" fontId="106" fillId="47" borderId="32" xfId="0" applyFont="1" applyFill="1" applyBorder="1" applyAlignment="1">
      <alignment wrapText="1"/>
    </xf>
    <xf numFmtId="0" fontId="106" fillId="47" borderId="29" xfId="0" applyFont="1" applyFill="1" applyBorder="1" applyAlignment="1">
      <alignment horizontal="center"/>
    </xf>
    <xf numFmtId="0" fontId="106" fillId="47" borderId="29" xfId="0" applyFont="1" applyFill="1" applyBorder="1" applyAlignment="1">
      <alignment wrapText="1"/>
    </xf>
    <xf numFmtId="0" fontId="109" fillId="47" borderId="33" xfId="0" applyFont="1" applyFill="1" applyBorder="1" applyAlignment="1">
      <alignment wrapText="1"/>
    </xf>
    <xf numFmtId="0" fontId="109" fillId="47" borderId="29" xfId="0" applyFont="1" applyFill="1" applyBorder="1" applyAlignment="1">
      <alignment/>
    </xf>
    <xf numFmtId="0" fontId="106" fillId="47" borderId="12" xfId="0" applyFont="1" applyFill="1" applyBorder="1" applyAlignment="1">
      <alignment wrapText="1"/>
    </xf>
    <xf numFmtId="0" fontId="106" fillId="47" borderId="10" xfId="0" applyFont="1" applyFill="1" applyBorder="1" applyAlignment="1">
      <alignment horizontal="center"/>
    </xf>
    <xf numFmtId="0" fontId="106" fillId="47" borderId="10" xfId="0" applyFont="1" applyFill="1" applyBorder="1" applyAlignment="1">
      <alignment wrapText="1"/>
    </xf>
    <xf numFmtId="0" fontId="109" fillId="47" borderId="17" xfId="0" applyFont="1" applyFill="1" applyBorder="1" applyAlignment="1">
      <alignment wrapText="1"/>
    </xf>
    <xf numFmtId="9" fontId="106" fillId="47" borderId="10" xfId="0" applyNumberFormat="1" applyFont="1" applyFill="1" applyBorder="1" applyAlignment="1">
      <alignment horizontal="center"/>
    </xf>
    <xf numFmtId="0" fontId="109" fillId="47" borderId="10" xfId="0" applyFont="1" applyFill="1" applyBorder="1" applyAlignment="1">
      <alignment/>
    </xf>
    <xf numFmtId="0" fontId="108" fillId="47" borderId="10" xfId="0" applyFont="1" applyFill="1" applyBorder="1" applyAlignment="1">
      <alignment horizontal="center" vertical="center"/>
    </xf>
    <xf numFmtId="0" fontId="108" fillId="47" borderId="10" xfId="0" applyFont="1" applyFill="1" applyBorder="1" applyAlignment="1">
      <alignment vertical="center" wrapText="1"/>
    </xf>
    <xf numFmtId="0" fontId="108" fillId="47" borderId="10" xfId="0" applyFont="1" applyFill="1" applyBorder="1" applyAlignment="1">
      <alignment vertical="center"/>
    </xf>
    <xf numFmtId="0" fontId="108" fillId="47" borderId="10" xfId="0" applyFont="1" applyFill="1" applyBorder="1" applyAlignment="1">
      <alignment/>
    </xf>
    <xf numFmtId="0" fontId="108" fillId="47" borderId="10" xfId="0" applyFont="1" applyFill="1" applyBorder="1" applyAlignment="1">
      <alignment wrapText="1"/>
    </xf>
    <xf numFmtId="0" fontId="106" fillId="47" borderId="12" xfId="0" applyFont="1" applyFill="1" applyBorder="1" applyAlignment="1">
      <alignment horizontal="center" vertical="center" wrapText="1"/>
    </xf>
    <xf numFmtId="0" fontId="106" fillId="47" borderId="0" xfId="0" applyFont="1" applyFill="1" applyBorder="1" applyAlignment="1">
      <alignment horizontal="left" vertical="center" wrapText="1"/>
    </xf>
    <xf numFmtId="0" fontId="106" fillId="47" borderId="12" xfId="0" applyFont="1" applyFill="1" applyBorder="1" applyAlignment="1">
      <alignment horizontal="left" vertical="center" wrapText="1"/>
    </xf>
    <xf numFmtId="9" fontId="106" fillId="47" borderId="28" xfId="0" applyNumberFormat="1" applyFont="1" applyFill="1" applyBorder="1" applyAlignment="1">
      <alignment horizontal="center" vertical="center"/>
    </xf>
    <xf numFmtId="0" fontId="108" fillId="47" borderId="15" xfId="0" applyFont="1" applyFill="1" applyBorder="1" applyAlignment="1">
      <alignment/>
    </xf>
    <xf numFmtId="0" fontId="108" fillId="47" borderId="15" xfId="0" applyFont="1" applyFill="1" applyBorder="1" applyAlignment="1">
      <alignment wrapText="1"/>
    </xf>
    <xf numFmtId="0" fontId="108" fillId="47" borderId="18" xfId="0" applyFont="1" applyFill="1" applyBorder="1" applyAlignment="1">
      <alignment/>
    </xf>
    <xf numFmtId="3" fontId="109" fillId="47" borderId="12" xfId="0" applyNumberFormat="1" applyFont="1" applyFill="1" applyBorder="1" applyAlignment="1">
      <alignment horizontal="center" vertical="center"/>
    </xf>
    <xf numFmtId="0" fontId="109" fillId="47" borderId="12" xfId="0" applyFont="1" applyFill="1" applyBorder="1" applyAlignment="1">
      <alignment horizontal="center" vertical="center" wrapText="1"/>
    </xf>
    <xf numFmtId="0" fontId="106" fillId="48" borderId="34" xfId="0" applyFont="1" applyFill="1" applyBorder="1" applyAlignment="1">
      <alignment horizontal="left" wrapText="1"/>
    </xf>
    <xf numFmtId="0" fontId="106" fillId="48" borderId="29" xfId="0" applyFont="1" applyFill="1" applyBorder="1" applyAlignment="1">
      <alignment horizontal="left" wrapText="1"/>
    </xf>
    <xf numFmtId="9" fontId="106" fillId="48" borderId="29" xfId="0" applyNumberFormat="1" applyFont="1" applyFill="1" applyBorder="1" applyAlignment="1">
      <alignment horizontal="center" vertical="center" wrapText="1"/>
    </xf>
    <xf numFmtId="0" fontId="106" fillId="48" borderId="29" xfId="0" applyFont="1" applyFill="1" applyBorder="1" applyAlignment="1">
      <alignment horizontal="center" vertical="center"/>
    </xf>
    <xf numFmtId="0" fontId="106" fillId="48" borderId="29" xfId="0" applyFont="1" applyFill="1" applyBorder="1" applyAlignment="1">
      <alignment vertical="center" wrapText="1"/>
    </xf>
    <xf numFmtId="0" fontId="106" fillId="48" borderId="29" xfId="0" applyFont="1" applyFill="1" applyBorder="1" applyAlignment="1">
      <alignment horizontal="center"/>
    </xf>
    <xf numFmtId="0" fontId="109" fillId="48" borderId="33" xfId="0" applyFont="1" applyFill="1" applyBorder="1" applyAlignment="1">
      <alignment wrapText="1"/>
    </xf>
    <xf numFmtId="0" fontId="109" fillId="48" borderId="29" xfId="0" applyFont="1" applyFill="1" applyBorder="1" applyAlignment="1">
      <alignment/>
    </xf>
    <xf numFmtId="0" fontId="109" fillId="48" borderId="15" xfId="0" applyFont="1" applyFill="1" applyBorder="1" applyAlignment="1">
      <alignment/>
    </xf>
    <xf numFmtId="3" fontId="109" fillId="48" borderId="15" xfId="0" applyNumberFormat="1" applyFont="1" applyFill="1" applyBorder="1" applyAlignment="1">
      <alignment vertical="center"/>
    </xf>
    <xf numFmtId="0" fontId="106" fillId="48" borderId="12" xfId="0" applyFont="1" applyFill="1" applyBorder="1" applyAlignment="1">
      <alignment vertical="center" wrapText="1"/>
    </xf>
    <xf numFmtId="0" fontId="106" fillId="48" borderId="12" xfId="0" applyFont="1" applyFill="1" applyBorder="1" applyAlignment="1">
      <alignment wrapText="1"/>
    </xf>
    <xf numFmtId="0" fontId="106" fillId="48" borderId="15" xfId="0" applyFont="1" applyFill="1" applyBorder="1" applyAlignment="1">
      <alignment vertical="center" wrapText="1"/>
    </xf>
    <xf numFmtId="9" fontId="106" fillId="48" borderId="15" xfId="0" applyNumberFormat="1" applyFont="1" applyFill="1" applyBorder="1" applyAlignment="1">
      <alignment horizontal="center" wrapText="1"/>
    </xf>
    <xf numFmtId="0" fontId="109" fillId="48" borderId="15" xfId="0" applyFont="1" applyFill="1" applyBorder="1" applyAlignment="1">
      <alignment wrapText="1"/>
    </xf>
    <xf numFmtId="0" fontId="106" fillId="49" borderId="10" xfId="0" applyFont="1" applyFill="1" applyBorder="1" applyAlignment="1">
      <alignment horizontal="center"/>
    </xf>
    <xf numFmtId="0" fontId="106" fillId="49" borderId="10" xfId="0" applyFont="1" applyFill="1" applyBorder="1" applyAlignment="1">
      <alignment vertical="top" wrapText="1"/>
    </xf>
    <xf numFmtId="0" fontId="109" fillId="49" borderId="10" xfId="0" applyFont="1" applyFill="1" applyBorder="1" applyAlignment="1">
      <alignment wrapText="1"/>
    </xf>
    <xf numFmtId="0" fontId="106" fillId="49" borderId="10" xfId="0" applyFont="1" applyFill="1" applyBorder="1" applyAlignment="1">
      <alignment wrapText="1"/>
    </xf>
    <xf numFmtId="0" fontId="109" fillId="49" borderId="18" xfId="0" applyFont="1" applyFill="1" applyBorder="1" applyAlignment="1">
      <alignment wrapText="1"/>
    </xf>
    <xf numFmtId="0" fontId="109" fillId="49" borderId="15" xfId="0" applyFont="1" applyFill="1" applyBorder="1" applyAlignment="1">
      <alignment/>
    </xf>
    <xf numFmtId="0" fontId="109" fillId="49" borderId="10" xfId="0" applyFont="1" applyFill="1" applyBorder="1" applyAlignment="1">
      <alignment horizontal="center" vertical="center"/>
    </xf>
    <xf numFmtId="0" fontId="109" fillId="49" borderId="17" xfId="0" applyFont="1" applyFill="1" applyBorder="1" applyAlignment="1">
      <alignment wrapText="1"/>
    </xf>
    <xf numFmtId="0" fontId="106" fillId="49" borderId="28" xfId="0" applyFont="1" applyFill="1" applyBorder="1" applyAlignment="1">
      <alignment horizontal="center"/>
    </xf>
    <xf numFmtId="0" fontId="106" fillId="49" borderId="28" xfId="0" applyFont="1" applyFill="1" applyBorder="1" applyAlignment="1">
      <alignment vertical="top" wrapText="1"/>
    </xf>
    <xf numFmtId="0" fontId="106" fillId="49" borderId="12" xfId="0" applyFont="1" applyFill="1" applyBorder="1" applyAlignment="1">
      <alignment horizontal="center" vertical="center" wrapText="1"/>
    </xf>
    <xf numFmtId="0" fontId="106" fillId="49" borderId="12" xfId="0" applyFont="1" applyFill="1" applyBorder="1" applyAlignment="1">
      <alignment horizontal="center" wrapText="1"/>
    </xf>
    <xf numFmtId="0" fontId="106" fillId="49" borderId="12" xfId="0" applyFont="1" applyFill="1" applyBorder="1" applyAlignment="1">
      <alignment horizontal="left" vertical="center" wrapText="1"/>
    </xf>
    <xf numFmtId="9" fontId="106" fillId="49" borderId="12" xfId="0" applyNumberFormat="1" applyFont="1" applyFill="1" applyBorder="1" applyAlignment="1">
      <alignment horizontal="center" vertical="center" wrapText="1"/>
    </xf>
    <xf numFmtId="0" fontId="106" fillId="49" borderId="0" xfId="0" applyFont="1" applyFill="1" applyBorder="1" applyAlignment="1">
      <alignment horizontal="center"/>
    </xf>
    <xf numFmtId="0" fontId="106" fillId="49" borderId="0" xfId="0" applyFont="1" applyFill="1" applyBorder="1" applyAlignment="1">
      <alignment vertical="top" wrapText="1"/>
    </xf>
    <xf numFmtId="0" fontId="109" fillId="49" borderId="12" xfId="0" applyFont="1" applyFill="1" applyBorder="1" applyAlignment="1">
      <alignment horizontal="center" vertical="center"/>
    </xf>
    <xf numFmtId="0" fontId="109" fillId="49" borderId="20" xfId="0" applyFont="1" applyFill="1" applyBorder="1" applyAlignment="1">
      <alignment wrapText="1"/>
    </xf>
    <xf numFmtId="0" fontId="109" fillId="49" borderId="12" xfId="0" applyFont="1" applyFill="1" applyBorder="1" applyAlignment="1">
      <alignment horizontal="center"/>
    </xf>
    <xf numFmtId="9" fontId="106" fillId="50" borderId="35" xfId="0" applyNumberFormat="1" applyFont="1" applyFill="1" applyBorder="1" applyAlignment="1">
      <alignment horizontal="center"/>
    </xf>
    <xf numFmtId="0" fontId="106" fillId="50" borderId="34" xfId="0" applyFont="1" applyFill="1" applyBorder="1" applyAlignment="1">
      <alignment wrapText="1"/>
    </xf>
    <xf numFmtId="0" fontId="106" fillId="50" borderId="32" xfId="0" applyFont="1" applyFill="1" applyBorder="1" applyAlignment="1">
      <alignment horizontal="center"/>
    </xf>
    <xf numFmtId="0" fontId="109" fillId="50" borderId="36" xfId="0" applyFont="1" applyFill="1" applyBorder="1" applyAlignment="1">
      <alignment wrapText="1"/>
    </xf>
    <xf numFmtId="0" fontId="109" fillId="50" borderId="32" xfId="0" applyFont="1" applyFill="1" applyBorder="1" applyAlignment="1">
      <alignment/>
    </xf>
    <xf numFmtId="3" fontId="109" fillId="50" borderId="32" xfId="0" applyNumberFormat="1" applyFont="1" applyFill="1" applyBorder="1" applyAlignment="1">
      <alignment/>
    </xf>
    <xf numFmtId="0" fontId="106" fillId="50" borderId="10" xfId="0" applyNumberFormat="1" applyFont="1" applyFill="1" applyBorder="1" applyAlignment="1">
      <alignment horizontal="center"/>
    </xf>
    <xf numFmtId="0" fontId="106" fillId="50" borderId="10" xfId="0" applyFont="1" applyFill="1" applyBorder="1" applyAlignment="1">
      <alignment wrapText="1"/>
    </xf>
    <xf numFmtId="0" fontId="106" fillId="50" borderId="10" xfId="0" applyFont="1" applyFill="1" applyBorder="1" applyAlignment="1">
      <alignment horizontal="center"/>
    </xf>
    <xf numFmtId="0" fontId="109" fillId="50" borderId="10" xfId="0" applyFont="1" applyFill="1" applyBorder="1" applyAlignment="1">
      <alignment wrapText="1"/>
    </xf>
    <xf numFmtId="0" fontId="109" fillId="50" borderId="10" xfId="0" applyFont="1" applyFill="1" applyBorder="1" applyAlignment="1">
      <alignment/>
    </xf>
    <xf numFmtId="3" fontId="109" fillId="50" borderId="12" xfId="0" applyNumberFormat="1" applyFont="1" applyFill="1" applyBorder="1" applyAlignment="1">
      <alignment/>
    </xf>
    <xf numFmtId="0" fontId="109" fillId="50" borderId="12" xfId="0" applyFont="1" applyFill="1" applyBorder="1" applyAlignment="1">
      <alignment/>
    </xf>
    <xf numFmtId="0" fontId="108" fillId="50" borderId="10" xfId="0" applyFont="1" applyFill="1" applyBorder="1" applyAlignment="1">
      <alignment horizontal="left" wrapText="1"/>
    </xf>
    <xf numFmtId="0" fontId="108" fillId="50" borderId="10" xfId="0" applyFont="1" applyFill="1" applyBorder="1" applyAlignment="1">
      <alignment horizontal="center" vertical="center"/>
    </xf>
    <xf numFmtId="0" fontId="108" fillId="50" borderId="10" xfId="0" applyFont="1" applyFill="1" applyBorder="1" applyAlignment="1">
      <alignment wrapText="1"/>
    </xf>
    <xf numFmtId="0" fontId="108" fillId="50" borderId="10" xfId="0" applyFont="1" applyFill="1" applyBorder="1" applyAlignment="1">
      <alignment/>
    </xf>
    <xf numFmtId="3" fontId="109" fillId="50" borderId="10" xfId="0" applyNumberFormat="1" applyFont="1" applyFill="1" applyBorder="1" applyAlignment="1">
      <alignment/>
    </xf>
    <xf numFmtId="0" fontId="106" fillId="44" borderId="37" xfId="0" applyFont="1" applyFill="1" applyBorder="1" applyAlignment="1">
      <alignment horizontal="center" vertical="center" wrapText="1"/>
    </xf>
    <xf numFmtId="9" fontId="106" fillId="44" borderId="37" xfId="0" applyNumberFormat="1" applyFont="1" applyFill="1" applyBorder="1" applyAlignment="1">
      <alignment horizontal="center" vertical="center" wrapText="1"/>
    </xf>
    <xf numFmtId="3" fontId="106" fillId="44" borderId="37" xfId="0" applyNumberFormat="1" applyFont="1" applyFill="1" applyBorder="1" applyAlignment="1">
      <alignment horizontal="center" wrapText="1"/>
    </xf>
    <xf numFmtId="0" fontId="106" fillId="44" borderId="37" xfId="0" applyFont="1" applyFill="1" applyBorder="1" applyAlignment="1">
      <alignment horizontal="center" wrapText="1"/>
    </xf>
    <xf numFmtId="0" fontId="117" fillId="44" borderId="37" xfId="0" applyFont="1" applyFill="1" applyBorder="1" applyAlignment="1">
      <alignment horizontal="center" vertical="center" wrapText="1"/>
    </xf>
    <xf numFmtId="9" fontId="117" fillId="44" borderId="37" xfId="0" applyNumberFormat="1" applyFont="1" applyFill="1" applyBorder="1" applyAlignment="1">
      <alignment horizontal="center" vertical="center" wrapText="1"/>
    </xf>
    <xf numFmtId="0" fontId="117" fillId="44" borderId="37" xfId="0" applyFont="1" applyFill="1" applyBorder="1" applyAlignment="1">
      <alignment horizontal="center" vertical="center"/>
    </xf>
    <xf numFmtId="0" fontId="106" fillId="44" borderId="37" xfId="0" applyFont="1" applyFill="1" applyBorder="1" applyAlignment="1">
      <alignment horizontal="left" vertical="center" wrapText="1"/>
    </xf>
    <xf numFmtId="0" fontId="109" fillId="44" borderId="38" xfId="0" applyFont="1" applyFill="1" applyBorder="1" applyAlignment="1">
      <alignment horizontal="center" vertical="center" wrapText="1"/>
    </xf>
    <xf numFmtId="0" fontId="109" fillId="44" borderId="37" xfId="0" applyFont="1" applyFill="1" applyBorder="1" applyAlignment="1">
      <alignment horizontal="center" vertical="center"/>
    </xf>
    <xf numFmtId="0" fontId="109" fillId="44" borderId="37" xfId="0" applyFont="1" applyFill="1" applyBorder="1" applyAlignment="1">
      <alignment vertical="center"/>
    </xf>
    <xf numFmtId="0" fontId="106" fillId="45" borderId="37" xfId="0" applyFont="1" applyFill="1" applyBorder="1" applyAlignment="1">
      <alignment horizontal="center" vertical="center" wrapText="1"/>
    </xf>
    <xf numFmtId="9" fontId="106" fillId="45" borderId="37" xfId="0" applyNumberFormat="1" applyFont="1" applyFill="1" applyBorder="1" applyAlignment="1">
      <alignment horizontal="center" vertical="center" wrapText="1"/>
    </xf>
    <xf numFmtId="0" fontId="106" fillId="45" borderId="37" xfId="0" applyFont="1" applyFill="1" applyBorder="1" applyAlignment="1">
      <alignment horizontal="center" wrapText="1"/>
    </xf>
    <xf numFmtId="0" fontId="117" fillId="45" borderId="37" xfId="0" applyFont="1" applyFill="1" applyBorder="1" applyAlignment="1">
      <alignment horizontal="left" vertical="center" wrapText="1"/>
    </xf>
    <xf numFmtId="9" fontId="117" fillId="45" borderId="37" xfId="0" applyNumberFormat="1" applyFont="1" applyFill="1" applyBorder="1" applyAlignment="1">
      <alignment horizontal="center" vertical="center" wrapText="1"/>
    </xf>
    <xf numFmtId="0" fontId="106" fillId="45" borderId="37" xfId="0" applyFont="1" applyFill="1" applyBorder="1" applyAlignment="1">
      <alignment horizontal="center"/>
    </xf>
    <xf numFmtId="0" fontId="106" fillId="45" borderId="37" xfId="0" applyFont="1" applyFill="1" applyBorder="1" applyAlignment="1">
      <alignment wrapText="1"/>
    </xf>
    <xf numFmtId="0" fontId="109" fillId="45" borderId="38" xfId="0" applyFont="1" applyFill="1" applyBorder="1" applyAlignment="1">
      <alignment wrapText="1"/>
    </xf>
    <xf numFmtId="0" fontId="109" fillId="45" borderId="37" xfId="0" applyFont="1" applyFill="1" applyBorder="1" applyAlignment="1">
      <alignment/>
    </xf>
    <xf numFmtId="0" fontId="109" fillId="45" borderId="37" xfId="0" applyFont="1" applyFill="1" applyBorder="1" applyAlignment="1">
      <alignment horizontal="center" vertical="center"/>
    </xf>
    <xf numFmtId="0" fontId="109" fillId="45" borderId="37" xfId="0" applyFont="1" applyFill="1" applyBorder="1" applyAlignment="1">
      <alignment horizontal="center" vertical="center" wrapText="1"/>
    </xf>
    <xf numFmtId="0" fontId="41" fillId="51" borderId="15" xfId="0" applyFont="1" applyFill="1" applyBorder="1" applyAlignment="1">
      <alignment horizontal="center" vertical="center" wrapText="1"/>
    </xf>
    <xf numFmtId="0" fontId="41" fillId="51" borderId="11" xfId="0" applyFont="1" applyFill="1" applyBorder="1" applyAlignment="1">
      <alignment horizontal="center" vertical="center" wrapText="1"/>
    </xf>
    <xf numFmtId="0" fontId="135"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3" fillId="33" borderId="11" xfId="0" applyFont="1" applyFill="1" applyBorder="1" applyAlignment="1">
      <alignment vertical="center" wrapText="1"/>
    </xf>
    <xf numFmtId="0" fontId="103" fillId="33" borderId="15" xfId="0" applyFont="1" applyFill="1" applyBorder="1" applyAlignment="1">
      <alignment horizontal="center" wrapText="1"/>
    </xf>
    <xf numFmtId="0" fontId="103" fillId="33" borderId="15" xfId="0" applyFont="1" applyFill="1" applyBorder="1" applyAlignment="1">
      <alignment vertical="center" wrapText="1"/>
    </xf>
    <xf numFmtId="0" fontId="2" fillId="33" borderId="15"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wrapText="1"/>
    </xf>
    <xf numFmtId="0" fontId="13" fillId="0" borderId="15" xfId="0" applyFont="1" applyFill="1" applyBorder="1" applyAlignment="1">
      <alignment horizontal="center" wrapText="1"/>
    </xf>
    <xf numFmtId="9" fontId="110" fillId="0" borderId="11" xfId="0" applyNumberFormat="1" applyFont="1" applyFill="1" applyBorder="1" applyAlignment="1">
      <alignment horizontal="center" vertical="center" wrapText="1"/>
    </xf>
    <xf numFmtId="9" fontId="110" fillId="0" borderId="15" xfId="0" applyNumberFormat="1" applyFont="1" applyFill="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5" fillId="0" borderId="10" xfId="0" applyFont="1" applyBorder="1" applyAlignment="1">
      <alignment horizontal="center"/>
    </xf>
    <xf numFmtId="0" fontId="37" fillId="0" borderId="22" xfId="0" applyFont="1" applyBorder="1" applyAlignment="1">
      <alignment horizontal="center"/>
    </xf>
    <xf numFmtId="0" fontId="37" fillId="0" borderId="17" xfId="0" applyFont="1" applyBorder="1" applyAlignment="1">
      <alignment horizontal="center"/>
    </xf>
    <xf numFmtId="0" fontId="136" fillId="35" borderId="10" xfId="0" applyFont="1" applyFill="1" applyBorder="1" applyAlignment="1">
      <alignment horizontal="center"/>
    </xf>
    <xf numFmtId="0" fontId="137" fillId="35" borderId="11" xfId="0" applyFont="1" applyFill="1" applyBorder="1" applyAlignment="1">
      <alignment horizontal="center" textRotation="90" wrapText="1"/>
    </xf>
    <xf numFmtId="0" fontId="137" fillId="35" borderId="15" xfId="0" applyFont="1" applyFill="1" applyBorder="1" applyAlignment="1">
      <alignment horizontal="center" textRotation="90" wrapText="1"/>
    </xf>
    <xf numFmtId="0" fontId="137" fillId="35" borderId="11" xfId="0" applyFont="1" applyFill="1" applyBorder="1" applyAlignment="1">
      <alignment horizontal="center" vertical="center" textRotation="90" wrapText="1"/>
    </xf>
    <xf numFmtId="0" fontId="137" fillId="35" borderId="15" xfId="0" applyFont="1" applyFill="1" applyBorder="1" applyAlignment="1">
      <alignment horizontal="center" vertical="center" textRotation="90" wrapText="1"/>
    </xf>
    <xf numFmtId="0" fontId="137" fillId="35" borderId="10" xfId="0" applyFont="1" applyFill="1" applyBorder="1" applyAlignment="1">
      <alignment horizontal="center" wrapText="1"/>
    </xf>
    <xf numFmtId="0" fontId="137" fillId="35" borderId="11" xfId="0" applyFont="1" applyFill="1" applyBorder="1" applyAlignment="1">
      <alignment horizontal="center" textRotation="90"/>
    </xf>
    <xf numFmtId="0" fontId="137" fillId="35" borderId="15" xfId="0" applyFont="1" applyFill="1" applyBorder="1" applyAlignment="1">
      <alignment horizontal="center" textRotation="90"/>
    </xf>
    <xf numFmtId="0" fontId="137" fillId="35" borderId="10" xfId="0" applyFont="1" applyFill="1" applyBorder="1" applyAlignment="1">
      <alignment horizontal="center" vertical="center" wrapText="1"/>
    </xf>
    <xf numFmtId="0" fontId="37" fillId="0" borderId="19" xfId="0" applyFont="1" applyBorder="1" applyAlignment="1">
      <alignment horizontal="left" vertical="center"/>
    </xf>
    <xf numFmtId="0" fontId="37" fillId="0" borderId="22" xfId="0" applyFont="1" applyBorder="1" applyAlignment="1">
      <alignment horizontal="left" vertical="center"/>
    </xf>
    <xf numFmtId="0" fontId="103" fillId="35" borderId="19" xfId="0" applyFont="1" applyFill="1" applyBorder="1" applyAlignment="1">
      <alignment horizontal="center"/>
    </xf>
    <xf numFmtId="0" fontId="103" fillId="35" borderId="22" xfId="0" applyFont="1" applyFill="1" applyBorder="1" applyAlignment="1">
      <alignment horizontal="center"/>
    </xf>
    <xf numFmtId="0" fontId="103" fillId="35" borderId="17" xfId="0" applyFont="1" applyFill="1" applyBorder="1" applyAlignment="1">
      <alignment horizontal="center"/>
    </xf>
    <xf numFmtId="0" fontId="37" fillId="0" borderId="19" xfId="0" applyFont="1" applyBorder="1" applyAlignment="1">
      <alignment horizontal="left" vertical="center" wrapText="1"/>
    </xf>
    <xf numFmtId="0" fontId="37" fillId="0" borderId="22" xfId="0" applyFont="1" applyBorder="1" applyAlignment="1">
      <alignment horizontal="left" vertical="center" wrapText="1"/>
    </xf>
    <xf numFmtId="0" fontId="37" fillId="0" borderId="17" xfId="0" applyFont="1" applyBorder="1" applyAlignment="1">
      <alignment horizontal="left" vertical="center" wrapText="1"/>
    </xf>
    <xf numFmtId="9" fontId="12" fillId="0" borderId="11" xfId="0" applyNumberFormat="1"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9" fontId="12" fillId="0" borderId="11" xfId="52" applyFont="1" applyFill="1" applyBorder="1" applyAlignment="1">
      <alignment horizontal="center" vertical="center" wrapText="1"/>
    </xf>
    <xf numFmtId="9" fontId="12" fillId="0" borderId="12" xfId="52" applyFont="1" applyFill="1" applyBorder="1" applyAlignment="1">
      <alignment horizontal="center" vertical="center" wrapText="1"/>
    </xf>
    <xf numFmtId="9" fontId="12" fillId="0" borderId="15" xfId="52" applyFont="1" applyFill="1" applyBorder="1" applyAlignment="1">
      <alignment horizontal="center" vertical="center" wrapText="1"/>
    </xf>
    <xf numFmtId="0" fontId="36" fillId="0" borderId="19" xfId="0" applyFont="1" applyBorder="1" applyAlignment="1">
      <alignment horizontal="left" vertical="center"/>
    </xf>
    <xf numFmtId="0" fontId="36" fillId="0" borderId="17" xfId="0" applyFont="1" applyBorder="1" applyAlignment="1">
      <alignment horizontal="left" vertical="center"/>
    </xf>
    <xf numFmtId="0" fontId="37" fillId="0" borderId="19" xfId="0" applyNumberFormat="1" applyFont="1" applyBorder="1" applyAlignment="1">
      <alignment horizontal="left" vertical="center" wrapText="1"/>
    </xf>
    <xf numFmtId="0" fontId="37" fillId="0" borderId="22" xfId="0" applyNumberFormat="1" applyFont="1" applyBorder="1" applyAlignment="1">
      <alignment horizontal="left" vertical="center" wrapText="1"/>
    </xf>
    <xf numFmtId="0" fontId="37" fillId="0" borderId="17" xfId="0" applyNumberFormat="1" applyFont="1" applyBorder="1" applyAlignment="1">
      <alignment horizontal="left" vertical="center" wrapText="1"/>
    </xf>
    <xf numFmtId="9" fontId="11" fillId="0" borderId="11" xfId="0" applyNumberFormat="1" applyFont="1" applyFill="1" applyBorder="1" applyAlignment="1">
      <alignment horizontal="center" vertical="center" wrapText="1"/>
    </xf>
    <xf numFmtId="9" fontId="11" fillId="0" borderId="12"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112" fillId="0" borderId="11" xfId="0" applyFont="1" applyFill="1" applyBorder="1" applyAlignment="1">
      <alignment horizontal="center" vertical="center" wrapText="1"/>
    </xf>
    <xf numFmtId="0" fontId="112" fillId="0" borderId="12"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38" fillId="0" borderId="11" xfId="0" applyFont="1" applyFill="1" applyBorder="1" applyAlignment="1">
      <alignment horizontal="center" vertical="center"/>
    </xf>
    <xf numFmtId="0" fontId="0" fillId="0" borderId="15" xfId="0" applyBorder="1" applyAlignment="1">
      <alignment/>
    </xf>
    <xf numFmtId="9" fontId="13" fillId="0" borderId="11" xfId="0" applyNumberFormat="1" applyFont="1" applyFill="1" applyBorder="1" applyAlignment="1">
      <alignment horizontal="center" vertical="center" wrapText="1"/>
    </xf>
    <xf numFmtId="9" fontId="13" fillId="0" borderId="12"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5" xfId="0" applyFont="1" applyFill="1" applyBorder="1" applyAlignment="1">
      <alignment horizontal="center" vertical="center" wrapText="1"/>
    </xf>
    <xf numFmtId="9" fontId="112" fillId="0" borderId="11" xfId="0" applyNumberFormat="1" applyFont="1" applyFill="1" applyBorder="1" applyAlignment="1">
      <alignment horizontal="center" vertical="center" wrapText="1"/>
    </xf>
    <xf numFmtId="0" fontId="0" fillId="0" borderId="15" xfId="0" applyFont="1" applyBorder="1" applyAlignment="1">
      <alignment/>
    </xf>
    <xf numFmtId="0" fontId="13" fillId="0" borderId="11" xfId="0" applyFont="1" applyFill="1" applyBorder="1" applyAlignment="1">
      <alignment horizontal="center" vertical="center"/>
    </xf>
    <xf numFmtId="0" fontId="13" fillId="0" borderId="11" xfId="0" applyFont="1" applyFill="1" applyBorder="1" applyAlignment="1">
      <alignment horizontal="justify" vertical="center" wrapText="1"/>
    </xf>
    <xf numFmtId="0" fontId="38" fillId="0" borderId="11"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13" fillId="0" borderId="12" xfId="0" applyFont="1" applyFill="1" applyBorder="1" applyAlignment="1">
      <alignment horizontal="center" wrapText="1"/>
    </xf>
    <xf numFmtId="0" fontId="138" fillId="0" borderId="19" xfId="0" applyFont="1" applyBorder="1" applyAlignment="1">
      <alignment horizontal="left"/>
    </xf>
    <xf numFmtId="0" fontId="138" fillId="0" borderId="22" xfId="0" applyFont="1" applyBorder="1" applyAlignment="1">
      <alignment horizontal="left"/>
    </xf>
    <xf numFmtId="0" fontId="138" fillId="0" borderId="17" xfId="0" applyFont="1" applyBorder="1" applyAlignment="1">
      <alignment horizontal="left"/>
    </xf>
    <xf numFmtId="0" fontId="38" fillId="0" borderId="12" xfId="0" applyFont="1" applyFill="1" applyBorder="1" applyAlignment="1">
      <alignment horizontal="center" vertical="center"/>
    </xf>
    <xf numFmtId="0" fontId="38" fillId="0" borderId="15" xfId="0" applyFont="1" applyFill="1" applyBorder="1" applyAlignment="1">
      <alignment horizontal="center" vertical="center"/>
    </xf>
    <xf numFmtId="173" fontId="38" fillId="0" borderId="11" xfId="46" applyNumberFormat="1" applyFont="1" applyFill="1" applyBorder="1" applyAlignment="1">
      <alignment horizontal="center" vertical="center"/>
    </xf>
    <xf numFmtId="173" fontId="38" fillId="0" borderId="15" xfId="46"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173" fontId="38" fillId="0" borderId="11" xfId="46" applyNumberFormat="1" applyFont="1" applyFill="1" applyBorder="1" applyAlignment="1">
      <alignment horizontal="right"/>
    </xf>
    <xf numFmtId="173" fontId="38" fillId="0" borderId="15" xfId="46" applyNumberFormat="1" applyFont="1" applyFill="1" applyBorder="1" applyAlignment="1">
      <alignment horizontal="right"/>
    </xf>
    <xf numFmtId="0" fontId="38" fillId="0" borderId="12" xfId="0" applyFont="1" applyFill="1" applyBorder="1" applyAlignment="1">
      <alignment horizontal="center" vertical="center" wrapText="1"/>
    </xf>
    <xf numFmtId="9" fontId="110" fillId="0" borderId="11" xfId="52" applyFont="1" applyFill="1" applyBorder="1" applyAlignment="1">
      <alignment horizontal="center" vertical="center"/>
    </xf>
    <xf numFmtId="9" fontId="110" fillId="0" borderId="15" xfId="52"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left"/>
    </xf>
    <xf numFmtId="0" fontId="105" fillId="34" borderId="10" xfId="0" applyFont="1" applyFill="1" applyBorder="1" applyAlignment="1">
      <alignment horizontal="center" vertical="center" wrapText="1"/>
    </xf>
    <xf numFmtId="0" fontId="105" fillId="13" borderId="11" xfId="0" applyFont="1" applyFill="1" applyBorder="1" applyAlignment="1">
      <alignment horizontal="center" vertical="center" wrapText="1"/>
    </xf>
    <xf numFmtId="0" fontId="105" fillId="13" borderId="12" xfId="0" applyFont="1" applyFill="1" applyBorder="1" applyAlignment="1">
      <alignment horizontal="center" vertical="center" wrapText="1"/>
    </xf>
    <xf numFmtId="0" fontId="105" fillId="13" borderId="15" xfId="0" applyFont="1" applyFill="1" applyBorder="1" applyAlignment="1">
      <alignment horizontal="center" vertical="center" wrapText="1"/>
    </xf>
    <xf numFmtId="0" fontId="139" fillId="33" borderId="0" xfId="0" applyFont="1" applyFill="1" applyBorder="1" applyAlignment="1">
      <alignment horizontal="center" vertical="center" wrapText="1"/>
    </xf>
    <xf numFmtId="0" fontId="139" fillId="33" borderId="13" xfId="0" applyFont="1" applyFill="1" applyBorder="1" applyAlignment="1">
      <alignment horizontal="center" vertical="center" wrapText="1"/>
    </xf>
    <xf numFmtId="0" fontId="139" fillId="33" borderId="24" xfId="0" applyFont="1" applyFill="1" applyBorder="1" applyAlignment="1">
      <alignment horizontal="center" vertical="center" wrapText="1"/>
    </xf>
    <xf numFmtId="0" fontId="139" fillId="33" borderId="39" xfId="0" applyFont="1" applyFill="1" applyBorder="1" applyAlignment="1">
      <alignment horizontal="center" vertical="center" wrapText="1"/>
    </xf>
    <xf numFmtId="0" fontId="139" fillId="33" borderId="26" xfId="0" applyFont="1" applyFill="1" applyBorder="1" applyAlignment="1">
      <alignment horizontal="center" vertical="center" wrapText="1"/>
    </xf>
    <xf numFmtId="0" fontId="132" fillId="33" borderId="40" xfId="0" applyFont="1" applyFill="1" applyBorder="1" applyAlignment="1">
      <alignment horizontal="center" vertical="center" wrapText="1"/>
    </xf>
    <xf numFmtId="0" fontId="132" fillId="33" borderId="25" xfId="0" applyFont="1" applyFill="1" applyBorder="1" applyAlignment="1">
      <alignment horizontal="center" vertical="center" wrapText="1"/>
    </xf>
    <xf numFmtId="0" fontId="139" fillId="33" borderId="13" xfId="0" applyFont="1" applyFill="1" applyBorder="1" applyAlignment="1">
      <alignment horizontal="center" vertical="center"/>
    </xf>
    <xf numFmtId="0" fontId="139" fillId="33" borderId="24" xfId="0" applyFont="1" applyFill="1" applyBorder="1" applyAlignment="1">
      <alignment horizontal="center" vertical="center"/>
    </xf>
    <xf numFmtId="0" fontId="139" fillId="33" borderId="41" xfId="0" applyFont="1" applyFill="1" applyBorder="1" applyAlignment="1">
      <alignment horizontal="center" vertical="center" wrapText="1"/>
    </xf>
    <xf numFmtId="0" fontId="139" fillId="33" borderId="23" xfId="0" applyFont="1" applyFill="1" applyBorder="1" applyAlignment="1">
      <alignment horizontal="center" vertical="center" wrapText="1"/>
    </xf>
    <xf numFmtId="0" fontId="2" fillId="0" borderId="22" xfId="0" applyFont="1" applyBorder="1" applyAlignment="1">
      <alignment horizontal="center"/>
    </xf>
    <xf numFmtId="9" fontId="107" fillId="0" borderId="32" xfId="0" applyNumberFormat="1" applyFont="1" applyBorder="1" applyAlignment="1">
      <alignment horizontal="center" vertical="center" wrapText="1"/>
    </xf>
    <xf numFmtId="9" fontId="107" fillId="0" borderId="12" xfId="0" applyNumberFormat="1" applyFont="1" applyBorder="1" applyAlignment="1">
      <alignment horizontal="center" vertical="center" wrapText="1"/>
    </xf>
    <xf numFmtId="9" fontId="107" fillId="0" borderId="15" xfId="0" applyNumberFormat="1" applyFont="1" applyBorder="1" applyAlignment="1">
      <alignment horizontal="center" vertical="center" wrapText="1"/>
    </xf>
    <xf numFmtId="9" fontId="11" fillId="0" borderId="10" xfId="0" applyNumberFormat="1" applyFont="1" applyFill="1" applyBorder="1" applyAlignment="1">
      <alignment horizontal="center" vertical="center" wrapText="1"/>
    </xf>
    <xf numFmtId="9" fontId="107" fillId="0" borderId="11" xfId="0" applyNumberFormat="1" applyFont="1" applyBorder="1" applyAlignment="1">
      <alignment horizontal="center" vertical="center" wrapText="1"/>
    </xf>
    <xf numFmtId="0" fontId="107" fillId="0" borderId="12" xfId="0" applyFont="1" applyBorder="1" applyAlignment="1">
      <alignment horizontal="center" vertical="center" wrapText="1"/>
    </xf>
    <xf numFmtId="0" fontId="107" fillId="0" borderId="15" xfId="0" applyFont="1" applyBorder="1" applyAlignment="1">
      <alignment horizontal="center" vertical="center" wrapText="1"/>
    </xf>
    <xf numFmtId="0" fontId="105" fillId="34" borderId="11" xfId="0" applyFont="1" applyFill="1" applyBorder="1" applyAlignment="1">
      <alignment horizontal="center" vertical="center" wrapText="1"/>
    </xf>
    <xf numFmtId="0" fontId="105" fillId="34" borderId="12" xfId="0" applyFont="1" applyFill="1" applyBorder="1" applyAlignment="1">
      <alignment horizontal="center" vertical="center" wrapText="1"/>
    </xf>
    <xf numFmtId="0" fontId="105" fillId="34" borderId="15" xfId="0" applyFont="1" applyFill="1" applyBorder="1" applyAlignment="1">
      <alignment horizontal="center" vertical="center" wrapText="1"/>
    </xf>
    <xf numFmtId="9" fontId="97" fillId="0" borderId="11" xfId="0" applyNumberFormat="1" applyFont="1" applyBorder="1" applyAlignment="1">
      <alignment horizontal="center" vertical="center" wrapText="1"/>
    </xf>
    <xf numFmtId="0" fontId="97" fillId="0" borderId="12" xfId="0" applyFont="1" applyBorder="1" applyAlignment="1">
      <alignment horizontal="center" vertical="center" wrapText="1"/>
    </xf>
    <xf numFmtId="0" fontId="97" fillId="0" borderId="15" xfId="0" applyFont="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05" fillId="11" borderId="11" xfId="0" applyFont="1" applyFill="1" applyBorder="1" applyAlignment="1">
      <alignment horizontal="center" vertical="center" wrapText="1"/>
    </xf>
    <xf numFmtId="0" fontId="105" fillId="11" borderId="12" xfId="0" applyFont="1" applyFill="1" applyBorder="1" applyAlignment="1">
      <alignment horizontal="center" vertical="center" wrapText="1"/>
    </xf>
    <xf numFmtId="0" fontId="105" fillId="11" borderId="15" xfId="0" applyFont="1" applyFill="1" applyBorder="1" applyAlignment="1">
      <alignment horizontal="center" vertical="center" wrapText="1"/>
    </xf>
    <xf numFmtId="0" fontId="139" fillId="33" borderId="0" xfId="0" applyFont="1" applyFill="1" applyBorder="1" applyAlignment="1">
      <alignment horizontal="center" vertical="top" wrapText="1"/>
    </xf>
    <xf numFmtId="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9" fontId="107" fillId="34" borderId="11" xfId="0" applyNumberFormat="1" applyFont="1" applyFill="1" applyBorder="1" applyAlignment="1">
      <alignment horizontal="center" vertical="center" wrapText="1"/>
    </xf>
    <xf numFmtId="0" fontId="107" fillId="34" borderId="12" xfId="0" applyFont="1" applyFill="1" applyBorder="1" applyAlignment="1">
      <alignment horizontal="center" vertical="center" wrapText="1"/>
    </xf>
    <xf numFmtId="0" fontId="107" fillId="34" borderId="15" xfId="0" applyFont="1" applyFill="1" applyBorder="1" applyAlignment="1">
      <alignment horizontal="center" vertical="center" wrapText="1"/>
    </xf>
    <xf numFmtId="37" fontId="0" fillId="0" borderId="11" xfId="48" applyNumberFormat="1" applyFont="1" applyBorder="1" applyAlignment="1">
      <alignment horizontal="center" vertical="center"/>
    </xf>
    <xf numFmtId="37" fontId="0" fillId="0" borderId="12" xfId="48" applyNumberFormat="1" applyFont="1" applyBorder="1" applyAlignment="1">
      <alignment horizontal="center" vertical="center"/>
    </xf>
    <xf numFmtId="37" fontId="0" fillId="0" borderId="15" xfId="48" applyNumberFormat="1" applyFont="1" applyBorder="1" applyAlignment="1">
      <alignment horizontal="center" vertical="center"/>
    </xf>
    <xf numFmtId="0" fontId="0" fillId="0" borderId="11" xfId="0" applyBorder="1" applyAlignment="1">
      <alignment horizontal="center" vertical="center" wrapText="1"/>
    </xf>
    <xf numFmtId="9" fontId="107" fillId="0" borderId="10" xfId="0" applyNumberFormat="1" applyFont="1" applyBorder="1" applyAlignment="1">
      <alignment horizontal="center" vertical="center" wrapText="1"/>
    </xf>
    <xf numFmtId="0" fontId="105" fillId="36" borderId="10" xfId="0" applyFont="1" applyFill="1" applyBorder="1" applyAlignment="1">
      <alignment horizontal="center" vertical="center" wrapText="1"/>
    </xf>
    <xf numFmtId="9" fontId="107" fillId="34" borderId="16" xfId="0" applyNumberFormat="1" applyFont="1" applyFill="1" applyBorder="1" applyAlignment="1">
      <alignment horizontal="center" vertical="center" wrapText="1"/>
    </xf>
    <xf numFmtId="0" fontId="104" fillId="34" borderId="15"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4" fillId="34" borderId="11" xfId="0" applyFont="1" applyFill="1" applyBorder="1" applyAlignment="1">
      <alignment horizontal="center" vertical="center" wrapText="1"/>
    </xf>
    <xf numFmtId="0" fontId="107" fillId="34" borderId="11" xfId="0" applyFont="1" applyFill="1" applyBorder="1" applyAlignment="1">
      <alignment horizontal="center" vertical="center" textRotation="90" wrapText="1"/>
    </xf>
    <xf numFmtId="0" fontId="107" fillId="34" borderId="12" xfId="0" applyFont="1" applyFill="1" applyBorder="1" applyAlignment="1">
      <alignment horizontal="center" vertical="center" textRotation="90" wrapText="1"/>
    </xf>
    <xf numFmtId="0" fontId="107" fillId="34" borderId="15" xfId="0" applyFont="1" applyFill="1" applyBorder="1" applyAlignment="1">
      <alignment horizontal="center" vertical="center" textRotation="90" wrapText="1"/>
    </xf>
    <xf numFmtId="0" fontId="0" fillId="0" borderId="10" xfId="0" applyBorder="1" applyAlignment="1">
      <alignment horizontal="center" vertical="center" wrapText="1"/>
    </xf>
    <xf numFmtId="9" fontId="107" fillId="34" borderId="10" xfId="0" applyNumberFormat="1" applyFont="1" applyFill="1" applyBorder="1" applyAlignment="1">
      <alignment horizontal="center" vertical="center" wrapText="1"/>
    </xf>
    <xf numFmtId="9" fontId="107" fillId="0" borderId="36" xfId="0" applyNumberFormat="1" applyFont="1" applyBorder="1" applyAlignment="1">
      <alignment horizontal="center" vertical="center" wrapText="1"/>
    </xf>
    <xf numFmtId="9" fontId="107" fillId="0" borderId="20" xfId="0" applyNumberFormat="1" applyFont="1" applyBorder="1" applyAlignment="1">
      <alignment horizontal="center" vertical="center" wrapText="1"/>
    </xf>
    <xf numFmtId="9" fontId="107" fillId="0" borderId="18" xfId="0" applyNumberFormat="1" applyFont="1" applyBorder="1" applyAlignment="1">
      <alignment horizontal="center" vertical="center" wrapText="1"/>
    </xf>
    <xf numFmtId="0" fontId="105" fillId="40"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04" fillId="18" borderId="10" xfId="0" applyFont="1" applyFill="1" applyBorder="1" applyAlignment="1">
      <alignment horizontal="center" vertical="center" wrapText="1"/>
    </xf>
    <xf numFmtId="0" fontId="107" fillId="34"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5" xfId="0" applyFont="1" applyBorder="1" applyAlignment="1">
      <alignment horizontal="center" vertical="center" wrapText="1"/>
    </xf>
    <xf numFmtId="0" fontId="104" fillId="34" borderId="12" xfId="0" applyFont="1" applyFill="1" applyBorder="1" applyAlignment="1">
      <alignment horizontal="center" vertical="center" wrapText="1"/>
    </xf>
    <xf numFmtId="0" fontId="13" fillId="0" borderId="12" xfId="0" applyFont="1" applyBorder="1" applyAlignment="1">
      <alignment horizontal="center" vertical="center" wrapText="1"/>
    </xf>
    <xf numFmtId="9" fontId="97" fillId="0" borderId="10" xfId="0" applyNumberFormat="1" applyFont="1" applyBorder="1" applyAlignment="1">
      <alignment horizontal="center" vertical="center" wrapText="1"/>
    </xf>
    <xf numFmtId="0" fontId="97" fillId="0" borderId="10" xfId="0" applyFont="1" applyBorder="1" applyAlignment="1">
      <alignment horizontal="center" vertical="center" wrapText="1"/>
    </xf>
    <xf numFmtId="1" fontId="0" fillId="0" borderId="11" xfId="48" applyNumberFormat="1" applyFont="1" applyBorder="1" applyAlignment="1">
      <alignment horizontal="center" vertical="center"/>
    </xf>
    <xf numFmtId="1" fontId="0" fillId="0" borderId="12" xfId="48" applyNumberFormat="1" applyFont="1" applyBorder="1" applyAlignment="1">
      <alignment horizontal="center" vertical="center"/>
    </xf>
    <xf numFmtId="1" fontId="0" fillId="0" borderId="15" xfId="48" applyNumberFormat="1" applyFont="1" applyBorder="1" applyAlignment="1">
      <alignment horizontal="center" vertical="center"/>
    </xf>
    <xf numFmtId="37" fontId="0" fillId="0" borderId="10" xfId="48" applyNumberFormat="1" applyFont="1" applyBorder="1" applyAlignment="1">
      <alignment horizontal="center" vertical="center"/>
    </xf>
    <xf numFmtId="37" fontId="0" fillId="0" borderId="10" xfId="48" applyNumberFormat="1" applyFont="1" applyBorder="1" applyAlignment="1">
      <alignment horizontal="center" vertical="center" wrapText="1"/>
    </xf>
    <xf numFmtId="37" fontId="0" fillId="0" borderId="11" xfId="48" applyNumberFormat="1" applyFont="1" applyBorder="1" applyAlignment="1">
      <alignment horizontal="center" vertical="center" wrapText="1"/>
    </xf>
    <xf numFmtId="37" fontId="0" fillId="0" borderId="12" xfId="48" applyNumberFormat="1" applyFont="1" applyBorder="1" applyAlignment="1">
      <alignment horizontal="center" vertical="center" wrapText="1"/>
    </xf>
    <xf numFmtId="37" fontId="0" fillId="0" borderId="15" xfId="48" applyNumberFormat="1" applyFont="1" applyBorder="1" applyAlignment="1">
      <alignment horizontal="center" vertical="center" wrapText="1"/>
    </xf>
    <xf numFmtId="1" fontId="0" fillId="0" borderId="11" xfId="48" applyNumberFormat="1" applyFont="1" applyBorder="1" applyAlignment="1">
      <alignment horizontal="center" vertical="center" wrapText="1"/>
    </xf>
    <xf numFmtId="1" fontId="0" fillId="0" borderId="12" xfId="48" applyNumberFormat="1" applyFont="1" applyBorder="1" applyAlignment="1">
      <alignment horizontal="center" vertical="center" wrapText="1"/>
    </xf>
    <xf numFmtId="1" fontId="0" fillId="0" borderId="15" xfId="48" applyNumberFormat="1" applyFont="1" applyBorder="1" applyAlignment="1">
      <alignment horizontal="center" vertical="center" wrapText="1"/>
    </xf>
    <xf numFmtId="0" fontId="105" fillId="9" borderId="11" xfId="0" applyFont="1" applyFill="1" applyBorder="1" applyAlignment="1">
      <alignment horizontal="center" vertical="center" wrapText="1"/>
    </xf>
    <xf numFmtId="0" fontId="105" fillId="9" borderId="12" xfId="0" applyFont="1" applyFill="1" applyBorder="1" applyAlignment="1">
      <alignment horizontal="center" vertical="center" wrapText="1"/>
    </xf>
    <xf numFmtId="0" fontId="105" fillId="9" borderId="15" xfId="0" applyFont="1" applyFill="1" applyBorder="1" applyAlignment="1">
      <alignment horizontal="center" vertical="center" wrapText="1"/>
    </xf>
    <xf numFmtId="9" fontId="107" fillId="34" borderId="12" xfId="0" applyNumberFormat="1" applyFont="1" applyFill="1" applyBorder="1" applyAlignment="1">
      <alignment horizontal="center" vertical="center" wrapText="1"/>
    </xf>
    <xf numFmtId="9" fontId="107" fillId="34" borderId="15" xfId="0" applyNumberFormat="1" applyFont="1" applyFill="1" applyBorder="1" applyAlignment="1">
      <alignment horizontal="center" vertical="center" wrapText="1"/>
    </xf>
    <xf numFmtId="9" fontId="104" fillId="0" borderId="11" xfId="0" applyNumberFormat="1" applyFont="1" applyBorder="1" applyAlignment="1">
      <alignment horizontal="center" vertical="center" wrapText="1"/>
    </xf>
    <xf numFmtId="0" fontId="104" fillId="0" borderId="10" xfId="0" applyFont="1" applyBorder="1" applyAlignment="1">
      <alignment horizontal="center" vertical="center" wrapText="1"/>
    </xf>
    <xf numFmtId="10" fontId="104" fillId="0" borderId="11" xfId="0" applyNumberFormat="1" applyFont="1" applyBorder="1" applyAlignment="1">
      <alignment horizontal="center" vertical="center" wrapText="1"/>
    </xf>
    <xf numFmtId="0" fontId="106" fillId="0" borderId="11" xfId="0" applyFont="1" applyBorder="1" applyAlignment="1">
      <alignment horizontal="center" vertical="center" wrapText="1"/>
    </xf>
    <xf numFmtId="0" fontId="106" fillId="0" borderId="12" xfId="0" applyFont="1" applyBorder="1" applyAlignment="1">
      <alignment horizontal="center" vertical="center" wrapText="1"/>
    </xf>
    <xf numFmtId="0" fontId="106" fillId="0" borderId="15" xfId="0" applyFont="1" applyBorder="1" applyAlignment="1">
      <alignment horizontal="center" vertical="center" wrapText="1"/>
    </xf>
    <xf numFmtId="0" fontId="104" fillId="0" borderId="17" xfId="0" applyFont="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04" fillId="0" borderId="10" xfId="0" applyFont="1" applyBorder="1" applyAlignment="1">
      <alignment horizontal="center" wrapText="1"/>
    </xf>
    <xf numFmtId="0" fontId="104" fillId="34" borderId="11" xfId="0" applyFont="1" applyFill="1" applyBorder="1" applyAlignment="1">
      <alignment horizontal="left" vertical="top" wrapText="1"/>
    </xf>
    <xf numFmtId="0" fontId="104" fillId="34" borderId="15" xfId="0" applyFont="1" applyFill="1" applyBorder="1" applyAlignment="1">
      <alignment horizontal="left" vertical="top" wrapText="1"/>
    </xf>
    <xf numFmtId="0" fontId="132" fillId="33" borderId="42" xfId="0" applyFont="1" applyFill="1" applyBorder="1" applyAlignment="1">
      <alignment horizontal="center" vertical="center" wrapText="1"/>
    </xf>
    <xf numFmtId="0" fontId="132" fillId="33" borderId="43" xfId="0" applyFont="1" applyFill="1" applyBorder="1" applyAlignment="1">
      <alignment horizontal="center" vertical="center" wrapText="1"/>
    </xf>
    <xf numFmtId="0" fontId="132" fillId="33" borderId="11" xfId="0" applyFont="1" applyFill="1" applyBorder="1" applyAlignment="1">
      <alignment horizontal="center" vertical="center" wrapText="1"/>
    </xf>
    <xf numFmtId="0" fontId="132" fillId="33" borderId="15" xfId="0" applyFont="1" applyFill="1" applyBorder="1" applyAlignment="1">
      <alignment horizontal="center" vertical="center" wrapText="1"/>
    </xf>
    <xf numFmtId="0" fontId="37" fillId="0" borderId="19" xfId="0" applyFont="1" applyBorder="1" applyAlignment="1">
      <alignment horizontal="left" vertical="center"/>
    </xf>
    <xf numFmtId="0" fontId="37" fillId="0" borderId="22" xfId="0" applyFont="1" applyBorder="1" applyAlignment="1">
      <alignment horizontal="left" vertical="center"/>
    </xf>
    <xf numFmtId="9" fontId="104" fillId="0" borderId="12" xfId="0" applyNumberFormat="1" applyFont="1" applyBorder="1" applyAlignment="1">
      <alignment horizontal="center" vertical="center" wrapText="1"/>
    </xf>
    <xf numFmtId="9" fontId="104" fillId="0" borderId="15" xfId="0" applyNumberFormat="1" applyFont="1" applyBorder="1" applyAlignment="1">
      <alignment horizontal="center" vertical="center" wrapText="1"/>
    </xf>
    <xf numFmtId="0" fontId="104" fillId="0" borderId="14" xfId="0" applyFont="1" applyBorder="1" applyAlignment="1">
      <alignment horizontal="center" vertical="center" wrapText="1"/>
    </xf>
    <xf numFmtId="0" fontId="37" fillId="0" borderId="19" xfId="0" applyFont="1" applyBorder="1" applyAlignment="1">
      <alignment horizontal="left" vertical="center" wrapText="1"/>
    </xf>
    <xf numFmtId="0" fontId="37" fillId="0" borderId="22" xfId="0" applyFont="1" applyBorder="1" applyAlignment="1">
      <alignment horizontal="left" vertical="center" wrapText="1"/>
    </xf>
    <xf numFmtId="0" fontId="37" fillId="0" borderId="19" xfId="0" applyNumberFormat="1" applyFont="1" applyBorder="1" applyAlignment="1">
      <alignment horizontal="justify" vertical="center" wrapText="1"/>
    </xf>
    <xf numFmtId="0" fontId="37" fillId="0" borderId="22" xfId="0" applyNumberFormat="1" applyFont="1" applyBorder="1" applyAlignment="1">
      <alignment horizontal="justify" vertical="center" wrapText="1"/>
    </xf>
    <xf numFmtId="0" fontId="37" fillId="0" borderId="17" xfId="0" applyNumberFormat="1" applyFont="1" applyBorder="1" applyAlignment="1">
      <alignment horizontal="justify" vertical="center" wrapText="1"/>
    </xf>
    <xf numFmtId="0" fontId="106" fillId="34" borderId="10" xfId="0" applyFont="1" applyFill="1" applyBorder="1" applyAlignment="1">
      <alignment horizontal="center" vertical="top"/>
    </xf>
    <xf numFmtId="0" fontId="106" fillId="34" borderId="0" xfId="0"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08" fillId="34" borderId="10" xfId="0" applyFont="1" applyFill="1" applyBorder="1" applyAlignment="1">
      <alignment horizontal="center" vertical="top" wrapText="1"/>
    </xf>
    <xf numFmtId="0" fontId="106" fillId="34" borderId="10" xfId="0" applyFont="1" applyFill="1" applyBorder="1" applyAlignment="1">
      <alignment horizontal="center" vertical="top" wrapText="1"/>
    </xf>
    <xf numFmtId="10" fontId="106" fillId="0" borderId="10" xfId="52" applyNumberFormat="1" applyFont="1" applyFill="1" applyBorder="1" applyAlignment="1">
      <alignment horizontal="center" vertical="top" wrapText="1"/>
    </xf>
    <xf numFmtId="9" fontId="106" fillId="34" borderId="10" xfId="0" applyNumberFormat="1" applyFont="1" applyFill="1" applyBorder="1" applyAlignment="1">
      <alignment horizontal="center" vertical="top" wrapText="1"/>
    </xf>
    <xf numFmtId="9" fontId="106" fillId="0" borderId="10" xfId="52" applyFont="1" applyFill="1" applyBorder="1" applyAlignment="1">
      <alignment horizontal="center" vertical="top"/>
    </xf>
    <xf numFmtId="0" fontId="106" fillId="0" borderId="10" xfId="0" applyFont="1" applyFill="1" applyBorder="1" applyAlignment="1">
      <alignment horizontal="center" vertical="top"/>
    </xf>
    <xf numFmtId="0" fontId="106" fillId="0" borderId="10" xfId="0" applyFont="1" applyFill="1" applyBorder="1" applyAlignment="1">
      <alignment horizontal="center" vertical="top" wrapText="1"/>
    </xf>
    <xf numFmtId="0" fontId="108" fillId="34" borderId="10" xfId="0" applyFont="1" applyFill="1" applyBorder="1" applyAlignment="1">
      <alignment vertical="top" wrapText="1"/>
    </xf>
    <xf numFmtId="9" fontId="8" fillId="0" borderId="10" xfId="52" applyFont="1" applyFill="1" applyBorder="1" applyAlignment="1">
      <alignment horizontal="center" vertical="top" wrapText="1"/>
    </xf>
    <xf numFmtId="0" fontId="106" fillId="34" borderId="10" xfId="0" applyFont="1" applyFill="1" applyBorder="1" applyAlignment="1">
      <alignment horizontal="justify" vertical="top" wrapText="1"/>
    </xf>
    <xf numFmtId="0" fontId="8" fillId="34" borderId="10" xfId="0" applyFont="1" applyFill="1" applyBorder="1" applyAlignment="1">
      <alignment horizontal="justify" vertical="top" wrapText="1"/>
    </xf>
    <xf numFmtId="0" fontId="8" fillId="0" borderId="10" xfId="0" applyFont="1" applyFill="1" applyBorder="1" applyAlignment="1">
      <alignment horizontal="center" vertical="top" wrapText="1"/>
    </xf>
    <xf numFmtId="10" fontId="8" fillId="0" borderId="10" xfId="52" applyNumberFormat="1" applyFont="1" applyFill="1" applyBorder="1" applyAlignment="1">
      <alignment horizontal="center" vertical="top" wrapText="1"/>
    </xf>
    <xf numFmtId="9" fontId="106" fillId="0" borderId="10" xfId="52" applyFont="1" applyFill="1" applyBorder="1" applyAlignment="1">
      <alignment horizontal="center" vertical="top" wrapText="1"/>
    </xf>
    <xf numFmtId="0" fontId="106" fillId="0" borderId="10" xfId="0" applyFont="1" applyFill="1" applyBorder="1" applyAlignment="1">
      <alignment vertical="top" wrapText="1"/>
    </xf>
    <xf numFmtId="10" fontId="106" fillId="0" borderId="10" xfId="0" applyNumberFormat="1"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6" fillId="34" borderId="10" xfId="0" applyFont="1" applyFill="1" applyBorder="1" applyAlignment="1">
      <alignment horizontal="center" vertical="center" wrapText="1"/>
    </xf>
    <xf numFmtId="0" fontId="108" fillId="0" borderId="10" xfId="0" applyFont="1" applyFill="1" applyBorder="1" applyAlignment="1">
      <alignment horizontal="center" vertical="center"/>
    </xf>
    <xf numFmtId="10" fontId="106" fillId="0" borderId="10" xfId="52" applyNumberFormat="1" applyFont="1" applyFill="1" applyBorder="1" applyAlignment="1">
      <alignment horizontal="center" vertical="center" wrapText="1"/>
    </xf>
    <xf numFmtId="0" fontId="0" fillId="0" borderId="10" xfId="0" applyBorder="1" applyAlignment="1">
      <alignment/>
    </xf>
    <xf numFmtId="0" fontId="140" fillId="33" borderId="10" xfId="0" applyFont="1" applyFill="1" applyBorder="1" applyAlignment="1">
      <alignment horizontal="center" vertical="center" wrapText="1"/>
    </xf>
    <xf numFmtId="0" fontId="140" fillId="33" borderId="11" xfId="0" applyFont="1" applyFill="1" applyBorder="1" applyAlignment="1">
      <alignment horizontal="center" vertical="center" wrapText="1"/>
    </xf>
    <xf numFmtId="0" fontId="140" fillId="33" borderId="15" xfId="0" applyFont="1" applyFill="1" applyBorder="1" applyAlignment="1">
      <alignment horizontal="center" vertical="center" wrapText="1"/>
    </xf>
    <xf numFmtId="0" fontId="140" fillId="33" borderId="10" xfId="0" applyFont="1" applyFill="1" applyBorder="1" applyAlignment="1">
      <alignment horizontal="center" wrapText="1"/>
    </xf>
    <xf numFmtId="0" fontId="8" fillId="0" borderId="10" xfId="0" applyFont="1" applyFill="1" applyBorder="1" applyAlignment="1">
      <alignment vertical="center" wrapText="1"/>
    </xf>
    <xf numFmtId="0" fontId="2" fillId="0" borderId="10" xfId="0" applyFont="1" applyBorder="1" applyAlignment="1">
      <alignment horizont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140" fillId="33" borderId="10" xfId="0" applyFont="1" applyFill="1" applyBorder="1" applyAlignment="1">
      <alignment horizontal="center" vertical="center"/>
    </xf>
    <xf numFmtId="0" fontId="133" fillId="33" borderId="11" xfId="0" applyFont="1" applyFill="1" applyBorder="1" applyAlignment="1">
      <alignment horizontal="center" vertical="center" wrapText="1"/>
    </xf>
    <xf numFmtId="0" fontId="133" fillId="33" borderId="15" xfId="0" applyFont="1" applyFill="1" applyBorder="1" applyAlignment="1">
      <alignment horizontal="center" vertical="center" wrapText="1"/>
    </xf>
    <xf numFmtId="0" fontId="140" fillId="33" borderId="10" xfId="0" applyFont="1" applyFill="1" applyBorder="1" applyAlignment="1">
      <alignment horizontal="center" vertical="top" wrapText="1"/>
    </xf>
    <xf numFmtId="0" fontId="37" fillId="0" borderId="17" xfId="0" applyFont="1" applyBorder="1" applyAlignment="1">
      <alignment horizontal="left"/>
    </xf>
    <xf numFmtId="0" fontId="37" fillId="0" borderId="10" xfId="0" applyFont="1" applyBorder="1" applyAlignment="1">
      <alignment horizontal="left"/>
    </xf>
    <xf numFmtId="0" fontId="37" fillId="0" borderId="19" xfId="0" applyFont="1" applyBorder="1" applyAlignment="1">
      <alignment horizontal="left"/>
    </xf>
    <xf numFmtId="0" fontId="3" fillId="0" borderId="10" xfId="0" applyFont="1" applyFill="1" applyBorder="1" applyAlignment="1">
      <alignment horizontal="center" vertical="center"/>
    </xf>
    <xf numFmtId="0" fontId="2" fillId="37" borderId="10" xfId="0" applyFont="1" applyFill="1" applyBorder="1" applyAlignment="1">
      <alignment horizontal="center" vertical="center" wrapText="1"/>
    </xf>
    <xf numFmtId="0" fontId="2" fillId="37" borderId="11" xfId="0" applyFont="1" applyFill="1" applyBorder="1" applyAlignment="1">
      <alignment horizontal="center" vertical="center" textRotation="90" wrapText="1"/>
    </xf>
    <xf numFmtId="0" fontId="2" fillId="37" borderId="15" xfId="0" applyFont="1" applyFill="1" applyBorder="1" applyAlignment="1">
      <alignment horizontal="center" vertical="center" textRotation="90" wrapText="1"/>
    </xf>
    <xf numFmtId="0" fontId="2" fillId="37" borderId="11"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1" xfId="0" applyFont="1" applyFill="1" applyBorder="1" applyAlignment="1">
      <alignment horizontal="center" vertical="top" textRotation="255" wrapText="1"/>
    </xf>
    <xf numFmtId="0" fontId="0" fillId="0" borderId="12" xfId="0" applyFont="1" applyBorder="1" applyAlignment="1">
      <alignment horizontal="center" vertical="top" textRotation="255" wrapText="1"/>
    </xf>
    <xf numFmtId="0" fontId="0" fillId="0" borderId="15" xfId="0" applyFont="1" applyBorder="1" applyAlignment="1">
      <alignment horizontal="center" vertical="top" textRotation="255" wrapText="1"/>
    </xf>
    <xf numFmtId="0" fontId="3" fillId="0" borderId="11"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9"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15" xfId="0" applyFont="1" applyFill="1" applyBorder="1" applyAlignment="1">
      <alignment horizontal="right" vertical="center" wrapText="1"/>
    </xf>
    <xf numFmtId="176" fontId="3" fillId="0" borderId="11" xfId="46" applyNumberFormat="1" applyFont="1" applyFill="1" applyBorder="1" applyAlignment="1">
      <alignment horizontal="center" vertical="center" wrapText="1"/>
    </xf>
    <xf numFmtId="176" fontId="3" fillId="0" borderId="15" xfId="46" applyNumberFormat="1" applyFont="1" applyFill="1" applyBorder="1" applyAlignment="1">
      <alignment horizontal="center" vertical="center" wrapText="1"/>
    </xf>
    <xf numFmtId="0" fontId="3" fillId="0" borderId="12" xfId="0" applyFont="1" applyFill="1" applyBorder="1" applyAlignment="1">
      <alignment horizontal="right" vertical="center" wrapText="1"/>
    </xf>
    <xf numFmtId="0" fontId="0" fillId="0" borderId="15" xfId="0" applyFill="1" applyBorder="1" applyAlignment="1">
      <alignment horizontal="center" vertical="center" wrapText="1"/>
    </xf>
    <xf numFmtId="0" fontId="3" fillId="0"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2" fillId="0" borderId="11"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0" borderId="15"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7" fillId="0" borderId="17" xfId="0" applyFont="1" applyBorder="1" applyAlignment="1">
      <alignment horizontal="left" vertical="center"/>
    </xf>
    <xf numFmtId="9" fontId="3" fillId="0" borderId="15" xfId="0" applyNumberFormat="1" applyFont="1" applyFill="1" applyBorder="1" applyAlignment="1">
      <alignment horizontal="center" vertical="center" wrapText="1"/>
    </xf>
    <xf numFmtId="0" fontId="37" fillId="0" borderId="19" xfId="0" applyNumberFormat="1" applyFont="1" applyBorder="1" applyAlignment="1">
      <alignment horizontal="left" vertical="center" wrapText="1"/>
    </xf>
    <xf numFmtId="0" fontId="37" fillId="0" borderId="22" xfId="0" applyNumberFormat="1" applyFont="1" applyBorder="1" applyAlignment="1">
      <alignment horizontal="left" vertical="center" wrapText="1"/>
    </xf>
    <xf numFmtId="0" fontId="37" fillId="0" borderId="17" xfId="0" applyNumberFormat="1" applyFont="1" applyBorder="1" applyAlignment="1">
      <alignment horizontal="left" vertical="center" wrapText="1"/>
    </xf>
    <xf numFmtId="0" fontId="2" fillId="0" borderId="12" xfId="0" applyFont="1" applyFill="1" applyBorder="1" applyAlignment="1">
      <alignment horizontal="center" vertical="top" textRotation="255" wrapText="1"/>
    </xf>
    <xf numFmtId="0" fontId="2" fillId="0" borderId="15" xfId="0" applyFont="1" applyFill="1" applyBorder="1" applyAlignment="1">
      <alignment horizontal="center" vertical="top" textRotation="255" wrapText="1"/>
    </xf>
    <xf numFmtId="0" fontId="2" fillId="0" borderId="11" xfId="0" applyFont="1" applyFill="1" applyBorder="1" applyAlignment="1">
      <alignment horizontal="center" textRotation="255" wrapText="1"/>
    </xf>
    <xf numFmtId="0" fontId="2" fillId="0" borderId="12" xfId="0" applyFont="1" applyFill="1" applyBorder="1" applyAlignment="1">
      <alignment horizontal="center" textRotation="255" wrapText="1"/>
    </xf>
    <xf numFmtId="0" fontId="2" fillId="0" borderId="15" xfId="0" applyFont="1" applyFill="1" applyBorder="1" applyAlignment="1">
      <alignment horizontal="center" textRotation="255" wrapText="1"/>
    </xf>
    <xf numFmtId="0" fontId="2" fillId="0" borderId="17" xfId="0" applyFont="1" applyBorder="1" applyAlignment="1">
      <alignment horizontal="left"/>
    </xf>
    <xf numFmtId="0" fontId="2" fillId="0" borderId="10" xfId="0" applyFont="1" applyBorder="1" applyAlignment="1">
      <alignment horizontal="left"/>
    </xf>
    <xf numFmtId="0" fontId="2" fillId="0" borderId="19" xfId="0" applyFont="1" applyBorder="1" applyAlignment="1">
      <alignment horizontal="left"/>
    </xf>
    <xf numFmtId="0" fontId="130" fillId="33" borderId="0" xfId="0" applyFont="1" applyFill="1" applyBorder="1" applyAlignment="1">
      <alignment horizontal="center"/>
    </xf>
    <xf numFmtId="0" fontId="87" fillId="33" borderId="26"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124" fillId="33" borderId="44" xfId="0" applyFont="1" applyFill="1" applyBorder="1" applyAlignment="1">
      <alignment horizontal="center" wrapText="1"/>
    </xf>
    <xf numFmtId="0" fontId="124" fillId="33" borderId="0" xfId="0" applyFont="1" applyFill="1" applyBorder="1" applyAlignment="1">
      <alignment horizontal="center" wrapText="1"/>
    </xf>
    <xf numFmtId="0" fontId="124" fillId="33" borderId="15" xfId="0" applyFont="1" applyFill="1" applyBorder="1" applyAlignment="1">
      <alignment horizontal="center" vertical="top" wrapText="1"/>
    </xf>
    <xf numFmtId="0" fontId="124" fillId="33" borderId="10" xfId="0" applyFont="1" applyFill="1" applyBorder="1" applyAlignment="1">
      <alignment horizontal="center" vertical="top" wrapText="1"/>
    </xf>
    <xf numFmtId="0" fontId="124" fillId="33" borderId="26" xfId="0" applyFont="1" applyFill="1" applyBorder="1" applyAlignment="1">
      <alignment horizontal="center" wrapText="1"/>
    </xf>
    <xf numFmtId="0" fontId="122" fillId="3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108" fillId="34" borderId="11" xfId="0" applyFont="1" applyFill="1" applyBorder="1" applyAlignment="1">
      <alignment horizontal="center" vertical="center" wrapText="1"/>
    </xf>
    <xf numFmtId="0" fontId="108" fillId="34" borderId="12" xfId="0" applyFont="1" applyFill="1" applyBorder="1" applyAlignment="1">
      <alignment horizontal="center" vertical="center" wrapText="1"/>
    </xf>
    <xf numFmtId="0" fontId="108" fillId="34" borderId="15" xfId="0" applyFont="1" applyFill="1" applyBorder="1" applyAlignment="1">
      <alignment horizontal="center" vertical="center" wrapText="1"/>
    </xf>
    <xf numFmtId="0" fontId="112" fillId="34" borderId="11" xfId="0" applyFont="1" applyFill="1" applyBorder="1" applyAlignment="1">
      <alignment horizontal="center" vertical="center" wrapText="1"/>
    </xf>
    <xf numFmtId="0" fontId="112" fillId="34" borderId="12" xfId="0" applyFont="1" applyFill="1" applyBorder="1" applyAlignment="1">
      <alignment horizontal="center" vertical="center" wrapText="1"/>
    </xf>
    <xf numFmtId="0" fontId="112" fillId="34" borderId="15" xfId="0" applyFont="1" applyFill="1" applyBorder="1" applyAlignment="1">
      <alignment horizontal="center" vertical="center" wrapText="1"/>
    </xf>
    <xf numFmtId="9" fontId="122" fillId="34" borderId="11" xfId="0" applyNumberFormat="1" applyFont="1" applyFill="1" applyBorder="1" applyAlignment="1">
      <alignment horizontal="center" vertical="center"/>
    </xf>
    <xf numFmtId="9" fontId="122" fillId="34" borderId="12" xfId="0" applyNumberFormat="1" applyFont="1" applyFill="1" applyBorder="1" applyAlignment="1">
      <alignment horizontal="center" vertical="center"/>
    </xf>
    <xf numFmtId="9" fontId="122" fillId="34" borderId="15" xfId="0" applyNumberFormat="1" applyFont="1" applyFill="1" applyBorder="1" applyAlignment="1">
      <alignment horizontal="center" vertical="center"/>
    </xf>
    <xf numFmtId="0" fontId="122" fillId="34" borderId="12" xfId="0" applyFont="1" applyFill="1" applyBorder="1" applyAlignment="1">
      <alignment horizontal="center" vertical="center" wrapText="1"/>
    </xf>
    <xf numFmtId="0" fontId="122" fillId="34" borderId="15" xfId="0" applyFont="1" applyFill="1" applyBorder="1" applyAlignment="1">
      <alignment horizontal="center" vertical="center" wrapText="1"/>
    </xf>
    <xf numFmtId="9" fontId="122" fillId="34" borderId="11" xfId="0" applyNumberFormat="1" applyFont="1" applyFill="1" applyBorder="1" applyAlignment="1">
      <alignment horizontal="center" vertical="center" wrapText="1"/>
    </xf>
    <xf numFmtId="9" fontId="122" fillId="34" borderId="12" xfId="0" applyNumberFormat="1" applyFont="1" applyFill="1" applyBorder="1" applyAlignment="1">
      <alignment horizontal="center" vertical="center" wrapText="1"/>
    </xf>
    <xf numFmtId="9" fontId="122" fillId="34" borderId="15" xfId="0" applyNumberFormat="1" applyFont="1" applyFill="1" applyBorder="1" applyAlignment="1">
      <alignment horizontal="center" vertical="center" wrapText="1"/>
    </xf>
    <xf numFmtId="0" fontId="112"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108" fillId="34" borderId="10" xfId="0" applyFont="1" applyFill="1" applyBorder="1" applyAlignment="1">
      <alignment horizontal="center" vertical="center" wrapText="1"/>
    </xf>
    <xf numFmtId="0" fontId="110" fillId="34" borderId="10" xfId="0" applyFont="1" applyFill="1" applyBorder="1" applyAlignment="1">
      <alignment horizontal="center" vertical="center" wrapText="1"/>
    </xf>
    <xf numFmtId="172" fontId="0" fillId="34" borderId="10" xfId="46" applyNumberFormat="1" applyFont="1" applyFill="1" applyBorder="1" applyAlignment="1">
      <alignment horizontal="center" vertical="center"/>
    </xf>
    <xf numFmtId="0" fontId="110" fillId="34" borderId="10" xfId="0" applyNumberFormat="1" applyFont="1" applyFill="1" applyBorder="1" applyAlignment="1">
      <alignment horizontal="center" vertical="center"/>
    </xf>
    <xf numFmtId="0" fontId="110" fillId="34" borderId="10" xfId="0" applyNumberFormat="1" applyFont="1" applyFill="1" applyBorder="1" applyAlignment="1">
      <alignment horizontal="center" vertical="center" wrapText="1"/>
    </xf>
    <xf numFmtId="0" fontId="110" fillId="34" borderId="10"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5" xfId="0" applyFill="1" applyBorder="1" applyAlignment="1">
      <alignment horizontal="center" vertical="center"/>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5" xfId="0" applyFill="1" applyBorder="1" applyAlignment="1">
      <alignment horizontal="center" vertical="center" wrapText="1"/>
    </xf>
    <xf numFmtId="0" fontId="130" fillId="33" borderId="16" xfId="0" applyFont="1" applyFill="1" applyBorder="1" applyAlignment="1">
      <alignment horizontal="center" vertical="center"/>
    </xf>
    <xf numFmtId="0" fontId="87" fillId="33" borderId="26" xfId="0" applyFont="1" applyFill="1" applyBorder="1" applyAlignment="1">
      <alignment horizontal="center" vertical="center"/>
    </xf>
    <xf numFmtId="0" fontId="124" fillId="33" borderId="44" xfId="0" applyFont="1" applyFill="1" applyBorder="1" applyAlignment="1">
      <alignment horizontal="center" vertical="center" wrapText="1"/>
    </xf>
    <xf numFmtId="0" fontId="124" fillId="33" borderId="0" xfId="0" applyFont="1" applyFill="1" applyBorder="1" applyAlignment="1">
      <alignment horizontal="center" vertical="center" wrapText="1"/>
    </xf>
    <xf numFmtId="172" fontId="107" fillId="34" borderId="11" xfId="46" applyNumberFormat="1" applyFont="1" applyFill="1" applyBorder="1" applyAlignment="1">
      <alignment horizontal="center" vertical="center" wrapText="1"/>
    </xf>
    <xf numFmtId="172" fontId="107" fillId="34" borderId="12" xfId="46" applyNumberFormat="1" applyFont="1" applyFill="1" applyBorder="1" applyAlignment="1">
      <alignment horizontal="center" vertical="center" wrapText="1"/>
    </xf>
    <xf numFmtId="172" fontId="107" fillId="34" borderId="15" xfId="46" applyNumberFormat="1" applyFont="1" applyFill="1" applyBorder="1" applyAlignment="1">
      <alignment horizontal="center" vertical="center" wrapText="1"/>
    </xf>
    <xf numFmtId="0" fontId="37" fillId="0" borderId="10" xfId="0" applyFont="1" applyBorder="1" applyAlignment="1">
      <alignment horizontal="left" vertical="center"/>
    </xf>
    <xf numFmtId="0" fontId="37" fillId="0" borderId="27" xfId="0" applyFont="1" applyBorder="1" applyAlignment="1">
      <alignment horizontal="left" vertical="center"/>
    </xf>
    <xf numFmtId="0" fontId="37" fillId="0" borderId="24" xfId="0" applyFont="1" applyBorder="1" applyAlignment="1">
      <alignment horizontal="left" vertical="center"/>
    </xf>
    <xf numFmtId="0" fontId="104" fillId="34" borderId="10" xfId="0" applyFont="1" applyFill="1" applyBorder="1" applyAlignment="1">
      <alignment horizontal="center" vertical="top" wrapText="1"/>
    </xf>
    <xf numFmtId="3" fontId="107" fillId="34" borderId="11" xfId="0" applyNumberFormat="1" applyFont="1" applyFill="1" applyBorder="1" applyAlignment="1">
      <alignment horizontal="center" vertical="center" wrapText="1"/>
    </xf>
    <xf numFmtId="3" fontId="107" fillId="34" borderId="12" xfId="0" applyNumberFormat="1" applyFont="1" applyFill="1" applyBorder="1" applyAlignment="1">
      <alignment horizontal="center" vertical="center" wrapText="1"/>
    </xf>
    <xf numFmtId="3" fontId="107" fillId="34" borderId="15" xfId="0" applyNumberFormat="1" applyFont="1" applyFill="1" applyBorder="1" applyAlignment="1">
      <alignment horizontal="center" vertical="center" wrapText="1"/>
    </xf>
    <xf numFmtId="0" fontId="104" fillId="34" borderId="0" xfId="0" applyFont="1" applyFill="1" applyBorder="1" applyAlignment="1">
      <alignment horizontal="center" wrapText="1"/>
    </xf>
    <xf numFmtId="0" fontId="104" fillId="34" borderId="0" xfId="0" applyFont="1" applyFill="1" applyBorder="1" applyAlignment="1">
      <alignment horizontal="center" vertical="top" wrapText="1"/>
    </xf>
    <xf numFmtId="0" fontId="104" fillId="34" borderId="0" xfId="0" applyFont="1" applyFill="1" applyBorder="1" applyAlignment="1">
      <alignment horizontal="center"/>
    </xf>
    <xf numFmtId="0" fontId="104" fillId="34" borderId="0" xfId="0" applyFont="1" applyFill="1" applyBorder="1" applyAlignment="1">
      <alignment horizontal="justify" wrapText="1"/>
    </xf>
    <xf numFmtId="0" fontId="124" fillId="33" borderId="26"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42" xfId="0" applyFont="1" applyFill="1" applyBorder="1" applyAlignment="1">
      <alignment horizontal="center" vertical="center" wrapText="1"/>
    </xf>
    <xf numFmtId="0" fontId="103" fillId="33" borderId="43" xfId="0" applyFont="1" applyFill="1" applyBorder="1" applyAlignment="1">
      <alignment horizontal="center" vertical="center" wrapText="1"/>
    </xf>
    <xf numFmtId="0" fontId="109" fillId="49" borderId="11" xfId="0" applyFont="1" applyFill="1" applyBorder="1" applyAlignment="1">
      <alignment horizontal="center"/>
    </xf>
    <xf numFmtId="0" fontId="109" fillId="49" borderId="12" xfId="0" applyFont="1" applyFill="1" applyBorder="1" applyAlignment="1">
      <alignment horizontal="center"/>
    </xf>
    <xf numFmtId="0" fontId="109" fillId="49" borderId="45" xfId="0" applyFont="1" applyFill="1" applyBorder="1" applyAlignment="1">
      <alignment horizontal="center"/>
    </xf>
    <xf numFmtId="0" fontId="106" fillId="50" borderId="32" xfId="0" applyFont="1" applyFill="1" applyBorder="1" applyAlignment="1">
      <alignment horizontal="center" vertical="center" wrapText="1"/>
    </xf>
    <xf numFmtId="0" fontId="106" fillId="50" borderId="12" xfId="0" applyFont="1" applyFill="1" applyBorder="1" applyAlignment="1">
      <alignment horizontal="center" vertical="center" wrapText="1"/>
    </xf>
    <xf numFmtId="0" fontId="106" fillId="50" borderId="15" xfId="0" applyFont="1" applyFill="1" applyBorder="1" applyAlignment="1">
      <alignment horizontal="center" vertical="center" wrapText="1"/>
    </xf>
    <xf numFmtId="9" fontId="106" fillId="50" borderId="32" xfId="0" applyNumberFormat="1" applyFont="1" applyFill="1" applyBorder="1" applyAlignment="1">
      <alignment horizontal="center" vertical="center" wrapText="1"/>
    </xf>
    <xf numFmtId="9" fontId="106" fillId="50" borderId="12" xfId="0" applyNumberFormat="1" applyFont="1" applyFill="1" applyBorder="1" applyAlignment="1">
      <alignment horizontal="center" vertical="center" wrapText="1"/>
    </xf>
    <xf numFmtId="9" fontId="106" fillId="50" borderId="15" xfId="0" applyNumberFormat="1" applyFont="1" applyFill="1" applyBorder="1" applyAlignment="1">
      <alignment horizontal="center" vertical="center" wrapText="1"/>
    </xf>
    <xf numFmtId="0" fontId="106" fillId="50" borderId="32" xfId="0" applyFont="1" applyFill="1" applyBorder="1" applyAlignment="1">
      <alignment horizontal="center"/>
    </xf>
    <xf numFmtId="0" fontId="106" fillId="50" borderId="12" xfId="0" applyFont="1" applyFill="1" applyBorder="1" applyAlignment="1">
      <alignment horizontal="center"/>
    </xf>
    <xf numFmtId="0" fontId="106" fillId="50" borderId="15" xfId="0" applyFont="1" applyFill="1" applyBorder="1" applyAlignment="1">
      <alignment horizontal="center"/>
    </xf>
    <xf numFmtId="0" fontId="106" fillId="50" borderId="32" xfId="0" applyFont="1" applyFill="1" applyBorder="1" applyAlignment="1">
      <alignment horizontal="center" wrapText="1"/>
    </xf>
    <xf numFmtId="0" fontId="106" fillId="50" borderId="12" xfId="0" applyFont="1" applyFill="1" applyBorder="1" applyAlignment="1">
      <alignment horizontal="center" wrapText="1"/>
    </xf>
    <xf numFmtId="0" fontId="106" fillId="50" borderId="15" xfId="0" applyFont="1" applyFill="1" applyBorder="1" applyAlignment="1">
      <alignment horizontal="center" wrapText="1"/>
    </xf>
    <xf numFmtId="0" fontId="106" fillId="49" borderId="11" xfId="0" applyFont="1" applyFill="1" applyBorder="1" applyAlignment="1">
      <alignment horizontal="left" vertical="center" wrapText="1"/>
    </xf>
    <xf numFmtId="0" fontId="106" fillId="49" borderId="12" xfId="0" applyFont="1" applyFill="1" applyBorder="1" applyAlignment="1">
      <alignment horizontal="left" vertical="center" wrapText="1"/>
    </xf>
    <xf numFmtId="0" fontId="106" fillId="49" borderId="45" xfId="0" applyFont="1" applyFill="1" applyBorder="1" applyAlignment="1">
      <alignment horizontal="left" vertical="center" wrapText="1"/>
    </xf>
    <xf numFmtId="9" fontId="106" fillId="49" borderId="11" xfId="0" applyNumberFormat="1" applyFont="1" applyFill="1" applyBorder="1" applyAlignment="1">
      <alignment horizontal="center" vertical="center" wrapText="1"/>
    </xf>
    <xf numFmtId="0" fontId="106" fillId="49" borderId="12" xfId="0" applyFont="1" applyFill="1" applyBorder="1" applyAlignment="1">
      <alignment horizontal="center" vertical="center" wrapText="1"/>
    </xf>
    <xf numFmtId="0" fontId="106" fillId="49" borderId="45" xfId="0" applyFont="1" applyFill="1" applyBorder="1" applyAlignment="1">
      <alignment horizontal="center" vertical="center" wrapText="1"/>
    </xf>
    <xf numFmtId="3" fontId="109" fillId="49" borderId="11" xfId="0" applyNumberFormat="1" applyFont="1" applyFill="1" applyBorder="1" applyAlignment="1">
      <alignment horizontal="center" vertical="center"/>
    </xf>
    <xf numFmtId="0" fontId="109" fillId="49" borderId="12" xfId="0" applyFont="1" applyFill="1" applyBorder="1" applyAlignment="1">
      <alignment horizontal="center" vertical="center"/>
    </xf>
    <xf numFmtId="0" fontId="109" fillId="49" borderId="45" xfId="0" applyFont="1" applyFill="1" applyBorder="1" applyAlignment="1">
      <alignment horizontal="center" vertical="center"/>
    </xf>
    <xf numFmtId="0" fontId="106" fillId="48" borderId="10" xfId="0" applyFont="1" applyFill="1" applyBorder="1" applyAlignment="1">
      <alignment horizontal="center" vertical="center"/>
    </xf>
    <xf numFmtId="0" fontId="106" fillId="48" borderId="28" xfId="0" applyFont="1" applyFill="1" applyBorder="1" applyAlignment="1">
      <alignment horizontal="center" vertical="center"/>
    </xf>
    <xf numFmtId="0" fontId="106" fillId="48" borderId="11" xfId="0" applyFont="1" applyFill="1" applyBorder="1" applyAlignment="1">
      <alignment horizontal="left" vertical="center" wrapText="1"/>
    </xf>
    <xf numFmtId="0" fontId="106" fillId="48" borderId="45" xfId="0" applyFont="1" applyFill="1" applyBorder="1" applyAlignment="1">
      <alignment horizontal="left" vertical="center" wrapText="1"/>
    </xf>
    <xf numFmtId="3" fontId="109" fillId="48" borderId="11" xfId="0" applyNumberFormat="1" applyFont="1" applyFill="1" applyBorder="1" applyAlignment="1">
      <alignment horizontal="center" vertical="center"/>
    </xf>
    <xf numFmtId="0" fontId="109" fillId="48" borderId="45" xfId="0" applyFont="1" applyFill="1" applyBorder="1" applyAlignment="1">
      <alignment horizontal="center" vertical="center"/>
    </xf>
    <xf numFmtId="0" fontId="106" fillId="48" borderId="32" xfId="0" applyFont="1" applyFill="1" applyBorder="1" applyAlignment="1">
      <alignment horizontal="left" vertical="center" wrapText="1"/>
    </xf>
    <xf numFmtId="0" fontId="106" fillId="48" borderId="12" xfId="0" applyFont="1" applyFill="1" applyBorder="1" applyAlignment="1">
      <alignment horizontal="left" vertical="center" wrapText="1"/>
    </xf>
    <xf numFmtId="9" fontId="106" fillId="48" borderId="32" xfId="0" applyNumberFormat="1" applyFont="1" applyFill="1" applyBorder="1" applyAlignment="1">
      <alignment horizontal="center" vertical="center" wrapText="1"/>
    </xf>
    <xf numFmtId="0" fontId="106" fillId="48" borderId="12" xfId="0" applyFont="1" applyFill="1" applyBorder="1" applyAlignment="1">
      <alignment horizontal="center" vertical="center" wrapText="1"/>
    </xf>
    <xf numFmtId="0" fontId="106" fillId="48" borderId="45" xfId="0" applyFont="1" applyFill="1" applyBorder="1" applyAlignment="1">
      <alignment horizontal="center" vertical="center" wrapText="1"/>
    </xf>
    <xf numFmtId="0" fontId="106" fillId="49" borderId="11" xfId="0" applyFont="1" applyFill="1" applyBorder="1" applyAlignment="1">
      <alignment horizontal="center" wrapText="1"/>
    </xf>
    <xf numFmtId="0" fontId="106" fillId="49" borderId="12" xfId="0" applyFont="1" applyFill="1" applyBorder="1" applyAlignment="1">
      <alignment horizontal="center" wrapText="1"/>
    </xf>
    <xf numFmtId="0" fontId="106" fillId="49" borderId="45" xfId="0" applyFont="1" applyFill="1" applyBorder="1" applyAlignment="1">
      <alignment horizontal="center" wrapText="1"/>
    </xf>
    <xf numFmtId="0" fontId="109" fillId="48" borderId="11" xfId="0" applyFont="1" applyFill="1" applyBorder="1" applyAlignment="1">
      <alignment horizontal="center" vertical="center"/>
    </xf>
    <xf numFmtId="0" fontId="109" fillId="48" borderId="11" xfId="0" applyFont="1" applyFill="1" applyBorder="1" applyAlignment="1">
      <alignment horizontal="center"/>
    </xf>
    <xf numFmtId="0" fontId="109" fillId="48" borderId="45" xfId="0" applyFont="1" applyFill="1" applyBorder="1" applyAlignment="1">
      <alignment horizontal="center"/>
    </xf>
    <xf numFmtId="0" fontId="106" fillId="49" borderId="10" xfId="0" applyFont="1" applyFill="1" applyBorder="1" applyAlignment="1">
      <alignment horizontal="center" vertical="center" wrapText="1"/>
    </xf>
    <xf numFmtId="0" fontId="106" fillId="49" borderId="28" xfId="0" applyFont="1" applyFill="1" applyBorder="1" applyAlignment="1">
      <alignment horizontal="center" vertical="center" wrapText="1"/>
    </xf>
    <xf numFmtId="0" fontId="109" fillId="48" borderId="11" xfId="0" applyFont="1" applyFill="1" applyBorder="1" applyAlignment="1">
      <alignment horizontal="center" vertical="center" wrapText="1"/>
    </xf>
    <xf numFmtId="0" fontId="109" fillId="48" borderId="45" xfId="0" applyFont="1" applyFill="1" applyBorder="1" applyAlignment="1">
      <alignment horizontal="center" vertical="center" wrapText="1"/>
    </xf>
    <xf numFmtId="0" fontId="106" fillId="49" borderId="15" xfId="0" applyFont="1" applyFill="1" applyBorder="1" applyAlignment="1">
      <alignment horizontal="left" vertical="center" wrapText="1"/>
    </xf>
    <xf numFmtId="0" fontId="106" fillId="49" borderId="15" xfId="0" applyFont="1" applyFill="1" applyBorder="1" applyAlignment="1">
      <alignment horizontal="center" vertical="center" wrapText="1"/>
    </xf>
    <xf numFmtId="0" fontId="109" fillId="49" borderId="15" xfId="0" applyFont="1" applyFill="1" applyBorder="1" applyAlignment="1">
      <alignment horizontal="center"/>
    </xf>
    <xf numFmtId="0" fontId="109" fillId="49" borderId="15" xfId="0" applyFont="1" applyFill="1" applyBorder="1" applyAlignment="1">
      <alignment horizontal="center" vertical="center"/>
    </xf>
    <xf numFmtId="0" fontId="106" fillId="48" borderId="29" xfId="0" applyFont="1" applyFill="1" applyBorder="1" applyAlignment="1">
      <alignment horizontal="center" wrapText="1"/>
    </xf>
    <xf numFmtId="0" fontId="106" fillId="48" borderId="10" xfId="0" applyFont="1" applyFill="1" applyBorder="1" applyAlignment="1">
      <alignment horizontal="center" wrapText="1"/>
    </xf>
    <xf numFmtId="0" fontId="106" fillId="48" borderId="28" xfId="0" applyFont="1" applyFill="1" applyBorder="1" applyAlignment="1">
      <alignment horizontal="center" wrapText="1"/>
    </xf>
    <xf numFmtId="9" fontId="106" fillId="48" borderId="11" xfId="0" applyNumberFormat="1" applyFont="1" applyFill="1" applyBorder="1" applyAlignment="1">
      <alignment horizontal="center" vertical="center" wrapText="1"/>
    </xf>
    <xf numFmtId="0" fontId="106" fillId="34" borderId="10" xfId="0" applyFont="1" applyFill="1" applyBorder="1" applyAlignment="1">
      <alignment horizontal="left" vertical="center" wrapText="1"/>
    </xf>
    <xf numFmtId="0" fontId="106" fillId="34" borderId="28" xfId="0" applyFont="1" applyFill="1" applyBorder="1" applyAlignment="1">
      <alignment horizontal="left" vertical="center" wrapText="1"/>
    </xf>
    <xf numFmtId="9" fontId="106" fillId="6" borderId="11" xfId="0" applyNumberFormat="1" applyFont="1" applyFill="1" applyBorder="1" applyAlignment="1">
      <alignment horizontal="center" vertical="center"/>
    </xf>
    <xf numFmtId="0" fontId="106" fillId="6" borderId="12" xfId="0" applyFont="1" applyFill="1" applyBorder="1" applyAlignment="1">
      <alignment horizontal="center" vertical="center"/>
    </xf>
    <xf numFmtId="0" fontId="106" fillId="6" borderId="45" xfId="0" applyFont="1" applyFill="1" applyBorder="1" applyAlignment="1">
      <alignment horizontal="center" vertical="center"/>
    </xf>
    <xf numFmtId="0" fontId="106" fillId="6" borderId="10" xfId="0" applyFont="1" applyFill="1" applyBorder="1" applyAlignment="1">
      <alignment horizontal="center"/>
    </xf>
    <xf numFmtId="0" fontId="106" fillId="6" borderId="28" xfId="0" applyFont="1" applyFill="1" applyBorder="1" applyAlignment="1">
      <alignment horizontal="center"/>
    </xf>
    <xf numFmtId="0" fontId="109" fillId="6" borderId="32" xfId="0" applyFont="1" applyFill="1" applyBorder="1" applyAlignment="1">
      <alignment horizontal="center" vertical="center" wrapText="1"/>
    </xf>
    <xf numFmtId="0" fontId="109" fillId="6" borderId="12" xfId="0" applyFont="1" applyFill="1" applyBorder="1" applyAlignment="1">
      <alignment horizontal="center" vertical="center" wrapText="1"/>
    </xf>
    <xf numFmtId="0" fontId="109" fillId="6" borderId="45" xfId="0" applyFont="1" applyFill="1" applyBorder="1" applyAlignment="1">
      <alignment horizontal="center" vertical="center" wrapText="1"/>
    </xf>
    <xf numFmtId="0" fontId="106" fillId="0" borderId="32" xfId="0" applyFont="1" applyBorder="1" applyAlignment="1">
      <alignment horizontal="center" vertical="center" wrapText="1"/>
    </xf>
    <xf numFmtId="9" fontId="106" fillId="47" borderId="32" xfId="0" applyNumberFormat="1" applyFont="1" applyFill="1" applyBorder="1" applyAlignment="1">
      <alignment horizontal="center" vertical="center" wrapText="1"/>
    </xf>
    <xf numFmtId="0" fontId="106" fillId="47" borderId="12" xfId="0" applyFont="1" applyFill="1" applyBorder="1" applyAlignment="1">
      <alignment horizontal="center" vertical="center" wrapText="1"/>
    </xf>
    <xf numFmtId="0" fontId="106" fillId="47" borderId="32" xfId="0" applyFont="1" applyFill="1" applyBorder="1" applyAlignment="1">
      <alignment horizontal="center" vertical="center" wrapText="1"/>
    </xf>
    <xf numFmtId="0" fontId="106" fillId="47" borderId="15" xfId="0" applyFont="1" applyFill="1" applyBorder="1" applyAlignment="1">
      <alignment horizontal="center" vertical="center" wrapText="1"/>
    </xf>
    <xf numFmtId="9" fontId="106" fillId="47" borderId="32" xfId="0" applyNumberFormat="1" applyFont="1" applyFill="1" applyBorder="1" applyAlignment="1">
      <alignment horizontal="center" vertical="center"/>
    </xf>
    <xf numFmtId="0" fontId="106" fillId="47" borderId="15" xfId="0" applyFont="1" applyFill="1" applyBorder="1" applyAlignment="1">
      <alignment horizontal="center" vertical="center"/>
    </xf>
    <xf numFmtId="3" fontId="109" fillId="47" borderId="29" xfId="0" applyNumberFormat="1" applyFont="1" applyFill="1" applyBorder="1" applyAlignment="1">
      <alignment horizontal="center" vertical="center"/>
    </xf>
    <xf numFmtId="3" fontId="109" fillId="47" borderId="10" xfId="0" applyNumberFormat="1" applyFont="1" applyFill="1" applyBorder="1" applyAlignment="1">
      <alignment horizontal="center" vertical="center"/>
    </xf>
    <xf numFmtId="3" fontId="109" fillId="47" borderId="11" xfId="0" applyNumberFormat="1" applyFont="1" applyFill="1" applyBorder="1" applyAlignment="1">
      <alignment horizontal="center" vertical="center"/>
    </xf>
    <xf numFmtId="3" fontId="109" fillId="47" borderId="12" xfId="0" applyNumberFormat="1" applyFont="1" applyFill="1" applyBorder="1" applyAlignment="1">
      <alignment horizontal="center" vertical="center"/>
    </xf>
    <xf numFmtId="0" fontId="106" fillId="47" borderId="11" xfId="0" applyFont="1" applyFill="1" applyBorder="1" applyAlignment="1">
      <alignment horizontal="center" vertical="top"/>
    </xf>
    <xf numFmtId="0" fontId="106" fillId="47" borderId="12" xfId="0" applyFont="1" applyFill="1" applyBorder="1" applyAlignment="1">
      <alignment horizontal="center" vertical="top"/>
    </xf>
    <xf numFmtId="0" fontId="106" fillId="47" borderId="45" xfId="0" applyFont="1" applyFill="1" applyBorder="1" applyAlignment="1">
      <alignment horizontal="center" vertical="top"/>
    </xf>
    <xf numFmtId="0" fontId="106" fillId="47" borderId="11" xfId="0" applyFont="1" applyFill="1" applyBorder="1" applyAlignment="1">
      <alignment horizontal="left" vertical="top" wrapText="1"/>
    </xf>
    <xf numFmtId="0" fontId="106" fillId="47" borderId="12" xfId="0" applyFont="1" applyFill="1" applyBorder="1" applyAlignment="1">
      <alignment horizontal="left" vertical="top" wrapText="1"/>
    </xf>
    <xf numFmtId="0" fontId="106" fillId="47" borderId="45" xfId="0" applyFont="1" applyFill="1" applyBorder="1" applyAlignment="1">
      <alignment horizontal="left" vertical="top" wrapText="1"/>
    </xf>
    <xf numFmtId="0" fontId="109" fillId="47" borderId="11" xfId="0" applyFont="1" applyFill="1" applyBorder="1" applyAlignment="1">
      <alignment horizontal="center" vertical="top" wrapText="1"/>
    </xf>
    <xf numFmtId="0" fontId="109" fillId="47" borderId="12" xfId="0" applyFont="1" applyFill="1" applyBorder="1" applyAlignment="1">
      <alignment horizontal="center" vertical="top" wrapText="1"/>
    </xf>
    <xf numFmtId="0" fontId="109" fillId="47" borderId="45" xfId="0" applyFont="1" applyFill="1" applyBorder="1" applyAlignment="1">
      <alignment horizontal="center" vertical="top" wrapText="1"/>
    </xf>
    <xf numFmtId="0" fontId="109" fillId="47" borderId="11" xfId="0" applyFont="1" applyFill="1" applyBorder="1" applyAlignment="1">
      <alignment horizontal="center" vertical="top"/>
    </xf>
    <xf numFmtId="0" fontId="109" fillId="47" borderId="12" xfId="0" applyFont="1" applyFill="1" applyBorder="1" applyAlignment="1">
      <alignment horizontal="center" vertical="top"/>
    </xf>
    <xf numFmtId="0" fontId="109" fillId="47" borderId="45" xfId="0" applyFont="1" applyFill="1" applyBorder="1" applyAlignment="1">
      <alignment horizontal="center" vertical="top"/>
    </xf>
    <xf numFmtId="0" fontId="109" fillId="47" borderId="10" xfId="0" applyFont="1" applyFill="1" applyBorder="1" applyAlignment="1">
      <alignment horizontal="center" vertical="center"/>
    </xf>
    <xf numFmtId="0" fontId="109" fillId="47" borderId="32" xfId="0" applyFont="1" applyFill="1" applyBorder="1" applyAlignment="1">
      <alignment horizontal="center" vertical="center" wrapText="1"/>
    </xf>
    <xf numFmtId="0" fontId="109" fillId="47" borderId="12" xfId="0" applyFont="1" applyFill="1" applyBorder="1" applyAlignment="1">
      <alignment horizontal="center" vertical="center" wrapText="1"/>
    </xf>
    <xf numFmtId="0" fontId="106" fillId="47" borderId="11" xfId="0" applyFont="1" applyFill="1" applyBorder="1" applyAlignment="1">
      <alignment horizontal="left" vertical="center" wrapText="1"/>
    </xf>
    <xf numFmtId="0" fontId="106" fillId="47" borderId="12" xfId="0" applyFont="1" applyFill="1" applyBorder="1" applyAlignment="1">
      <alignment horizontal="left" vertical="center" wrapText="1"/>
    </xf>
    <xf numFmtId="9" fontId="106" fillId="47" borderId="11" xfId="0" applyNumberFormat="1" applyFont="1" applyFill="1" applyBorder="1" applyAlignment="1">
      <alignment horizontal="center" vertical="center"/>
    </xf>
    <xf numFmtId="0" fontId="106" fillId="47" borderId="12" xfId="0" applyFont="1" applyFill="1" applyBorder="1" applyAlignment="1">
      <alignment horizontal="center" vertical="center"/>
    </xf>
    <xf numFmtId="0" fontId="109" fillId="46" borderId="32" xfId="0" applyFont="1" applyFill="1" applyBorder="1" applyAlignment="1">
      <alignment horizontal="center"/>
    </xf>
    <xf numFmtId="0" fontId="109" fillId="46" borderId="12" xfId="0" applyFont="1" applyFill="1" applyBorder="1" applyAlignment="1">
      <alignment horizontal="center"/>
    </xf>
    <xf numFmtId="0" fontId="109" fillId="46" borderId="15" xfId="0" applyFont="1" applyFill="1" applyBorder="1" applyAlignment="1">
      <alignment horizontal="center"/>
    </xf>
    <xf numFmtId="0" fontId="106" fillId="46" borderId="11" xfId="0" applyFont="1" applyFill="1" applyBorder="1" applyAlignment="1">
      <alignment horizontal="left" vertical="center" wrapText="1"/>
    </xf>
    <xf numFmtId="0" fontId="106" fillId="46" borderId="12" xfId="0" applyFont="1" applyFill="1" applyBorder="1" applyAlignment="1">
      <alignment horizontal="left" vertical="center" wrapText="1"/>
    </xf>
    <xf numFmtId="0" fontId="106" fillId="46" borderId="45" xfId="0" applyFont="1" applyFill="1" applyBorder="1" applyAlignment="1">
      <alignment horizontal="left" vertical="center" wrapText="1"/>
    </xf>
    <xf numFmtId="0" fontId="106" fillId="46" borderId="11" xfId="0" applyFont="1" applyFill="1" applyBorder="1" applyAlignment="1">
      <alignment horizontal="center" vertical="center" wrapText="1"/>
    </xf>
    <xf numFmtId="0" fontId="106" fillId="46" borderId="12" xfId="0" applyFont="1" applyFill="1" applyBorder="1" applyAlignment="1">
      <alignment horizontal="center" vertical="center" wrapText="1"/>
    </xf>
    <xf numFmtId="0" fontId="106" fillId="46" borderId="45" xfId="0" applyFont="1" applyFill="1" applyBorder="1" applyAlignment="1">
      <alignment horizontal="center" vertical="center" wrapText="1"/>
    </xf>
    <xf numFmtId="9" fontId="106" fillId="46" borderId="11" xfId="0" applyNumberFormat="1" applyFont="1" applyFill="1" applyBorder="1" applyAlignment="1">
      <alignment horizontal="center" vertical="center" wrapText="1"/>
    </xf>
    <xf numFmtId="0" fontId="109" fillId="46" borderId="11" xfId="0" applyFont="1" applyFill="1" applyBorder="1" applyAlignment="1">
      <alignment horizontal="center"/>
    </xf>
    <xf numFmtId="0" fontId="109" fillId="46" borderId="45" xfId="0" applyFont="1" applyFill="1" applyBorder="1" applyAlignment="1">
      <alignment horizontal="center"/>
    </xf>
    <xf numFmtId="3" fontId="109" fillId="46" borderId="11" xfId="0" applyNumberFormat="1" applyFont="1" applyFill="1" applyBorder="1" applyAlignment="1">
      <alignment horizontal="center" vertical="center"/>
    </xf>
    <xf numFmtId="0" fontId="109" fillId="46" borderId="12" xfId="0" applyFont="1" applyFill="1" applyBorder="1" applyAlignment="1">
      <alignment horizontal="center" vertical="center"/>
    </xf>
    <xf numFmtId="0" fontId="109" fillId="46" borderId="45" xfId="0" applyFont="1" applyFill="1" applyBorder="1" applyAlignment="1">
      <alignment horizontal="center" vertical="center"/>
    </xf>
    <xf numFmtId="0" fontId="106" fillId="46" borderId="32" xfId="0" applyFont="1" applyFill="1" applyBorder="1" applyAlignment="1">
      <alignment horizontal="left" vertical="center" wrapText="1"/>
    </xf>
    <xf numFmtId="0" fontId="106" fillId="46" borderId="15" xfId="0" applyFont="1" applyFill="1" applyBorder="1" applyAlignment="1">
      <alignment horizontal="left" vertical="center" wrapText="1"/>
    </xf>
    <xf numFmtId="3" fontId="109" fillId="46" borderId="32" xfId="0" applyNumberFormat="1" applyFont="1" applyFill="1" applyBorder="1" applyAlignment="1">
      <alignment horizontal="center" vertical="center"/>
    </xf>
    <xf numFmtId="0" fontId="109" fillId="46" borderId="15" xfId="0" applyFont="1" applyFill="1" applyBorder="1" applyAlignment="1">
      <alignment horizontal="center" vertical="center"/>
    </xf>
    <xf numFmtId="0" fontId="106" fillId="18" borderId="11" xfId="0" applyFont="1" applyFill="1" applyBorder="1" applyAlignment="1">
      <alignment horizontal="center" wrapText="1"/>
    </xf>
    <xf numFmtId="0" fontId="106" fillId="18" borderId="12" xfId="0" applyFont="1" applyFill="1" applyBorder="1" applyAlignment="1">
      <alignment horizontal="center" wrapText="1"/>
    </xf>
    <xf numFmtId="0" fontId="106" fillId="18" borderId="45" xfId="0" applyFont="1" applyFill="1" applyBorder="1" applyAlignment="1">
      <alignment horizontal="center" wrapText="1"/>
    </xf>
    <xf numFmtId="0" fontId="106" fillId="18" borderId="11" xfId="0" applyFont="1" applyFill="1" applyBorder="1" applyAlignment="1">
      <alignment horizontal="center" vertical="center" wrapText="1"/>
    </xf>
    <xf numFmtId="0" fontId="106" fillId="18" borderId="12" xfId="0" applyFont="1" applyFill="1" applyBorder="1" applyAlignment="1">
      <alignment horizontal="center" vertical="center" wrapText="1"/>
    </xf>
    <xf numFmtId="0" fontId="106" fillId="18" borderId="45" xfId="0" applyFont="1" applyFill="1" applyBorder="1" applyAlignment="1">
      <alignment horizontal="center" vertical="center" wrapText="1"/>
    </xf>
    <xf numFmtId="9" fontId="106" fillId="18" borderId="11" xfId="52" applyFont="1" applyFill="1" applyBorder="1" applyAlignment="1">
      <alignment horizontal="center" vertical="center" wrapText="1"/>
    </xf>
    <xf numFmtId="9" fontId="106" fillId="18" borderId="12" xfId="52" applyFont="1" applyFill="1" applyBorder="1" applyAlignment="1">
      <alignment horizontal="center" vertical="center" wrapText="1"/>
    </xf>
    <xf numFmtId="9" fontId="106" fillId="18" borderId="45" xfId="52" applyFont="1" applyFill="1" applyBorder="1" applyAlignment="1">
      <alignment horizontal="center" vertical="center" wrapText="1"/>
    </xf>
    <xf numFmtId="0" fontId="109" fillId="18" borderId="11" xfId="0" applyFont="1" applyFill="1" applyBorder="1" applyAlignment="1">
      <alignment horizontal="center"/>
    </xf>
    <xf numFmtId="0" fontId="109" fillId="18" borderId="12" xfId="0" applyFont="1" applyFill="1" applyBorder="1" applyAlignment="1">
      <alignment horizontal="center"/>
    </xf>
    <xf numFmtId="0" fontId="109" fillId="18" borderId="45" xfId="0" applyFont="1" applyFill="1" applyBorder="1" applyAlignment="1">
      <alignment horizontal="center"/>
    </xf>
    <xf numFmtId="3" fontId="109" fillId="18" borderId="11" xfId="0" applyNumberFormat="1" applyFont="1" applyFill="1" applyBorder="1" applyAlignment="1">
      <alignment horizontal="center" vertical="center"/>
    </xf>
    <xf numFmtId="0" fontId="109" fillId="18" borderId="12" xfId="0" applyFont="1" applyFill="1" applyBorder="1" applyAlignment="1">
      <alignment horizontal="center" vertical="center"/>
    </xf>
    <xf numFmtId="0" fontId="109" fillId="18" borderId="45" xfId="0" applyFont="1" applyFill="1" applyBorder="1" applyAlignment="1">
      <alignment horizontal="center" vertical="center"/>
    </xf>
    <xf numFmtId="0" fontId="106" fillId="46" borderId="32" xfId="0" applyFont="1" applyFill="1" applyBorder="1" applyAlignment="1">
      <alignment horizontal="center" wrapText="1"/>
    </xf>
    <xf numFmtId="0" fontId="106" fillId="46" borderId="12" xfId="0" applyFont="1" applyFill="1" applyBorder="1" applyAlignment="1">
      <alignment horizontal="center" wrapText="1"/>
    </xf>
    <xf numFmtId="9" fontId="106" fillId="46" borderId="32" xfId="0" applyNumberFormat="1" applyFont="1" applyFill="1" applyBorder="1" applyAlignment="1">
      <alignment horizontal="center" vertical="center" wrapText="1"/>
    </xf>
    <xf numFmtId="0" fontId="106" fillId="46" borderId="15" xfId="0" applyFont="1" applyFill="1" applyBorder="1" applyAlignment="1">
      <alignment horizontal="center" vertical="center" wrapText="1"/>
    </xf>
    <xf numFmtId="0" fontId="109" fillId="18" borderId="15" xfId="0" applyFont="1" applyFill="1" applyBorder="1" applyAlignment="1">
      <alignment horizontal="center" vertical="center"/>
    </xf>
    <xf numFmtId="0" fontId="106" fillId="18" borderId="11" xfId="0" applyFont="1" applyFill="1" applyBorder="1" applyAlignment="1">
      <alignment horizontal="left" vertical="center" wrapText="1"/>
    </xf>
    <xf numFmtId="0" fontId="106" fillId="18" borderId="12" xfId="0" applyFont="1" applyFill="1" applyBorder="1" applyAlignment="1">
      <alignment horizontal="left" vertical="center" wrapText="1"/>
    </xf>
    <xf numFmtId="9" fontId="106" fillId="18" borderId="15" xfId="52" applyFont="1" applyFill="1" applyBorder="1" applyAlignment="1">
      <alignment horizontal="center" vertical="center" wrapText="1"/>
    </xf>
    <xf numFmtId="3" fontId="109" fillId="18" borderId="10" xfId="0" applyNumberFormat="1" applyFont="1" applyFill="1" applyBorder="1" applyAlignment="1">
      <alignment horizontal="center" vertical="center"/>
    </xf>
    <xf numFmtId="0" fontId="109" fillId="18" borderId="10" xfId="0" applyFont="1" applyFill="1" applyBorder="1" applyAlignment="1">
      <alignment horizontal="center" vertical="center"/>
    </xf>
    <xf numFmtId="0" fontId="109" fillId="18" borderId="12" xfId="0" applyFont="1" applyFill="1" applyBorder="1" applyAlignment="1">
      <alignment horizontal="center" vertical="center" wrapText="1"/>
    </xf>
    <xf numFmtId="0" fontId="109" fillId="18" borderId="45" xfId="0" applyFont="1" applyFill="1" applyBorder="1" applyAlignment="1">
      <alignment horizontal="center" vertical="center" wrapText="1"/>
    </xf>
    <xf numFmtId="0" fontId="106" fillId="18" borderId="15" xfId="0" applyFont="1" applyFill="1" applyBorder="1" applyAlignment="1">
      <alignment horizontal="left" vertical="center" wrapText="1"/>
    </xf>
    <xf numFmtId="9" fontId="106" fillId="18" borderId="11" xfId="52" applyFont="1" applyFill="1" applyBorder="1" applyAlignment="1">
      <alignment horizontal="center" wrapText="1"/>
    </xf>
    <xf numFmtId="9" fontId="106" fillId="18" borderId="15" xfId="52" applyFont="1" applyFill="1" applyBorder="1" applyAlignment="1">
      <alignment horizontal="center" wrapText="1"/>
    </xf>
    <xf numFmtId="3" fontId="40" fillId="18" borderId="11" xfId="0" applyNumberFormat="1" applyFont="1" applyFill="1" applyBorder="1" applyAlignment="1">
      <alignment horizontal="center" vertical="center"/>
    </xf>
    <xf numFmtId="0" fontId="40" fillId="18" borderId="15" xfId="0" applyFont="1" applyFill="1" applyBorder="1" applyAlignment="1">
      <alignment horizontal="center" vertical="center"/>
    </xf>
    <xf numFmtId="0" fontId="109" fillId="44" borderId="12" xfId="0" applyFont="1" applyFill="1" applyBorder="1" applyAlignment="1">
      <alignment horizontal="center" vertical="center"/>
    </xf>
    <xf numFmtId="0" fontId="109" fillId="44" borderId="15" xfId="0" applyFont="1" applyFill="1" applyBorder="1" applyAlignment="1">
      <alignment horizontal="center" vertical="center"/>
    </xf>
    <xf numFmtId="3" fontId="109" fillId="45" borderId="12" xfId="0" applyNumberFormat="1" applyFont="1" applyFill="1" applyBorder="1" applyAlignment="1">
      <alignment horizontal="center" vertical="center"/>
    </xf>
    <xf numFmtId="0" fontId="109" fillId="45" borderId="12" xfId="0" applyFont="1" applyFill="1" applyBorder="1" applyAlignment="1">
      <alignment horizontal="center" vertical="center"/>
    </xf>
    <xf numFmtId="3" fontId="109" fillId="44" borderId="11" xfId="0" applyNumberFormat="1" applyFont="1" applyFill="1" applyBorder="1" applyAlignment="1">
      <alignment horizontal="center" vertical="center"/>
    </xf>
    <xf numFmtId="0" fontId="109" fillId="44" borderId="45" xfId="0" applyFont="1" applyFill="1" applyBorder="1" applyAlignment="1">
      <alignment horizontal="center" vertical="center"/>
    </xf>
    <xf numFmtId="0" fontId="109" fillId="44" borderId="11" xfId="0" applyFont="1" applyFill="1" applyBorder="1" applyAlignment="1">
      <alignment horizontal="center" vertical="center"/>
    </xf>
    <xf numFmtId="0" fontId="106" fillId="45" borderId="15" xfId="0" applyFont="1" applyFill="1" applyBorder="1" applyAlignment="1">
      <alignment horizontal="center" vertical="center" wrapText="1"/>
    </xf>
    <xf numFmtId="0" fontId="106" fillId="45" borderId="10" xfId="0" applyFont="1" applyFill="1" applyBorder="1" applyAlignment="1">
      <alignment horizontal="center" vertical="center" wrapText="1"/>
    </xf>
    <xf numFmtId="0" fontId="106" fillId="45" borderId="28" xfId="0" applyFont="1" applyFill="1" applyBorder="1" applyAlignment="1">
      <alignment horizontal="center" vertical="center" wrapText="1"/>
    </xf>
    <xf numFmtId="9" fontId="106" fillId="45" borderId="12" xfId="0" applyNumberFormat="1" applyFont="1" applyFill="1" applyBorder="1" applyAlignment="1">
      <alignment horizontal="center" vertical="center" wrapText="1"/>
    </xf>
    <xf numFmtId="9" fontId="106" fillId="45" borderId="45" xfId="0" applyNumberFormat="1" applyFont="1" applyFill="1" applyBorder="1" applyAlignment="1">
      <alignment horizontal="center" vertical="center" wrapText="1"/>
    </xf>
    <xf numFmtId="0" fontId="106" fillId="45" borderId="12" xfId="0" applyFont="1" applyFill="1" applyBorder="1" applyAlignment="1">
      <alignment horizontal="center" wrapText="1"/>
    </xf>
    <xf numFmtId="0" fontId="106" fillId="45" borderId="12" xfId="0" applyFont="1" applyFill="1" applyBorder="1" applyAlignment="1">
      <alignment horizontal="center" vertical="top" wrapText="1"/>
    </xf>
    <xf numFmtId="0" fontId="106" fillId="45" borderId="12" xfId="0" applyFont="1" applyFill="1" applyBorder="1" applyAlignment="1">
      <alignment horizontal="center" vertical="center" wrapText="1"/>
    </xf>
    <xf numFmtId="3" fontId="109" fillId="45" borderId="11" xfId="0" applyNumberFormat="1" applyFont="1" applyFill="1" applyBorder="1" applyAlignment="1">
      <alignment horizontal="center" vertical="center"/>
    </xf>
    <xf numFmtId="0" fontId="109" fillId="45" borderId="15" xfId="0" applyFont="1" applyFill="1" applyBorder="1" applyAlignment="1">
      <alignment horizontal="center" vertical="center"/>
    </xf>
    <xf numFmtId="0" fontId="109" fillId="45" borderId="11" xfId="0" applyFont="1" applyFill="1" applyBorder="1" applyAlignment="1">
      <alignment horizontal="center" vertical="center" wrapText="1"/>
    </xf>
    <xf numFmtId="0" fontId="109" fillId="45" borderId="12" xfId="0" applyFont="1" applyFill="1" applyBorder="1" applyAlignment="1">
      <alignment horizontal="center" vertical="center" wrapText="1"/>
    </xf>
    <xf numFmtId="0" fontId="109" fillId="45" borderId="15" xfId="0" applyFont="1" applyFill="1" applyBorder="1" applyAlignment="1">
      <alignment horizontal="center" vertical="center" wrapText="1"/>
    </xf>
    <xf numFmtId="0" fontId="106" fillId="45" borderId="11" xfId="0" applyFont="1" applyFill="1" applyBorder="1" applyAlignment="1">
      <alignment horizontal="center" vertical="center" wrapText="1"/>
    </xf>
    <xf numFmtId="0" fontId="106" fillId="45" borderId="45" xfId="0" applyFont="1" applyFill="1" applyBorder="1" applyAlignment="1">
      <alignment horizontal="center" vertical="center" wrapText="1"/>
    </xf>
    <xf numFmtId="0" fontId="109" fillId="45" borderId="45" xfId="0" applyFont="1" applyFill="1" applyBorder="1" applyAlignment="1">
      <alignment horizontal="center" vertical="center"/>
    </xf>
    <xf numFmtId="0" fontId="109" fillId="45" borderId="45" xfId="0" applyFont="1" applyFill="1" applyBorder="1" applyAlignment="1">
      <alignment horizontal="center" vertical="center" wrapText="1"/>
    </xf>
    <xf numFmtId="9" fontId="106" fillId="45" borderId="11" xfId="0" applyNumberFormat="1" applyFont="1" applyFill="1" applyBorder="1" applyAlignment="1">
      <alignment horizontal="center" vertical="center" wrapText="1"/>
    </xf>
    <xf numFmtId="0" fontId="106" fillId="45" borderId="11" xfId="0" applyFont="1" applyFill="1" applyBorder="1" applyAlignment="1">
      <alignment horizontal="center" wrapText="1"/>
    </xf>
    <xf numFmtId="0" fontId="106" fillId="45" borderId="45" xfId="0" applyFont="1" applyFill="1" applyBorder="1" applyAlignment="1">
      <alignment horizontal="center" wrapText="1"/>
    </xf>
    <xf numFmtId="3" fontId="109" fillId="3" borderId="11" xfId="0" applyNumberFormat="1" applyFont="1" applyFill="1" applyBorder="1" applyAlignment="1">
      <alignment horizontal="center" vertical="center"/>
    </xf>
    <xf numFmtId="0" fontId="109" fillId="3" borderId="12" xfId="0" applyFont="1" applyFill="1" applyBorder="1" applyAlignment="1">
      <alignment horizontal="center" vertical="center"/>
    </xf>
    <xf numFmtId="0" fontId="109" fillId="3" borderId="45" xfId="0" applyFont="1" applyFill="1" applyBorder="1" applyAlignment="1">
      <alignment horizontal="center" vertical="center"/>
    </xf>
    <xf numFmtId="0" fontId="109" fillId="3" borderId="11" xfId="0" applyFont="1" applyFill="1" applyBorder="1" applyAlignment="1">
      <alignment horizontal="center" vertical="center" wrapText="1"/>
    </xf>
    <xf numFmtId="0" fontId="109" fillId="3" borderId="12" xfId="0" applyFont="1" applyFill="1" applyBorder="1" applyAlignment="1">
      <alignment horizontal="center" vertical="center" wrapText="1"/>
    </xf>
    <xf numFmtId="0" fontId="109" fillId="3" borderId="45" xfId="0" applyFont="1" applyFill="1" applyBorder="1" applyAlignment="1">
      <alignment horizontal="center" vertical="center" wrapText="1"/>
    </xf>
    <xf numFmtId="9" fontId="106" fillId="3" borderId="11" xfId="0" applyNumberFormat="1" applyFont="1" applyFill="1" applyBorder="1" applyAlignment="1">
      <alignment horizontal="center" vertical="center" wrapText="1"/>
    </xf>
    <xf numFmtId="9" fontId="106" fillId="3" borderId="12" xfId="0" applyNumberFormat="1" applyFont="1" applyFill="1" applyBorder="1" applyAlignment="1">
      <alignment horizontal="center" vertical="center" wrapText="1"/>
    </xf>
    <xf numFmtId="9" fontId="106" fillId="3" borderId="45" xfId="0" applyNumberFormat="1" applyFont="1" applyFill="1" applyBorder="1" applyAlignment="1">
      <alignment horizontal="center" vertical="center" wrapText="1"/>
    </xf>
    <xf numFmtId="0" fontId="106" fillId="45" borderId="11" xfId="0" applyFont="1" applyFill="1" applyBorder="1" applyAlignment="1">
      <alignment horizontal="left" vertical="center" wrapText="1"/>
    </xf>
    <xf numFmtId="0" fontId="106" fillId="45" borderId="12" xfId="0" applyFont="1" applyFill="1" applyBorder="1" applyAlignment="1">
      <alignment horizontal="left" vertical="center" wrapText="1"/>
    </xf>
    <xf numFmtId="0" fontId="106" fillId="45" borderId="45" xfId="0" applyFont="1" applyFill="1" applyBorder="1" applyAlignment="1">
      <alignment horizontal="left" vertical="center" wrapText="1"/>
    </xf>
    <xf numFmtId="0" fontId="106" fillId="3" borderId="11" xfId="0" applyFont="1" applyFill="1" applyBorder="1" applyAlignment="1">
      <alignment horizontal="left" vertical="center" wrapText="1"/>
    </xf>
    <xf numFmtId="0" fontId="106" fillId="3" borderId="12" xfId="0" applyFont="1" applyFill="1" applyBorder="1" applyAlignment="1">
      <alignment horizontal="left" vertical="center" wrapText="1"/>
    </xf>
    <xf numFmtId="0" fontId="106" fillId="3" borderId="45" xfId="0" applyFont="1" applyFill="1" applyBorder="1" applyAlignment="1">
      <alignment horizontal="left" vertical="center" wrapText="1"/>
    </xf>
    <xf numFmtId="0" fontId="106" fillId="44" borderId="11" xfId="0" applyFont="1" applyFill="1" applyBorder="1" applyAlignment="1">
      <alignment horizontal="center" vertical="center" wrapText="1"/>
    </xf>
    <xf numFmtId="0" fontId="106" fillId="44" borderId="12" xfId="0" applyFont="1" applyFill="1" applyBorder="1" applyAlignment="1">
      <alignment horizontal="center" vertical="center" wrapText="1"/>
    </xf>
    <xf numFmtId="0" fontId="106" fillId="44" borderId="45" xfId="0" applyFont="1" applyFill="1" applyBorder="1" applyAlignment="1">
      <alignment horizontal="center" vertical="center" wrapText="1"/>
    </xf>
    <xf numFmtId="3" fontId="106" fillId="3" borderId="11" xfId="0" applyNumberFormat="1" applyFont="1" applyFill="1" applyBorder="1" applyAlignment="1">
      <alignment horizontal="center" vertical="center" wrapText="1"/>
    </xf>
    <xf numFmtId="3" fontId="106" fillId="3" borderId="12" xfId="0" applyNumberFormat="1" applyFont="1" applyFill="1" applyBorder="1" applyAlignment="1">
      <alignment horizontal="center" vertical="center" wrapText="1"/>
    </xf>
    <xf numFmtId="3" fontId="106" fillId="3" borderId="45" xfId="0" applyNumberFormat="1" applyFont="1" applyFill="1" applyBorder="1" applyAlignment="1">
      <alignment horizontal="center" vertical="center" wrapText="1"/>
    </xf>
    <xf numFmtId="9" fontId="106" fillId="44" borderId="11" xfId="0" applyNumberFormat="1" applyFont="1" applyFill="1" applyBorder="1" applyAlignment="1">
      <alignment horizontal="center" vertical="center" wrapText="1"/>
    </xf>
    <xf numFmtId="0" fontId="106" fillId="44" borderId="15" xfId="0" applyFont="1" applyFill="1" applyBorder="1" applyAlignment="1">
      <alignment horizontal="center" vertical="center" wrapText="1"/>
    </xf>
    <xf numFmtId="3" fontId="109" fillId="44" borderId="12" xfId="0" applyNumberFormat="1" applyFont="1" applyFill="1" applyBorder="1" applyAlignment="1">
      <alignment horizontal="center" vertical="center"/>
    </xf>
    <xf numFmtId="0" fontId="109" fillId="44" borderId="12" xfId="0" applyFont="1" applyFill="1" applyBorder="1" applyAlignment="1">
      <alignment vertical="center"/>
    </xf>
    <xf numFmtId="0" fontId="109" fillId="44" borderId="15" xfId="0" applyFont="1" applyFill="1" applyBorder="1" applyAlignment="1">
      <alignment vertical="center"/>
    </xf>
    <xf numFmtId="0" fontId="106" fillId="44" borderId="32" xfId="0" applyFont="1" applyFill="1" applyBorder="1" applyAlignment="1">
      <alignment horizontal="center" vertical="center" wrapText="1"/>
    </xf>
    <xf numFmtId="9" fontId="106" fillId="44" borderId="12" xfId="0" applyNumberFormat="1" applyFont="1" applyFill="1" applyBorder="1" applyAlignment="1">
      <alignment horizontal="center" vertical="center" wrapText="1"/>
    </xf>
    <xf numFmtId="9" fontId="106" fillId="44" borderId="45" xfId="0" applyNumberFormat="1" applyFont="1" applyFill="1" applyBorder="1" applyAlignment="1">
      <alignment horizontal="center" vertical="center" wrapText="1"/>
    </xf>
    <xf numFmtId="3" fontId="106" fillId="44" borderId="12" xfId="0" applyNumberFormat="1" applyFont="1" applyFill="1" applyBorder="1" applyAlignment="1">
      <alignment horizontal="center" wrapText="1"/>
    </xf>
    <xf numFmtId="3" fontId="106" fillId="44" borderId="45" xfId="0" applyNumberFormat="1" applyFont="1" applyFill="1" applyBorder="1" applyAlignment="1">
      <alignment horizontal="center" wrapText="1"/>
    </xf>
    <xf numFmtId="0" fontId="106" fillId="44" borderId="12" xfId="0" applyFont="1" applyFill="1" applyBorder="1" applyAlignment="1">
      <alignment horizontal="center" wrapText="1"/>
    </xf>
    <xf numFmtId="0" fontId="106" fillId="44" borderId="45" xfId="0" applyFont="1" applyFill="1" applyBorder="1" applyAlignment="1">
      <alignment horizontal="center" wrapText="1"/>
    </xf>
    <xf numFmtId="0" fontId="106" fillId="44" borderId="12" xfId="0" applyFont="1" applyFill="1" applyBorder="1" applyAlignment="1">
      <alignment horizontal="left" vertical="center" wrapText="1"/>
    </xf>
    <xf numFmtId="0" fontId="106" fillId="44" borderId="15" xfId="0" applyFont="1" applyFill="1" applyBorder="1" applyAlignment="1">
      <alignment horizontal="left" vertical="center" wrapText="1"/>
    </xf>
    <xf numFmtId="0" fontId="109" fillId="44" borderId="12" xfId="0" applyFont="1" applyFill="1" applyBorder="1" applyAlignment="1">
      <alignment horizontal="center" vertical="center" wrapText="1"/>
    </xf>
    <xf numFmtId="0" fontId="109" fillId="44" borderId="15" xfId="0" applyFont="1" applyFill="1" applyBorder="1" applyAlignment="1">
      <alignment horizontal="center" vertical="center" wrapText="1"/>
    </xf>
    <xf numFmtId="9" fontId="106" fillId="44" borderId="32" xfId="0" applyNumberFormat="1" applyFont="1" applyFill="1" applyBorder="1" applyAlignment="1">
      <alignment horizontal="center" vertical="center" wrapText="1"/>
    </xf>
    <xf numFmtId="0" fontId="108" fillId="44" borderId="12" xfId="0" applyFont="1" applyFill="1" applyBorder="1" applyAlignment="1">
      <alignment horizontal="left" vertical="center" wrapText="1"/>
    </xf>
    <xf numFmtId="0" fontId="108" fillId="44" borderId="15" xfId="0" applyFont="1" applyFill="1" applyBorder="1" applyAlignment="1">
      <alignment horizontal="left" vertical="center" wrapText="1"/>
    </xf>
    <xf numFmtId="0" fontId="109" fillId="44" borderId="45" xfId="0" applyFont="1" applyFill="1" applyBorder="1" applyAlignment="1">
      <alignment vertical="center"/>
    </xf>
    <xf numFmtId="0" fontId="141" fillId="34" borderId="11" xfId="0" applyFont="1" applyFill="1" applyBorder="1" applyAlignment="1">
      <alignment horizontal="left" vertical="center" wrapText="1"/>
    </xf>
    <xf numFmtId="0" fontId="141" fillId="34" borderId="12" xfId="0" applyFont="1" applyFill="1" applyBorder="1" applyAlignment="1">
      <alignment horizontal="left" vertical="center" wrapText="1"/>
    </xf>
    <xf numFmtId="0" fontId="141" fillId="34" borderId="15" xfId="0" applyFont="1" applyFill="1" applyBorder="1" applyAlignment="1">
      <alignment horizontal="left" vertical="center" wrapText="1"/>
    </xf>
    <xf numFmtId="0" fontId="142" fillId="34" borderId="10" xfId="0" applyFont="1" applyFill="1" applyBorder="1" applyAlignment="1">
      <alignment horizontal="center" vertical="center" wrapText="1"/>
    </xf>
    <xf numFmtId="0" fontId="106" fillId="3" borderId="10" xfId="0" applyFont="1" applyFill="1" applyBorder="1" applyAlignment="1">
      <alignment horizontal="center" vertical="center" wrapText="1"/>
    </xf>
    <xf numFmtId="0" fontId="106" fillId="3" borderId="28" xfId="0" applyFont="1" applyFill="1" applyBorder="1" applyAlignment="1">
      <alignment horizontal="center" vertical="center" wrapText="1"/>
    </xf>
    <xf numFmtId="9" fontId="106" fillId="18" borderId="12" xfId="0" applyNumberFormat="1" applyFont="1" applyFill="1" applyBorder="1" applyAlignment="1">
      <alignment horizontal="center" vertical="center" wrapText="1"/>
    </xf>
    <xf numFmtId="9" fontId="106" fillId="18" borderId="45" xfId="0" applyNumberFormat="1" applyFont="1" applyFill="1" applyBorder="1" applyAlignment="1">
      <alignment horizontal="center" vertical="center" wrapText="1"/>
    </xf>
    <xf numFmtId="0" fontId="106" fillId="0" borderId="32" xfId="0" applyFont="1" applyBorder="1" applyAlignment="1">
      <alignment horizontal="left" vertical="center" wrapText="1"/>
    </xf>
    <xf numFmtId="0" fontId="106" fillId="0" borderId="12" xfId="0" applyFont="1" applyBorder="1" applyAlignment="1">
      <alignment horizontal="left" vertical="center" wrapText="1"/>
    </xf>
    <xf numFmtId="0" fontId="106" fillId="18" borderId="10" xfId="0" applyFont="1" applyFill="1" applyBorder="1" applyAlignment="1">
      <alignment horizontal="left" vertical="center" wrapText="1"/>
    </xf>
    <xf numFmtId="0" fontId="106" fillId="18" borderId="28" xfId="0" applyFont="1" applyFill="1" applyBorder="1" applyAlignment="1">
      <alignment horizontal="left" vertical="center" wrapText="1"/>
    </xf>
    <xf numFmtId="0" fontId="132" fillId="33" borderId="12" xfId="0" applyFont="1" applyFill="1" applyBorder="1" applyAlignment="1">
      <alignment horizontal="center" vertical="center" wrapText="1"/>
    </xf>
    <xf numFmtId="0" fontId="22" fillId="0" borderId="10" xfId="0" applyFont="1" applyBorder="1" applyAlignment="1">
      <alignment horizontal="center"/>
    </xf>
    <xf numFmtId="0" fontId="38" fillId="0" borderId="10" xfId="0" applyFont="1" applyBorder="1" applyAlignment="1">
      <alignment horizontal="center"/>
    </xf>
    <xf numFmtId="0" fontId="37" fillId="0" borderId="17" xfId="0" applyFont="1" applyBorder="1" applyAlignment="1">
      <alignment horizontal="center" vertical="center"/>
    </xf>
    <xf numFmtId="0" fontId="37" fillId="0" borderId="10" xfId="0" applyFont="1" applyBorder="1" applyAlignment="1">
      <alignment horizontal="center" vertical="center"/>
    </xf>
    <xf numFmtId="0" fontId="37" fillId="0" borderId="19" xfId="0" applyFont="1" applyBorder="1" applyAlignment="1">
      <alignment horizontal="center" vertical="center"/>
    </xf>
    <xf numFmtId="0" fontId="22" fillId="0" borderId="10" xfId="0" applyFont="1" applyBorder="1" applyAlignment="1">
      <alignment horizontal="center" vertical="center"/>
    </xf>
    <xf numFmtId="0" fontId="38" fillId="0" borderId="10" xfId="0" applyFont="1" applyBorder="1" applyAlignment="1">
      <alignment horizontal="center" vertical="center"/>
    </xf>
    <xf numFmtId="0" fontId="139" fillId="33" borderId="0" xfId="0" applyFont="1" applyFill="1" applyBorder="1" applyAlignment="1">
      <alignment horizontal="center" vertical="center"/>
    </xf>
    <xf numFmtId="0" fontId="132" fillId="33" borderId="26" xfId="0" applyFont="1" applyFill="1" applyBorder="1" applyAlignment="1">
      <alignment horizontal="center" vertical="center"/>
    </xf>
    <xf numFmtId="0" fontId="139" fillId="33" borderId="44" xfId="0" applyFont="1" applyFill="1" applyBorder="1" applyAlignment="1">
      <alignment horizontal="center" vertical="center" wrapText="1"/>
    </xf>
    <xf numFmtId="0" fontId="37" fillId="0" borderId="19" xfId="0" applyNumberFormat="1" applyFont="1" applyBorder="1" applyAlignment="1">
      <alignment vertical="center" wrapText="1"/>
    </xf>
    <xf numFmtId="0" fontId="143" fillId="0" borderId="22" xfId="0" applyFont="1" applyBorder="1" applyAlignment="1">
      <alignment vertical="center" wrapText="1"/>
    </xf>
    <xf numFmtId="0" fontId="143" fillId="0" borderId="13" xfId="0" applyFont="1" applyBorder="1" applyAlignment="1">
      <alignment vertical="center" wrapText="1"/>
    </xf>
    <xf numFmtId="0" fontId="143" fillId="0" borderId="14" xfId="0" applyFont="1" applyBorder="1" applyAlignment="1">
      <alignment vertical="center" wrapText="1"/>
    </xf>
    <xf numFmtId="0" fontId="0" fillId="0" borderId="2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27" xfId="0" applyBorder="1" applyAlignment="1">
      <alignment horizontal="center" vertical="top" wrapText="1"/>
    </xf>
    <xf numFmtId="0" fontId="0" fillId="0" borderId="24" xfId="0" applyBorder="1" applyAlignment="1">
      <alignment horizontal="center" vertical="top" wrapText="1"/>
    </xf>
    <xf numFmtId="0" fontId="0" fillId="0" borderId="18" xfId="0" applyBorder="1" applyAlignment="1">
      <alignment horizontal="center" vertical="top" wrapText="1"/>
    </xf>
    <xf numFmtId="0" fontId="37" fillId="0" borderId="22" xfId="0" applyFont="1" applyBorder="1" applyAlignment="1">
      <alignment vertical="center"/>
    </xf>
    <xf numFmtId="0" fontId="26" fillId="51" borderId="0" xfId="0" applyFont="1" applyFill="1" applyBorder="1" applyAlignment="1">
      <alignment horizontal="center" vertical="center" wrapText="1"/>
    </xf>
    <xf numFmtId="0" fontId="26" fillId="51" borderId="26" xfId="0" applyFont="1" applyFill="1" applyBorder="1" applyAlignment="1">
      <alignment horizontal="center" vertical="center" wrapText="1"/>
    </xf>
    <xf numFmtId="0" fontId="25" fillId="39" borderId="11" xfId="0" applyFont="1" applyFill="1" applyBorder="1" applyAlignment="1">
      <alignment horizontal="center" vertical="center" wrapText="1"/>
    </xf>
    <xf numFmtId="0" fontId="25" fillId="39" borderId="12" xfId="0" applyFont="1" applyFill="1" applyBorder="1" applyAlignment="1">
      <alignment horizontal="center" vertical="center" wrapText="1"/>
    </xf>
    <xf numFmtId="0" fontId="25" fillId="39" borderId="15" xfId="0" applyFont="1" applyFill="1" applyBorder="1" applyAlignment="1">
      <alignment horizontal="center" vertical="center" wrapText="1"/>
    </xf>
    <xf numFmtId="0" fontId="0" fillId="39" borderId="11" xfId="0" applyFill="1" applyBorder="1" applyAlignment="1">
      <alignment horizontal="center" vertical="center" wrapText="1"/>
    </xf>
    <xf numFmtId="0" fontId="0" fillId="39" borderId="12" xfId="0" applyFill="1" applyBorder="1" applyAlignment="1">
      <alignment horizontal="center" vertical="center" wrapText="1"/>
    </xf>
    <xf numFmtId="0" fontId="0" fillId="39" borderId="15" xfId="0" applyFill="1" applyBorder="1" applyAlignment="1">
      <alignment horizontal="center" vertical="center" wrapText="1"/>
    </xf>
    <xf numFmtId="0" fontId="108" fillId="0" borderId="11" xfId="0" applyFont="1" applyFill="1" applyBorder="1" applyAlignment="1">
      <alignment horizontal="center" vertical="center" wrapText="1"/>
    </xf>
    <xf numFmtId="0" fontId="108" fillId="0" borderId="12"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26" fillId="51" borderId="0" xfId="0" applyFont="1" applyFill="1" applyBorder="1" applyAlignment="1">
      <alignment horizontal="center" vertical="center"/>
    </xf>
    <xf numFmtId="0" fontId="26" fillId="51" borderId="24" xfId="0" applyFont="1" applyFill="1" applyBorder="1" applyAlignment="1">
      <alignment horizontal="center" vertical="center"/>
    </xf>
    <xf numFmtId="0" fontId="41" fillId="51" borderId="26" xfId="0" applyFont="1" applyFill="1" applyBorder="1" applyAlignment="1">
      <alignment horizontal="center" vertical="center"/>
    </xf>
    <xf numFmtId="0" fontId="41" fillId="51" borderId="25" xfId="0" applyFont="1" applyFill="1" applyBorder="1" applyAlignment="1">
      <alignment horizontal="center" vertical="center"/>
    </xf>
    <xf numFmtId="0" fontId="26" fillId="51" borderId="44" xfId="0" applyFont="1" applyFill="1" applyBorder="1" applyAlignment="1">
      <alignment horizontal="center" vertical="center" wrapText="1"/>
    </xf>
    <xf numFmtId="0" fontId="41" fillId="51" borderId="11" xfId="0" applyFont="1" applyFill="1" applyBorder="1" applyAlignment="1">
      <alignment horizontal="center" vertical="center" wrapText="1"/>
    </xf>
    <xf numFmtId="0" fontId="41" fillId="51" borderId="15" xfId="0" applyFont="1" applyFill="1" applyBorder="1" applyAlignment="1">
      <alignment horizontal="center" vertical="center" wrapText="1"/>
    </xf>
    <xf numFmtId="0" fontId="0" fillId="0" borderId="15" xfId="0" applyBorder="1" applyAlignment="1">
      <alignment horizontal="center" wrapText="1"/>
    </xf>
    <xf numFmtId="0" fontId="0" fillId="0" borderId="10" xfId="0" applyBorder="1" applyAlignment="1">
      <alignment horizontal="center" wrapText="1"/>
    </xf>
    <xf numFmtId="0" fontId="108" fillId="0" borderId="10" xfId="0" applyFont="1" applyFill="1" applyBorder="1" applyAlignment="1">
      <alignment horizontal="center" vertical="center" wrapText="1"/>
    </xf>
    <xf numFmtId="0" fontId="109" fillId="34" borderId="11" xfId="0" applyFont="1" applyFill="1" applyBorder="1" applyAlignment="1">
      <alignment horizontal="center" vertical="center" wrapText="1"/>
    </xf>
    <xf numFmtId="0" fontId="109" fillId="34" borderId="12" xfId="0" applyFont="1" applyFill="1" applyBorder="1" applyAlignment="1">
      <alignment horizontal="center" vertical="center" wrapText="1"/>
    </xf>
    <xf numFmtId="0" fontId="109" fillId="34" borderId="15" xfId="0" applyFont="1" applyFill="1" applyBorder="1" applyAlignment="1">
      <alignment horizontal="center" vertical="center" wrapText="1"/>
    </xf>
    <xf numFmtId="0" fontId="108" fillId="10" borderId="11" xfId="0" applyFont="1" applyFill="1" applyBorder="1" applyAlignment="1">
      <alignment horizontal="center" vertical="center" wrapText="1"/>
    </xf>
    <xf numFmtId="0" fontId="108" fillId="10" borderId="12" xfId="0" applyFont="1" applyFill="1" applyBorder="1" applyAlignment="1">
      <alignment horizontal="center" vertical="center" wrapText="1"/>
    </xf>
    <xf numFmtId="0" fontId="108" fillId="10" borderId="15" xfId="0" applyFont="1" applyFill="1" applyBorder="1" applyAlignment="1">
      <alignment horizontal="center" vertical="center" wrapText="1"/>
    </xf>
    <xf numFmtId="9" fontId="108" fillId="34" borderId="11" xfId="0" applyNumberFormat="1" applyFont="1" applyFill="1" applyBorder="1" applyAlignment="1">
      <alignment horizontal="center" vertical="center" wrapText="1"/>
    </xf>
    <xf numFmtId="9" fontId="108" fillId="34" borderId="12" xfId="0" applyNumberFormat="1" applyFont="1" applyFill="1" applyBorder="1" applyAlignment="1">
      <alignment horizontal="center" vertical="center" wrapText="1"/>
    </xf>
    <xf numFmtId="9" fontId="108" fillId="34" borderId="15" xfId="0" applyNumberFormat="1" applyFont="1" applyFill="1" applyBorder="1" applyAlignment="1">
      <alignment horizontal="center" vertical="center" wrapText="1"/>
    </xf>
    <xf numFmtId="0" fontId="108" fillId="0" borderId="11" xfId="0" applyFont="1" applyFill="1" applyBorder="1" applyAlignment="1">
      <alignment horizontal="center" wrapText="1"/>
    </xf>
    <xf numFmtId="0" fontId="108" fillId="0" borderId="12" xfId="0" applyFont="1" applyFill="1" applyBorder="1" applyAlignment="1">
      <alignment horizontal="center" wrapText="1"/>
    </xf>
    <xf numFmtId="0" fontId="108" fillId="0" borderId="15" xfId="0" applyFont="1" applyFill="1" applyBorder="1" applyAlignment="1">
      <alignment horizontal="center" wrapText="1"/>
    </xf>
    <xf numFmtId="1" fontId="109" fillId="3" borderId="11" xfId="0" applyNumberFormat="1" applyFont="1" applyFill="1" applyBorder="1" applyAlignment="1">
      <alignment horizontal="center" vertical="center"/>
    </xf>
    <xf numFmtId="1" fontId="109" fillId="3" borderId="12" xfId="0" applyNumberFormat="1" applyFont="1" applyFill="1" applyBorder="1" applyAlignment="1">
      <alignment horizontal="center" vertical="center"/>
    </xf>
    <xf numFmtId="1" fontId="109" fillId="3" borderId="15" xfId="0" applyNumberFormat="1" applyFont="1" applyFill="1" applyBorder="1" applyAlignment="1">
      <alignment horizontal="center" vertical="center"/>
    </xf>
    <xf numFmtId="1" fontId="109" fillId="34" borderId="11" xfId="0" applyNumberFormat="1" applyFont="1" applyFill="1" applyBorder="1" applyAlignment="1">
      <alignment horizontal="center" vertical="center"/>
    </xf>
    <xf numFmtId="1" fontId="109" fillId="34" borderId="12" xfId="0" applyNumberFormat="1" applyFont="1" applyFill="1" applyBorder="1" applyAlignment="1">
      <alignment horizontal="center" vertical="center"/>
    </xf>
    <xf numFmtId="1" fontId="109" fillId="34" borderId="15" xfId="0" applyNumberFormat="1" applyFont="1" applyFill="1" applyBorder="1" applyAlignment="1">
      <alignment horizontal="center" vertical="center"/>
    </xf>
    <xf numFmtId="0" fontId="3" fillId="0" borderId="10" xfId="0" applyFont="1" applyFill="1" applyBorder="1" applyAlignment="1">
      <alignment horizontal="center"/>
    </xf>
    <xf numFmtId="0" fontId="4" fillId="0" borderId="10" xfId="0" applyFont="1" applyFill="1" applyBorder="1" applyAlignment="1">
      <alignment horizontal="center" vertical="center"/>
    </xf>
    <xf numFmtId="0" fontId="109" fillId="34" borderId="11" xfId="0" applyFont="1" applyFill="1" applyBorder="1" applyAlignment="1">
      <alignment horizontal="center" vertical="center"/>
    </xf>
    <xf numFmtId="0" fontId="109" fillId="34" borderId="12" xfId="0" applyFont="1" applyFill="1" applyBorder="1" applyAlignment="1">
      <alignment horizontal="center" vertical="center"/>
    </xf>
    <xf numFmtId="0" fontId="109" fillId="34" borderId="15" xfId="0" applyFont="1" applyFill="1" applyBorder="1" applyAlignment="1">
      <alignment horizontal="center" vertical="center"/>
    </xf>
    <xf numFmtId="0" fontId="108" fillId="41" borderId="10" xfId="0" applyFont="1" applyFill="1" applyBorder="1" applyAlignment="1">
      <alignment horizontal="center" vertical="center" wrapText="1"/>
    </xf>
    <xf numFmtId="0" fontId="108" fillId="10" borderId="10" xfId="0" applyFont="1" applyFill="1" applyBorder="1" applyAlignment="1">
      <alignment horizontal="center" vertical="center" wrapText="1"/>
    </xf>
    <xf numFmtId="0" fontId="109" fillId="41" borderId="10" xfId="0" applyFont="1" applyFill="1" applyBorder="1" applyAlignment="1">
      <alignment horizontal="center" vertical="center" wrapText="1"/>
    </xf>
    <xf numFmtId="0" fontId="108" fillId="3" borderId="11" xfId="0" applyFont="1" applyFill="1" applyBorder="1" applyAlignment="1">
      <alignment horizontal="center" vertical="center" wrapText="1"/>
    </xf>
    <xf numFmtId="0" fontId="108" fillId="3" borderId="12" xfId="0" applyFont="1" applyFill="1" applyBorder="1" applyAlignment="1">
      <alignment horizontal="center" vertical="center" wrapText="1"/>
    </xf>
    <xf numFmtId="0" fontId="109" fillId="3" borderId="15" xfId="0" applyFont="1" applyFill="1" applyBorder="1" applyAlignment="1">
      <alignment horizontal="center" vertical="center" wrapText="1"/>
    </xf>
    <xf numFmtId="0" fontId="109" fillId="3" borderId="11" xfId="0" applyFont="1" applyFill="1" applyBorder="1" applyAlignment="1">
      <alignment horizontal="center" vertical="center"/>
    </xf>
    <xf numFmtId="0" fontId="109" fillId="3" borderId="15" xfId="0" applyFont="1" applyFill="1" applyBorder="1" applyAlignment="1">
      <alignment horizontal="center" vertical="center"/>
    </xf>
    <xf numFmtId="0" fontId="109" fillId="10" borderId="11" xfId="0" applyFont="1" applyFill="1" applyBorder="1" applyAlignment="1">
      <alignment horizontal="center" vertical="center"/>
    </xf>
    <xf numFmtId="0" fontId="109" fillId="10" borderId="12" xfId="0" applyFont="1" applyFill="1" applyBorder="1" applyAlignment="1">
      <alignment horizontal="center" vertical="center"/>
    </xf>
    <xf numFmtId="0" fontId="109" fillId="10" borderId="15" xfId="0"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horizontal="center"/>
    </xf>
    <xf numFmtId="0" fontId="37" fillId="0" borderId="17" xfId="0" applyFont="1" applyFill="1" applyBorder="1" applyAlignment="1">
      <alignment horizontal="left"/>
    </xf>
    <xf numFmtId="0" fontId="37" fillId="0" borderId="10" xfId="0" applyFont="1" applyFill="1" applyBorder="1" applyAlignment="1">
      <alignment horizontal="left"/>
    </xf>
    <xf numFmtId="0" fontId="37" fillId="0" borderId="19" xfId="0" applyFont="1" applyFill="1" applyBorder="1" applyAlignment="1">
      <alignment horizontal="left"/>
    </xf>
    <xf numFmtId="0" fontId="123" fillId="10" borderId="11" xfId="0" applyFont="1" applyFill="1" applyBorder="1" applyAlignment="1">
      <alignment horizontal="center" vertical="center" wrapText="1"/>
    </xf>
    <xf numFmtId="0" fontId="123" fillId="10" borderId="12" xfId="0" applyFont="1" applyFill="1" applyBorder="1" applyAlignment="1">
      <alignment horizontal="center" vertical="center" wrapText="1"/>
    </xf>
    <xf numFmtId="0" fontId="123" fillId="10" borderId="15" xfId="0" applyFont="1" applyFill="1" applyBorder="1" applyAlignment="1">
      <alignment horizontal="center" vertical="center" wrapText="1"/>
    </xf>
    <xf numFmtId="10" fontId="108" fillId="0" borderId="11" xfId="0" applyNumberFormat="1" applyFont="1" applyFill="1" applyBorder="1" applyAlignment="1">
      <alignment horizontal="center" vertical="center" wrapText="1"/>
    </xf>
    <xf numFmtId="10" fontId="108" fillId="0" borderId="12" xfId="0" applyNumberFormat="1" applyFont="1" applyFill="1" applyBorder="1" applyAlignment="1">
      <alignment horizontal="center" vertical="center" wrapText="1"/>
    </xf>
    <xf numFmtId="10" fontId="108" fillId="0" borderId="15" xfId="0" applyNumberFormat="1" applyFont="1" applyFill="1" applyBorder="1" applyAlignment="1">
      <alignment horizontal="center" vertical="center" wrapText="1"/>
    </xf>
    <xf numFmtId="0" fontId="108" fillId="3" borderId="15" xfId="0" applyFont="1" applyFill="1" applyBorder="1" applyAlignment="1">
      <alignment horizontal="center" vertical="center" wrapText="1"/>
    </xf>
    <xf numFmtId="0" fontId="108" fillId="34" borderId="11" xfId="0" applyFont="1" applyFill="1" applyBorder="1" applyAlignment="1">
      <alignment horizontal="center" wrapText="1"/>
    </xf>
    <xf numFmtId="0" fontId="108" fillId="34" borderId="12" xfId="0" applyFont="1" applyFill="1" applyBorder="1" applyAlignment="1">
      <alignment horizontal="center" wrapText="1"/>
    </xf>
    <xf numFmtId="0" fontId="108" fillId="34" borderId="15" xfId="0" applyFont="1" applyFill="1" applyBorder="1" applyAlignment="1">
      <alignment horizontal="center" wrapText="1"/>
    </xf>
    <xf numFmtId="0" fontId="108" fillId="3" borderId="10" xfId="0" applyFont="1" applyFill="1" applyBorder="1" applyAlignment="1">
      <alignment horizontal="center" vertical="center" wrapText="1"/>
    </xf>
    <xf numFmtId="0" fontId="109" fillId="10" borderId="11" xfId="0" applyFont="1" applyFill="1" applyBorder="1" applyAlignment="1">
      <alignment horizontal="center" vertical="center" wrapText="1"/>
    </xf>
    <xf numFmtId="0" fontId="109" fillId="10" borderId="12" xfId="0" applyFont="1" applyFill="1" applyBorder="1" applyAlignment="1">
      <alignment horizontal="center" vertical="center" wrapText="1"/>
    </xf>
    <xf numFmtId="0" fontId="109" fillId="10" borderId="15" xfId="0" applyFont="1" applyFill="1" applyBorder="1" applyAlignment="1">
      <alignment horizontal="center" vertical="center" wrapText="1"/>
    </xf>
    <xf numFmtId="0" fontId="109" fillId="3" borderId="12" xfId="0" applyFont="1" applyFill="1" applyBorder="1" applyAlignment="1">
      <alignment/>
    </xf>
    <xf numFmtId="0" fontId="109" fillId="3" borderId="15" xfId="0" applyFont="1" applyFill="1" applyBorder="1" applyAlignment="1">
      <alignment/>
    </xf>
    <xf numFmtId="171" fontId="109" fillId="3" borderId="11" xfId="46" applyFont="1" applyFill="1" applyBorder="1" applyAlignment="1">
      <alignment horizontal="center" vertical="center"/>
    </xf>
    <xf numFmtId="171" fontId="109" fillId="3" borderId="12" xfId="46" applyFont="1" applyFill="1" applyBorder="1" applyAlignment="1">
      <alignment horizontal="center" vertical="center"/>
    </xf>
    <xf numFmtId="171" fontId="109" fillId="3" borderId="15" xfId="46" applyFont="1" applyFill="1" applyBorder="1" applyAlignment="1">
      <alignment horizontal="center" vertical="center"/>
    </xf>
    <xf numFmtId="0" fontId="37" fillId="0" borderId="22" xfId="0" applyFont="1" applyFill="1" applyBorder="1" applyAlignment="1">
      <alignment horizontal="left"/>
    </xf>
    <xf numFmtId="0" fontId="37" fillId="0" borderId="19" xfId="0" applyNumberFormat="1" applyFont="1" applyFill="1" applyBorder="1" applyAlignment="1">
      <alignment horizontal="left" vertical="center" wrapText="1"/>
    </xf>
    <xf numFmtId="0" fontId="37" fillId="0" borderId="22" xfId="0" applyNumberFormat="1" applyFont="1" applyFill="1" applyBorder="1" applyAlignment="1">
      <alignment horizontal="left" vertical="center" wrapText="1"/>
    </xf>
    <xf numFmtId="0" fontId="37" fillId="0" borderId="17" xfId="0" applyNumberFormat="1" applyFont="1" applyFill="1" applyBorder="1" applyAlignment="1">
      <alignment horizontal="left" vertical="center" wrapText="1"/>
    </xf>
    <xf numFmtId="0" fontId="139" fillId="52" borderId="0" xfId="0" applyFont="1" applyFill="1" applyBorder="1" applyAlignment="1">
      <alignment horizontal="center" vertical="center" wrapText="1"/>
    </xf>
    <xf numFmtId="0" fontId="132" fillId="33" borderId="0" xfId="0" applyFont="1" applyFill="1" applyBorder="1" applyAlignment="1">
      <alignment horizontal="center" vertical="center" wrapText="1"/>
    </xf>
    <xf numFmtId="0" fontId="109" fillId="0" borderId="12" xfId="0" applyFont="1" applyBorder="1" applyAlignment="1">
      <alignment wrapText="1"/>
    </xf>
    <xf numFmtId="0" fontId="109" fillId="0" borderId="15" xfId="0" applyFont="1" applyBorder="1" applyAlignment="1">
      <alignment wrapText="1"/>
    </xf>
    <xf numFmtId="171" fontId="108" fillId="3" borderId="11" xfId="46" applyFont="1" applyFill="1" applyBorder="1" applyAlignment="1">
      <alignment horizontal="center" vertical="center" wrapText="1"/>
    </xf>
    <xf numFmtId="171" fontId="108" fillId="3" borderId="12" xfId="46" applyFont="1" applyFill="1" applyBorder="1" applyAlignment="1">
      <alignment horizontal="center" vertical="center" wrapText="1"/>
    </xf>
    <xf numFmtId="0" fontId="108" fillId="3" borderId="10" xfId="0" applyFont="1" applyFill="1" applyBorder="1" applyAlignment="1">
      <alignment horizontal="center" wrapText="1"/>
    </xf>
    <xf numFmtId="9" fontId="108" fillId="36" borderId="11" xfId="0" applyNumberFormat="1" applyFont="1" applyFill="1" applyBorder="1" applyAlignment="1">
      <alignment horizontal="center" vertical="center" wrapText="1"/>
    </xf>
    <xf numFmtId="9" fontId="108" fillId="36" borderId="12" xfId="0" applyNumberFormat="1" applyFont="1" applyFill="1" applyBorder="1" applyAlignment="1">
      <alignment horizontal="center" vertical="center" wrapText="1"/>
    </xf>
    <xf numFmtId="9" fontId="108" fillId="36" borderId="15" xfId="0" applyNumberFormat="1" applyFont="1" applyFill="1" applyBorder="1" applyAlignment="1">
      <alignment horizontal="center" vertical="center" wrapText="1"/>
    </xf>
    <xf numFmtId="0" fontId="108" fillId="16" borderId="11" xfId="0" applyFont="1" applyFill="1" applyBorder="1" applyAlignment="1">
      <alignment horizontal="center" vertical="center" wrapText="1"/>
    </xf>
    <xf numFmtId="0" fontId="108" fillId="16" borderId="12" xfId="0" applyFont="1" applyFill="1" applyBorder="1" applyAlignment="1">
      <alignment horizontal="center" vertical="center" wrapText="1"/>
    </xf>
    <xf numFmtId="0" fontId="108" fillId="16" borderId="15" xfId="0" applyFont="1" applyFill="1" applyBorder="1" applyAlignment="1">
      <alignment horizontal="center" vertical="center" wrapText="1"/>
    </xf>
    <xf numFmtId="171" fontId="108" fillId="34" borderId="11" xfId="46" applyFont="1" applyFill="1" applyBorder="1" applyAlignment="1">
      <alignment horizontal="center" vertical="center" wrapText="1"/>
    </xf>
    <xf numFmtId="171" fontId="108" fillId="34" borderId="12" xfId="46" applyFont="1" applyFill="1" applyBorder="1" applyAlignment="1">
      <alignment horizontal="center" vertical="center" wrapText="1"/>
    </xf>
    <xf numFmtId="171" fontId="108" fillId="34" borderId="15" xfId="46" applyFont="1" applyFill="1" applyBorder="1" applyAlignment="1">
      <alignment horizontal="center" vertical="center" wrapText="1"/>
    </xf>
    <xf numFmtId="0" fontId="109" fillId="3" borderId="11" xfId="0" applyFont="1" applyFill="1" applyBorder="1" applyAlignment="1">
      <alignment horizontal="center"/>
    </xf>
    <xf numFmtId="0" fontId="109" fillId="3" borderId="12" xfId="0" applyFont="1" applyFill="1" applyBorder="1" applyAlignment="1">
      <alignment horizontal="center"/>
    </xf>
    <xf numFmtId="0" fontId="109" fillId="3" borderId="15" xfId="0" applyFont="1" applyFill="1" applyBorder="1" applyAlignment="1">
      <alignment horizontal="center"/>
    </xf>
    <xf numFmtId="0" fontId="108" fillId="36" borderId="11" xfId="0" applyFont="1" applyFill="1" applyBorder="1" applyAlignment="1">
      <alignment horizontal="center" vertical="center" wrapText="1"/>
    </xf>
    <xf numFmtId="0" fontId="108" fillId="36" borderId="12" xfId="0" applyFont="1" applyFill="1" applyBorder="1" applyAlignment="1">
      <alignment horizontal="center" vertical="center" wrapText="1"/>
    </xf>
    <xf numFmtId="0" fontId="108" fillId="36" borderId="15" xfId="0" applyFont="1" applyFill="1" applyBorder="1" applyAlignment="1">
      <alignment horizontal="center" vertical="center" wrapText="1"/>
    </xf>
    <xf numFmtId="171" fontId="108" fillId="36" borderId="11" xfId="46" applyFont="1" applyFill="1" applyBorder="1" applyAlignment="1">
      <alignment horizontal="center" vertical="center" wrapText="1"/>
    </xf>
    <xf numFmtId="171" fontId="108" fillId="36" borderId="12" xfId="46" applyFont="1" applyFill="1" applyBorder="1" applyAlignment="1">
      <alignment horizontal="center" vertical="center" wrapText="1"/>
    </xf>
    <xf numFmtId="171" fontId="108" fillId="36" borderId="15" xfId="46" applyFont="1" applyFill="1" applyBorder="1" applyAlignment="1">
      <alignment horizontal="center" vertical="center" wrapText="1"/>
    </xf>
    <xf numFmtId="0" fontId="108" fillId="0" borderId="11" xfId="0" applyFont="1" applyFill="1" applyBorder="1" applyAlignment="1">
      <alignment vertical="center" wrapText="1"/>
    </xf>
    <xf numFmtId="0" fontId="108" fillId="0" borderId="12" xfId="0" applyFont="1" applyFill="1" applyBorder="1" applyAlignment="1">
      <alignment vertical="center" wrapText="1"/>
    </xf>
    <xf numFmtId="0" fontId="108" fillId="0" borderId="15" xfId="0" applyFont="1" applyFill="1" applyBorder="1" applyAlignment="1">
      <alignment vertical="center" wrapText="1"/>
    </xf>
    <xf numFmtId="0" fontId="108" fillId="36" borderId="10" xfId="0" applyFont="1" applyFill="1" applyBorder="1" applyAlignment="1">
      <alignment horizontal="center" vertical="center" wrapText="1"/>
    </xf>
    <xf numFmtId="171" fontId="109" fillId="34" borderId="11" xfId="46" applyFont="1" applyFill="1" applyBorder="1" applyAlignment="1">
      <alignment horizontal="center"/>
    </xf>
    <xf numFmtId="171" fontId="109" fillId="34" borderId="12" xfId="46" applyFont="1" applyFill="1" applyBorder="1" applyAlignment="1">
      <alignment horizontal="center"/>
    </xf>
    <xf numFmtId="171" fontId="109" fillId="34" borderId="15" xfId="46" applyFont="1" applyFill="1" applyBorder="1" applyAlignment="1">
      <alignment horizontal="center"/>
    </xf>
    <xf numFmtId="0" fontId="108" fillId="41" borderId="11" xfId="0" applyFont="1" applyFill="1" applyBorder="1" applyAlignment="1">
      <alignment horizontal="center" vertical="center" wrapText="1"/>
    </xf>
    <xf numFmtId="0" fontId="108" fillId="41" borderId="12" xfId="0" applyFont="1" applyFill="1" applyBorder="1" applyAlignment="1">
      <alignment horizontal="center" vertical="center" wrapText="1"/>
    </xf>
    <xf numFmtId="0" fontId="108" fillId="41" borderId="15" xfId="0" applyFont="1" applyFill="1" applyBorder="1" applyAlignment="1">
      <alignment horizontal="center" vertical="center" wrapText="1"/>
    </xf>
    <xf numFmtId="9" fontId="108" fillId="34" borderId="11" xfId="52" applyFont="1" applyFill="1" applyBorder="1" applyAlignment="1">
      <alignment horizontal="center" vertical="center" wrapText="1"/>
    </xf>
    <xf numFmtId="9" fontId="108" fillId="34" borderId="12" xfId="52" applyFont="1" applyFill="1" applyBorder="1" applyAlignment="1">
      <alignment horizontal="center" vertical="center" wrapText="1"/>
    </xf>
    <xf numFmtId="9" fontId="108" fillId="34" borderId="15" xfId="52" applyFont="1" applyFill="1" applyBorder="1" applyAlignment="1">
      <alignment horizontal="center" vertical="center" wrapText="1"/>
    </xf>
    <xf numFmtId="171" fontId="109" fillId="34" borderId="11" xfId="46" applyFont="1" applyFill="1" applyBorder="1" applyAlignment="1">
      <alignment horizontal="center" vertical="center"/>
    </xf>
    <xf numFmtId="171" fontId="109" fillId="34" borderId="12" xfId="46" applyFont="1" applyFill="1" applyBorder="1" applyAlignment="1">
      <alignment horizontal="center" vertical="center"/>
    </xf>
    <xf numFmtId="171" fontId="109" fillId="34" borderId="15" xfId="46" applyFont="1" applyFill="1" applyBorder="1" applyAlignment="1">
      <alignment horizontal="center" vertical="center"/>
    </xf>
    <xf numFmtId="171" fontId="109" fillId="10" borderId="11" xfId="46" applyFont="1" applyFill="1" applyBorder="1" applyAlignment="1">
      <alignment horizontal="center"/>
    </xf>
    <xf numFmtId="171" fontId="109" fillId="10" borderId="12" xfId="46" applyFont="1" applyFill="1" applyBorder="1" applyAlignment="1">
      <alignment horizontal="center"/>
    </xf>
    <xf numFmtId="171" fontId="109" fillId="10" borderId="15" xfId="46" applyFont="1" applyFill="1" applyBorder="1" applyAlignment="1">
      <alignment horizontal="center"/>
    </xf>
    <xf numFmtId="171" fontId="109" fillId="10" borderId="11" xfId="46" applyFont="1" applyFill="1" applyBorder="1" applyAlignment="1">
      <alignment horizontal="center" wrapText="1"/>
    </xf>
    <xf numFmtId="171" fontId="109" fillId="10" borderId="12" xfId="46" applyFont="1" applyFill="1" applyBorder="1" applyAlignment="1">
      <alignment horizontal="center" wrapText="1"/>
    </xf>
    <xf numFmtId="171" fontId="109" fillId="10" borderId="15" xfId="46" applyFont="1" applyFill="1" applyBorder="1" applyAlignment="1">
      <alignment horizontal="center" wrapText="1"/>
    </xf>
    <xf numFmtId="3" fontId="109" fillId="10" borderId="11" xfId="0" applyNumberFormat="1" applyFont="1" applyFill="1" applyBorder="1" applyAlignment="1">
      <alignment horizontal="center" vertical="center"/>
    </xf>
    <xf numFmtId="3" fontId="109" fillId="10" borderId="12" xfId="0" applyNumberFormat="1" applyFont="1" applyFill="1" applyBorder="1" applyAlignment="1">
      <alignment horizontal="center" vertical="center"/>
    </xf>
    <xf numFmtId="3" fontId="109" fillId="10" borderId="15" xfId="0" applyNumberFormat="1" applyFont="1" applyFill="1" applyBorder="1" applyAlignment="1">
      <alignment horizontal="center" vertical="center"/>
    </xf>
    <xf numFmtId="171" fontId="108" fillId="10" borderId="11" xfId="46" applyFont="1" applyFill="1" applyBorder="1" applyAlignment="1">
      <alignment horizontal="center" vertical="center" wrapText="1"/>
    </xf>
    <xf numFmtId="171" fontId="108" fillId="10" borderId="12" xfId="46" applyFont="1" applyFill="1" applyBorder="1" applyAlignment="1">
      <alignment horizontal="center" vertical="center" wrapText="1"/>
    </xf>
    <xf numFmtId="171" fontId="108" fillId="10" borderId="15" xfId="46" applyFont="1" applyFill="1" applyBorder="1" applyAlignment="1">
      <alignment horizontal="center" vertical="center" wrapText="1"/>
    </xf>
    <xf numFmtId="9" fontId="108" fillId="10" borderId="11" xfId="0" applyNumberFormat="1" applyFont="1" applyFill="1" applyBorder="1" applyAlignment="1">
      <alignment horizontal="center" wrapText="1"/>
    </xf>
    <xf numFmtId="9" fontId="108" fillId="10" borderId="12" xfId="0" applyNumberFormat="1" applyFont="1" applyFill="1" applyBorder="1" applyAlignment="1">
      <alignment horizontal="center" wrapText="1"/>
    </xf>
    <xf numFmtId="9" fontId="108" fillId="10" borderId="15" xfId="0" applyNumberFormat="1" applyFont="1" applyFill="1" applyBorder="1" applyAlignment="1">
      <alignment horizontal="center" wrapText="1"/>
    </xf>
    <xf numFmtId="0" fontId="123" fillId="34" borderId="11" xfId="0" applyFont="1" applyFill="1" applyBorder="1" applyAlignment="1">
      <alignment horizontal="center" vertical="center" wrapText="1"/>
    </xf>
    <xf numFmtId="0" fontId="123" fillId="34" borderId="12" xfId="0" applyFont="1" applyFill="1" applyBorder="1" applyAlignment="1">
      <alignment horizontal="center" vertical="center" wrapText="1"/>
    </xf>
    <xf numFmtId="0" fontId="123" fillId="34"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37" fillId="0" borderId="2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139" fillId="33" borderId="10" xfId="0" applyFont="1" applyFill="1" applyBorder="1" applyAlignment="1">
      <alignment horizontal="center" vertical="center" wrapText="1"/>
    </xf>
    <xf numFmtId="0" fontId="139" fillId="33" borderId="10" xfId="0" applyFont="1" applyFill="1" applyBorder="1" applyAlignment="1">
      <alignment horizontal="center" wrapText="1"/>
    </xf>
    <xf numFmtId="0" fontId="139" fillId="33" borderId="11" xfId="0" applyFont="1" applyFill="1" applyBorder="1" applyAlignment="1">
      <alignment horizontal="center" vertical="center" wrapText="1"/>
    </xf>
    <xf numFmtId="0" fontId="139" fillId="33" borderId="15" xfId="0" applyFont="1" applyFill="1" applyBorder="1" applyAlignment="1">
      <alignment horizontal="center" vertical="center" wrapText="1"/>
    </xf>
    <xf numFmtId="4" fontId="3" fillId="5" borderId="11" xfId="0" applyNumberFormat="1" applyFont="1" applyFill="1" applyBorder="1" applyAlignment="1">
      <alignment horizontal="center" vertical="center" textRotation="90" wrapText="1"/>
    </xf>
    <xf numFmtId="4" fontId="3" fillId="5" borderId="12" xfId="0" applyNumberFormat="1" applyFont="1" applyFill="1" applyBorder="1" applyAlignment="1">
      <alignment horizontal="center" vertical="center" textRotation="90" wrapText="1"/>
    </xf>
    <xf numFmtId="4" fontId="3" fillId="5" borderId="15" xfId="0" applyNumberFormat="1" applyFont="1" applyFill="1" applyBorder="1" applyAlignment="1">
      <alignment horizontal="center" vertical="center" textRotation="90" wrapText="1"/>
    </xf>
    <xf numFmtId="0" fontId="8" fillId="8" borderId="10" xfId="0" applyFont="1" applyFill="1" applyBorder="1" applyAlignment="1">
      <alignment horizontal="center" vertical="center" wrapText="1"/>
    </xf>
    <xf numFmtId="0" fontId="106" fillId="10" borderId="11" xfId="0" applyFont="1" applyFill="1" applyBorder="1" applyAlignment="1">
      <alignment horizontal="center" vertical="center" wrapText="1"/>
    </xf>
    <xf numFmtId="0" fontId="106" fillId="10" borderId="12" xfId="0" applyFont="1" applyFill="1" applyBorder="1" applyAlignment="1">
      <alignment horizontal="center" vertical="center" wrapText="1"/>
    </xf>
    <xf numFmtId="0" fontId="106" fillId="10" borderId="15" xfId="0" applyFont="1" applyFill="1" applyBorder="1" applyAlignment="1">
      <alignment horizontal="center" vertical="center" wrapText="1"/>
    </xf>
    <xf numFmtId="0" fontId="106" fillId="8" borderId="11" xfId="0" applyFont="1" applyFill="1" applyBorder="1" applyAlignment="1">
      <alignment horizontal="center" vertical="center" wrapText="1"/>
    </xf>
    <xf numFmtId="0" fontId="106" fillId="8" borderId="12" xfId="0" applyFont="1" applyFill="1" applyBorder="1" applyAlignment="1">
      <alignment horizontal="center" vertical="center" wrapText="1"/>
    </xf>
    <xf numFmtId="0" fontId="106" fillId="8" borderId="15" xfId="0" applyFont="1" applyFill="1" applyBorder="1" applyAlignment="1">
      <alignment horizontal="center" vertical="center" wrapText="1"/>
    </xf>
    <xf numFmtId="9" fontId="106" fillId="36" borderId="11" xfId="0" applyNumberFormat="1" applyFont="1" applyFill="1" applyBorder="1" applyAlignment="1">
      <alignment horizontal="center" vertical="center" wrapText="1"/>
    </xf>
    <xf numFmtId="9" fontId="106" fillId="36" borderId="12" xfId="0" applyNumberFormat="1" applyFont="1" applyFill="1" applyBorder="1" applyAlignment="1">
      <alignment horizontal="center" vertical="center" wrapText="1"/>
    </xf>
    <xf numFmtId="9" fontId="106" fillId="36" borderId="15" xfId="0" applyNumberFormat="1" applyFont="1" applyFill="1" applyBorder="1" applyAlignment="1">
      <alignment horizontal="center" vertical="center" wrapText="1"/>
    </xf>
    <xf numFmtId="0" fontId="106" fillId="12" borderId="11" xfId="0" applyFont="1" applyFill="1" applyBorder="1" applyAlignment="1">
      <alignment horizontal="center" wrapText="1"/>
    </xf>
    <xf numFmtId="0" fontId="106" fillId="12" borderId="12" xfId="0" applyFont="1" applyFill="1" applyBorder="1" applyAlignment="1">
      <alignment horizont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39" fillId="33" borderId="10" xfId="0" applyFont="1" applyFill="1" applyBorder="1" applyAlignment="1">
      <alignment horizontal="center" vertical="top" wrapText="1"/>
    </xf>
    <xf numFmtId="0" fontId="139" fillId="33" borderId="10" xfId="0" applyFont="1" applyFill="1" applyBorder="1" applyAlignment="1">
      <alignment horizontal="center"/>
    </xf>
    <xf numFmtId="0" fontId="106" fillId="12" borderId="11" xfId="0" applyFont="1" applyFill="1" applyBorder="1" applyAlignment="1">
      <alignment horizontal="center" vertical="center" wrapText="1"/>
    </xf>
    <xf numFmtId="0" fontId="106" fillId="12" borderId="12" xfId="0" applyFont="1" applyFill="1" applyBorder="1" applyAlignment="1">
      <alignment horizontal="center" vertical="center" wrapText="1"/>
    </xf>
    <xf numFmtId="0" fontId="106" fillId="12" borderId="15" xfId="0" applyFont="1" applyFill="1" applyBorder="1" applyAlignment="1">
      <alignment horizontal="center" vertical="center" wrapText="1"/>
    </xf>
    <xf numFmtId="0" fontId="106" fillId="12" borderId="15" xfId="0" applyFont="1" applyFill="1" applyBorder="1" applyAlignment="1">
      <alignment horizontal="center" wrapText="1"/>
    </xf>
    <xf numFmtId="0" fontId="106" fillId="3" borderId="11" xfId="0" applyFont="1" applyFill="1" applyBorder="1" applyAlignment="1">
      <alignment horizontal="center" vertical="center" wrapText="1"/>
    </xf>
    <xf numFmtId="0" fontId="106" fillId="3" borderId="12" xfId="0" applyFont="1" applyFill="1" applyBorder="1" applyAlignment="1">
      <alignment horizontal="center" vertical="center" wrapText="1"/>
    </xf>
    <xf numFmtId="0" fontId="106" fillId="3" borderId="15" xfId="0" applyFont="1" applyFill="1" applyBorder="1" applyAlignment="1">
      <alignment horizontal="center" vertical="center" wrapText="1"/>
    </xf>
    <xf numFmtId="0" fontId="106" fillId="8" borderId="11" xfId="0" applyFont="1" applyFill="1" applyBorder="1" applyAlignment="1">
      <alignment horizontal="center" wrapText="1"/>
    </xf>
    <xf numFmtId="0" fontId="106" fillId="8" borderId="12" xfId="0" applyFont="1" applyFill="1" applyBorder="1" applyAlignment="1">
      <alignment horizontal="center" wrapText="1"/>
    </xf>
    <xf numFmtId="0" fontId="106" fillId="8" borderId="15" xfId="0" applyFont="1" applyFill="1" applyBorder="1" applyAlignment="1">
      <alignment horizontal="center" wrapText="1"/>
    </xf>
    <xf numFmtId="0" fontId="106" fillId="36" borderId="11" xfId="0" applyFont="1" applyFill="1" applyBorder="1" applyAlignment="1">
      <alignment horizontal="center" vertical="center" wrapText="1"/>
    </xf>
    <xf numFmtId="0" fontId="106" fillId="36" borderId="12" xfId="0" applyFont="1" applyFill="1" applyBorder="1" applyAlignment="1">
      <alignment horizontal="center" vertical="center" wrapText="1"/>
    </xf>
    <xf numFmtId="0" fontId="106" fillId="36" borderId="15" xfId="0" applyFont="1" applyFill="1" applyBorder="1" applyAlignment="1">
      <alignment horizontal="center" vertical="center" wrapText="1"/>
    </xf>
    <xf numFmtId="182" fontId="13" fillId="16" borderId="11" xfId="46" applyNumberFormat="1" applyFont="1" applyFill="1" applyBorder="1" applyAlignment="1">
      <alignment vertical="center" wrapText="1"/>
    </xf>
    <xf numFmtId="182" fontId="13" fillId="16" borderId="12" xfId="46" applyNumberFormat="1" applyFont="1" applyFill="1" applyBorder="1" applyAlignment="1">
      <alignment vertical="center" wrapText="1"/>
    </xf>
    <xf numFmtId="182" fontId="13" fillId="16" borderId="15" xfId="46" applyNumberFormat="1" applyFont="1" applyFill="1" applyBorder="1" applyAlignment="1">
      <alignment vertical="center" wrapText="1"/>
    </xf>
    <xf numFmtId="0" fontId="8" fillId="16" borderId="11"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115" fillId="16" borderId="11" xfId="0" applyFont="1" applyFill="1" applyBorder="1" applyAlignment="1">
      <alignment horizontal="center" vertical="center" wrapText="1"/>
    </xf>
    <xf numFmtId="0" fontId="115" fillId="16" borderId="12" xfId="0" applyFont="1" applyFill="1" applyBorder="1" applyAlignment="1">
      <alignment horizontal="center" vertical="center" wrapText="1"/>
    </xf>
    <xf numFmtId="0" fontId="115" fillId="16" borderId="15" xfId="0" applyFont="1" applyFill="1" applyBorder="1" applyAlignment="1">
      <alignment horizontal="center" vertical="center" wrapText="1"/>
    </xf>
    <xf numFmtId="0" fontId="106" fillId="16" borderId="11" xfId="0" applyFont="1" applyFill="1" applyBorder="1" applyAlignment="1">
      <alignment horizontal="center" vertical="center" wrapText="1"/>
    </xf>
    <xf numFmtId="0" fontId="106" fillId="16" borderId="12" xfId="0" applyFont="1" applyFill="1" applyBorder="1" applyAlignment="1">
      <alignment horizontal="center" vertical="center" wrapText="1"/>
    </xf>
    <xf numFmtId="0" fontId="106" fillId="16" borderId="15"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5" xfId="0" applyFont="1" applyFill="1" applyBorder="1" applyAlignment="1">
      <alignment horizontal="center" vertical="center" wrapText="1"/>
    </xf>
    <xf numFmtId="9" fontId="106" fillId="16" borderId="11" xfId="0" applyNumberFormat="1" applyFont="1" applyFill="1" applyBorder="1" applyAlignment="1">
      <alignment horizontal="center" vertical="center" wrapText="1"/>
    </xf>
    <xf numFmtId="9" fontId="106" fillId="16" borderId="12" xfId="0" applyNumberFormat="1" applyFont="1" applyFill="1" applyBorder="1" applyAlignment="1">
      <alignment horizontal="center" vertical="center" wrapText="1"/>
    </xf>
    <xf numFmtId="9" fontId="106" fillId="16" borderId="15" xfId="0" applyNumberFormat="1" applyFont="1" applyFill="1" applyBorder="1" applyAlignment="1">
      <alignment horizontal="center" vertical="center" wrapText="1"/>
    </xf>
    <xf numFmtId="9" fontId="106" fillId="8" borderId="12" xfId="0" applyNumberFormat="1" applyFont="1" applyFill="1" applyBorder="1" applyAlignment="1">
      <alignment horizontal="center" vertical="center" wrapText="1"/>
    </xf>
    <xf numFmtId="9" fontId="106" fillId="8" borderId="15" xfId="0" applyNumberFormat="1" applyFont="1" applyFill="1" applyBorder="1" applyAlignment="1">
      <alignment horizontal="center" vertical="center" wrapText="1"/>
    </xf>
    <xf numFmtId="9" fontId="106" fillId="12" borderId="11" xfId="0" applyNumberFormat="1" applyFont="1" applyFill="1" applyBorder="1" applyAlignment="1">
      <alignment horizontal="center" vertical="center" wrapText="1"/>
    </xf>
    <xf numFmtId="9" fontId="106" fillId="12" borderId="12" xfId="0" applyNumberFormat="1" applyFont="1" applyFill="1" applyBorder="1" applyAlignment="1">
      <alignment horizontal="center" vertical="center" wrapText="1"/>
    </xf>
    <xf numFmtId="9" fontId="106" fillId="12" borderId="15" xfId="0" applyNumberFormat="1" applyFont="1" applyFill="1" applyBorder="1" applyAlignment="1">
      <alignment horizontal="center" vertical="center" wrapText="1"/>
    </xf>
    <xf numFmtId="0" fontId="8" fillId="12"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8" fillId="12" borderId="11" xfId="0" applyFont="1" applyFill="1" applyBorder="1" applyAlignment="1">
      <alignment horizontal="center" vertical="center" wrapText="1"/>
    </xf>
    <xf numFmtId="0" fontId="38" fillId="12" borderId="12" xfId="0" applyFont="1" applyFill="1" applyBorder="1" applyAlignment="1">
      <alignment horizontal="center" vertical="center" wrapText="1"/>
    </xf>
    <xf numFmtId="0" fontId="38" fillId="12" borderId="15" xfId="0" applyFont="1" applyFill="1" applyBorder="1" applyAlignment="1">
      <alignment horizontal="center" vertical="center" wrapText="1"/>
    </xf>
    <xf numFmtId="3" fontId="3" fillId="8" borderId="11" xfId="46" applyNumberFormat="1" applyFont="1" applyFill="1" applyBorder="1" applyAlignment="1">
      <alignment horizontal="center" vertical="center" wrapText="1"/>
    </xf>
    <xf numFmtId="3" fontId="3" fillId="8" borderId="12" xfId="46" applyNumberFormat="1" applyFont="1" applyFill="1" applyBorder="1" applyAlignment="1">
      <alignment horizontal="center" vertical="center" wrapText="1"/>
    </xf>
    <xf numFmtId="3" fontId="3" fillId="8" borderId="15" xfId="46" applyNumberFormat="1" applyFont="1" applyFill="1" applyBorder="1" applyAlignment="1">
      <alignment horizontal="center" vertical="center" wrapText="1"/>
    </xf>
    <xf numFmtId="3" fontId="114" fillId="8" borderId="11" xfId="46" applyNumberFormat="1" applyFont="1" applyFill="1" applyBorder="1" applyAlignment="1">
      <alignment horizontal="center" vertical="center" wrapText="1"/>
    </xf>
    <xf numFmtId="3" fontId="114" fillId="8" borderId="12" xfId="46" applyNumberFormat="1" applyFont="1" applyFill="1" applyBorder="1" applyAlignment="1">
      <alignment horizontal="center" vertical="center" wrapText="1"/>
    </xf>
    <xf numFmtId="3" fontId="114" fillId="8" borderId="15" xfId="46" applyNumberFormat="1" applyFont="1" applyFill="1" applyBorder="1" applyAlignment="1">
      <alignment horizontal="center" vertical="center" wrapText="1"/>
    </xf>
    <xf numFmtId="3" fontId="114" fillId="12" borderId="11" xfId="0" applyNumberFormat="1" applyFont="1" applyFill="1" applyBorder="1" applyAlignment="1">
      <alignment horizontal="center" vertical="center"/>
    </xf>
    <xf numFmtId="3" fontId="114" fillId="12" borderId="12" xfId="0" applyNumberFormat="1" applyFont="1" applyFill="1" applyBorder="1" applyAlignment="1">
      <alignment horizontal="center" vertical="center"/>
    </xf>
    <xf numFmtId="3" fontId="114" fillId="12" borderId="15" xfId="0" applyNumberFormat="1" applyFont="1" applyFill="1" applyBorder="1" applyAlignment="1">
      <alignment horizontal="center" vertical="center"/>
    </xf>
    <xf numFmtId="172" fontId="3" fillId="8" borderId="11" xfId="46" applyNumberFormat="1" applyFont="1" applyFill="1" applyBorder="1" applyAlignment="1">
      <alignment horizontal="center" vertical="center" wrapText="1"/>
    </xf>
    <xf numFmtId="172" fontId="3" fillId="8" borderId="15" xfId="46" applyNumberFormat="1" applyFont="1" applyFill="1" applyBorder="1" applyAlignment="1">
      <alignment horizontal="center" vertical="center" wrapText="1"/>
    </xf>
    <xf numFmtId="0" fontId="107" fillId="9" borderId="10" xfId="0" applyFont="1" applyFill="1" applyBorder="1" applyAlignment="1">
      <alignment horizontal="center" vertical="center" wrapText="1"/>
    </xf>
    <xf numFmtId="0" fontId="105" fillId="36" borderId="11" xfId="0" applyFont="1" applyFill="1" applyBorder="1" applyAlignment="1">
      <alignment horizontal="center" vertical="center" wrapText="1"/>
    </xf>
    <xf numFmtId="0" fontId="105" fillId="36" borderId="12" xfId="0" applyFont="1" applyFill="1" applyBorder="1" applyAlignment="1">
      <alignment horizontal="center" vertical="center" wrapText="1"/>
    </xf>
    <xf numFmtId="0" fontId="105" fillId="36" borderId="15" xfId="0" applyFont="1" applyFill="1" applyBorder="1" applyAlignment="1">
      <alignment horizontal="center" vertical="center" wrapText="1"/>
    </xf>
    <xf numFmtId="0" fontId="104" fillId="36" borderId="11" xfId="0" applyFont="1" applyFill="1" applyBorder="1" applyAlignment="1">
      <alignment horizontal="center" vertical="center" wrapText="1"/>
    </xf>
    <xf numFmtId="0" fontId="104" fillId="36" borderId="12" xfId="0" applyFont="1" applyFill="1" applyBorder="1" applyAlignment="1">
      <alignment horizontal="center" vertical="center" wrapText="1"/>
    </xf>
    <xf numFmtId="0" fontId="104" fillId="36" borderId="15" xfId="0" applyFont="1" applyFill="1" applyBorder="1" applyAlignment="1">
      <alignment horizontal="center" vertical="center" wrapText="1"/>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105" fillId="10" borderId="11" xfId="0" applyFont="1" applyFill="1" applyBorder="1" applyAlignment="1">
      <alignment horizontal="center" vertical="center" wrapText="1"/>
    </xf>
    <xf numFmtId="0" fontId="105" fillId="10" borderId="12" xfId="0" applyFont="1" applyFill="1" applyBorder="1" applyAlignment="1">
      <alignment horizontal="center" vertical="center" wrapText="1"/>
    </xf>
    <xf numFmtId="0" fontId="105" fillId="10" borderId="15" xfId="0" applyFont="1" applyFill="1" applyBorder="1" applyAlignment="1">
      <alignment horizontal="center" vertical="center" wrapText="1"/>
    </xf>
    <xf numFmtId="9" fontId="104" fillId="36" borderId="11" xfId="0" applyNumberFormat="1" applyFont="1" applyFill="1" applyBorder="1" applyAlignment="1">
      <alignment horizontal="center" vertical="center" wrapText="1"/>
    </xf>
    <xf numFmtId="9" fontId="104" fillId="36" borderId="12" xfId="0" applyNumberFormat="1" applyFont="1" applyFill="1" applyBorder="1" applyAlignment="1">
      <alignment horizontal="center" vertical="center" wrapText="1"/>
    </xf>
    <xf numFmtId="9" fontId="104" fillId="36" borderId="15" xfId="0" applyNumberFormat="1" applyFont="1" applyFill="1" applyBorder="1" applyAlignment="1">
      <alignment horizontal="center" vertical="center" wrapText="1"/>
    </xf>
    <xf numFmtId="0" fontId="124" fillId="33" borderId="0" xfId="0" applyFont="1" applyFill="1" applyBorder="1" applyAlignment="1">
      <alignment horizontal="center" vertical="center"/>
    </xf>
    <xf numFmtId="0" fontId="133" fillId="33" borderId="26" xfId="0" applyFont="1" applyFill="1" applyBorder="1" applyAlignment="1">
      <alignment horizontal="center" vertical="center"/>
    </xf>
    <xf numFmtId="3" fontId="0" fillId="10" borderId="11" xfId="0" applyNumberFormat="1" applyFill="1" applyBorder="1" applyAlignment="1">
      <alignment horizontal="center" vertical="center" wrapText="1"/>
    </xf>
    <xf numFmtId="0" fontId="0" fillId="10" borderId="12"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1" xfId="0" applyFill="1" applyBorder="1" applyAlignment="1">
      <alignment horizontal="center" vertical="center" wrapText="1"/>
    </xf>
    <xf numFmtId="0" fontId="107" fillId="10" borderId="11" xfId="0" applyFont="1" applyFill="1" applyBorder="1" applyAlignment="1">
      <alignment horizontal="center" vertical="center" wrapText="1"/>
    </xf>
    <xf numFmtId="0" fontId="107" fillId="10" borderId="12" xfId="0" applyFont="1" applyFill="1" applyBorder="1" applyAlignment="1">
      <alignment horizontal="center" vertical="center" wrapText="1"/>
    </xf>
    <xf numFmtId="0" fontId="107" fillId="10" borderId="15" xfId="0" applyFont="1" applyFill="1" applyBorder="1" applyAlignment="1">
      <alignment horizontal="center" vertical="center" wrapText="1"/>
    </xf>
    <xf numFmtId="0" fontId="104" fillId="10" borderId="10" xfId="0" applyFont="1" applyFill="1" applyBorder="1" applyAlignment="1">
      <alignment horizontal="center" vertical="center" wrapText="1"/>
    </xf>
    <xf numFmtId="0" fontId="104" fillId="10" borderId="11" xfId="0" applyFont="1" applyFill="1" applyBorder="1" applyAlignment="1">
      <alignment horizontal="center" vertical="center" wrapText="1"/>
    </xf>
    <xf numFmtId="0" fontId="104" fillId="10" borderId="12" xfId="0" applyFont="1" applyFill="1" applyBorder="1" applyAlignment="1">
      <alignment horizontal="center" vertical="center" wrapText="1"/>
    </xf>
    <xf numFmtId="0" fontId="104" fillId="10" borderId="15" xfId="0" applyFont="1" applyFill="1" applyBorder="1" applyAlignment="1">
      <alignment horizontal="center" vertical="center" wrapText="1"/>
    </xf>
    <xf numFmtId="3" fontId="104" fillId="10" borderId="10" xfId="0" applyNumberFormat="1" applyFont="1" applyFill="1" applyBorder="1" applyAlignment="1">
      <alignment horizontal="center" vertical="center" wrapText="1"/>
    </xf>
    <xf numFmtId="3" fontId="104" fillId="10" borderId="11" xfId="0" applyNumberFormat="1" applyFont="1" applyFill="1" applyBorder="1" applyAlignment="1">
      <alignment horizontal="center" vertical="center" wrapText="1"/>
    </xf>
    <xf numFmtId="3" fontId="104" fillId="10" borderId="15" xfId="0" applyNumberFormat="1" applyFont="1" applyFill="1" applyBorder="1" applyAlignment="1">
      <alignment horizontal="center" vertical="center" wrapText="1"/>
    </xf>
    <xf numFmtId="0" fontId="104" fillId="10" borderId="11" xfId="0" applyFont="1" applyFill="1" applyBorder="1" applyAlignment="1">
      <alignment horizontal="left" vertical="top" wrapText="1"/>
    </xf>
    <xf numFmtId="0" fontId="104" fillId="10" borderId="15" xfId="0" applyFont="1" applyFill="1" applyBorder="1" applyAlignment="1">
      <alignment horizontal="left" vertical="top" wrapText="1"/>
    </xf>
    <xf numFmtId="9" fontId="105" fillId="10" borderId="12" xfId="0" applyNumberFormat="1" applyFont="1" applyFill="1" applyBorder="1" applyAlignment="1">
      <alignment horizontal="center" vertical="center" wrapText="1"/>
    </xf>
    <xf numFmtId="9" fontId="104" fillId="10" borderId="11" xfId="0" applyNumberFormat="1" applyFont="1" applyFill="1" applyBorder="1" applyAlignment="1">
      <alignment horizontal="center" vertical="center" wrapText="1"/>
    </xf>
    <xf numFmtId="9" fontId="0" fillId="10" borderId="11" xfId="0" applyNumberFormat="1" applyFill="1" applyBorder="1" applyAlignment="1">
      <alignment horizontal="center" vertical="center" wrapText="1"/>
    </xf>
    <xf numFmtId="0" fontId="135" fillId="33" borderId="11" xfId="0" applyFont="1" applyFill="1" applyBorder="1" applyAlignment="1">
      <alignment horizontal="center" vertical="center" wrapText="1"/>
    </xf>
    <xf numFmtId="0" fontId="135" fillId="33" borderId="15" xfId="0" applyFont="1" applyFill="1" applyBorder="1" applyAlignment="1">
      <alignment horizontal="center" vertical="center" wrapText="1"/>
    </xf>
    <xf numFmtId="0" fontId="2" fillId="0" borderId="10" xfId="0" applyFont="1" applyFill="1" applyBorder="1" applyAlignment="1">
      <alignment horizontal="center"/>
    </xf>
    <xf numFmtId="0" fontId="3" fillId="37" borderId="10" xfId="0" applyFont="1" applyFill="1" applyBorder="1" applyAlignment="1">
      <alignment horizontal="justify" vertical="center" wrapText="1"/>
    </xf>
    <xf numFmtId="0" fontId="3" fillId="37" borderId="11" xfId="0" applyFont="1" applyFill="1" applyBorder="1" applyAlignment="1">
      <alignment horizontal="justify" vertical="center" wrapText="1"/>
    </xf>
    <xf numFmtId="0" fontId="2" fillId="37" borderId="10" xfId="0" applyFont="1" applyFill="1" applyBorder="1" applyAlignment="1">
      <alignment horizontal="justify" vertical="center" wrapText="1"/>
    </xf>
    <xf numFmtId="0" fontId="2" fillId="37" borderId="11" xfId="0" applyFont="1" applyFill="1" applyBorder="1" applyAlignment="1">
      <alignment horizontal="justify" vertical="center" wrapText="1"/>
    </xf>
    <xf numFmtId="0" fontId="36" fillId="0" borderId="13" xfId="0" applyFont="1" applyFill="1" applyBorder="1" applyAlignment="1">
      <alignment horizontal="left" vertical="center"/>
    </xf>
    <xf numFmtId="0" fontId="37" fillId="0" borderId="24" xfId="0" applyNumberFormat="1" applyFont="1" applyFill="1" applyBorder="1" applyAlignment="1">
      <alignment horizontal="left" vertical="center" wrapText="1"/>
    </xf>
    <xf numFmtId="0" fontId="37" fillId="0" borderId="18" xfId="0" applyNumberFormat="1" applyFont="1" applyFill="1" applyBorder="1" applyAlignment="1">
      <alignment horizontal="left" vertical="center" wrapText="1"/>
    </xf>
    <xf numFmtId="0" fontId="2" fillId="37" borderId="11" xfId="0" applyFont="1" applyFill="1" applyBorder="1" applyAlignment="1">
      <alignment horizontal="justify" vertical="center" textRotation="90" wrapText="1"/>
    </xf>
    <xf numFmtId="0" fontId="2" fillId="37" borderId="12" xfId="0" applyFont="1" applyFill="1" applyBorder="1" applyAlignment="1">
      <alignment horizontal="justify" vertical="center" textRotation="90" wrapText="1"/>
    </xf>
    <xf numFmtId="178" fontId="3" fillId="0" borderId="11" xfId="0" applyNumberFormat="1" applyFont="1" applyBorder="1" applyAlignment="1">
      <alignment horizontal="justify" vertical="center" wrapText="1"/>
    </xf>
    <xf numFmtId="178" fontId="3" fillId="0" borderId="15" xfId="0" applyNumberFormat="1" applyFont="1" applyBorder="1" applyAlignment="1">
      <alignment horizontal="justify" vertical="center" wrapText="1"/>
    </xf>
    <xf numFmtId="0" fontId="17" fillId="36" borderId="11" xfId="0" applyFont="1" applyFill="1" applyBorder="1" applyAlignment="1">
      <alignment horizontal="center" vertical="center" textRotation="90" wrapText="1"/>
    </xf>
    <xf numFmtId="0" fontId="0" fillId="0" borderId="12" xfId="0" applyBorder="1" applyAlignment="1">
      <alignment/>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17" fillId="0" borderId="11" xfId="0" applyFont="1" applyBorder="1" applyAlignment="1">
      <alignment horizontal="center" vertical="center" wrapText="1"/>
    </xf>
    <xf numFmtId="0" fontId="120" fillId="0" borderId="12" xfId="0" applyFont="1" applyBorder="1" applyAlignment="1">
      <alignment/>
    </xf>
    <xf numFmtId="0" fontId="120" fillId="0" borderId="15" xfId="0" applyFont="1" applyBorder="1" applyAlignment="1">
      <alignment/>
    </xf>
    <xf numFmtId="9" fontId="36" fillId="0" borderId="11" xfId="0" applyNumberFormat="1" applyFont="1" applyFill="1" applyBorder="1" applyAlignment="1">
      <alignment horizontal="center" vertical="center" wrapText="1"/>
    </xf>
    <xf numFmtId="0" fontId="143" fillId="0" borderId="12" xfId="0" applyFont="1" applyFill="1" applyBorder="1" applyAlignment="1">
      <alignment/>
    </xf>
    <xf numFmtId="0" fontId="143" fillId="0" borderId="15" xfId="0" applyFont="1" applyFill="1" applyBorder="1" applyAlignment="1">
      <alignment/>
    </xf>
    <xf numFmtId="0" fontId="8" fillId="0" borderId="10" xfId="0" applyFont="1" applyBorder="1" applyAlignment="1">
      <alignment horizontal="center" vertical="center" wrapText="1"/>
    </xf>
    <xf numFmtId="0" fontId="115" fillId="0" borderId="10" xfId="0" applyFont="1" applyBorder="1" applyAlignment="1">
      <alignment horizontal="center" vertical="center" wrapText="1"/>
    </xf>
    <xf numFmtId="0" fontId="106" fillId="0" borderId="10" xfId="0" applyFont="1" applyBorder="1" applyAlignment="1">
      <alignment horizontal="center" vertical="center" wrapText="1"/>
    </xf>
    <xf numFmtId="0" fontId="143" fillId="0" borderId="19" xfId="0" applyFont="1" applyFill="1" applyBorder="1" applyAlignment="1">
      <alignment horizontal="left" vertical="center" wrapText="1"/>
    </xf>
    <xf numFmtId="0" fontId="143" fillId="0" borderId="22" xfId="0" applyFont="1" applyFill="1" applyBorder="1" applyAlignment="1">
      <alignment horizontal="left" vertical="center" wrapText="1"/>
    </xf>
    <xf numFmtId="0" fontId="143" fillId="0" borderId="17" xfId="0" applyFont="1" applyFill="1" applyBorder="1" applyAlignment="1">
      <alignment horizontal="left" vertical="center" wrapText="1"/>
    </xf>
    <xf numFmtId="9" fontId="102" fillId="0" borderId="11" xfId="0" applyNumberFormat="1" applyFont="1" applyFill="1" applyBorder="1" applyAlignment="1">
      <alignment horizontal="center" vertical="center" wrapText="1"/>
    </xf>
    <xf numFmtId="9" fontId="102" fillId="0" borderId="12" xfId="0" applyNumberFormat="1" applyFont="1" applyFill="1" applyBorder="1" applyAlignment="1">
      <alignment horizontal="center" vertical="center" wrapText="1"/>
    </xf>
    <xf numFmtId="9" fontId="102" fillId="0" borderId="15"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9" fontId="0" fillId="0" borderId="11" xfId="0" applyNumberFormat="1" applyFill="1" applyBorder="1" applyAlignment="1">
      <alignment horizontal="justify" vertical="center"/>
    </xf>
    <xf numFmtId="0" fontId="0" fillId="0" borderId="12" xfId="0" applyFill="1" applyBorder="1" applyAlignment="1">
      <alignment horizontal="justify" vertical="center"/>
    </xf>
    <xf numFmtId="0" fontId="0" fillId="0" borderId="15" xfId="0" applyFill="1" applyBorder="1" applyAlignment="1">
      <alignment horizontal="justify" vertical="center"/>
    </xf>
    <xf numFmtId="0" fontId="115" fillId="0" borderId="12" xfId="0" applyFont="1" applyBorder="1" applyAlignment="1">
      <alignment horizontal="center" vertical="center" wrapText="1"/>
    </xf>
    <xf numFmtId="0" fontId="115" fillId="0" borderId="15" xfId="0" applyFont="1" applyBorder="1" applyAlignment="1">
      <alignment horizontal="center" vertical="center" wrapText="1"/>
    </xf>
    <xf numFmtId="0" fontId="130" fillId="33" borderId="0" xfId="0" applyFont="1" applyFill="1" applyBorder="1" applyAlignment="1">
      <alignment horizontal="center" vertical="center"/>
    </xf>
    <xf numFmtId="0" fontId="137" fillId="33" borderId="26" xfId="0" applyFont="1" applyFill="1" applyBorder="1" applyAlignment="1">
      <alignment horizontal="center" vertical="center"/>
    </xf>
    <xf numFmtId="3" fontId="106" fillId="34" borderId="10" xfId="0" applyNumberFormat="1" applyFont="1" applyFill="1" applyBorder="1" applyAlignment="1">
      <alignment horizontal="center" vertical="center" wrapText="1"/>
    </xf>
    <xf numFmtId="0" fontId="36" fillId="0" borderId="19" xfId="0" applyNumberFormat="1" applyFont="1" applyBorder="1" applyAlignment="1">
      <alignment horizontal="left" vertical="center" wrapText="1"/>
    </xf>
    <xf numFmtId="0" fontId="36" fillId="0" borderId="22" xfId="0" applyNumberFormat="1" applyFont="1" applyBorder="1" applyAlignment="1">
      <alignment horizontal="left" vertical="center" wrapText="1"/>
    </xf>
    <xf numFmtId="0" fontId="36" fillId="0" borderId="17" xfId="0" applyNumberFormat="1" applyFont="1" applyBorder="1" applyAlignment="1">
      <alignment horizontal="left" vertical="center" wrapText="1"/>
    </xf>
    <xf numFmtId="0" fontId="103" fillId="33" borderId="12" xfId="0" applyFont="1" applyFill="1" applyBorder="1" applyAlignment="1">
      <alignment horizontal="center" vertical="center" wrapText="1"/>
    </xf>
    <xf numFmtId="0" fontId="2" fillId="0" borderId="22" xfId="0" applyFont="1" applyBorder="1" applyAlignment="1">
      <alignment horizontal="left"/>
    </xf>
    <xf numFmtId="10" fontId="109" fillId="34" borderId="11" xfId="52" applyNumberFormat="1" applyFont="1" applyFill="1" applyBorder="1" applyAlignment="1">
      <alignment horizontal="center" vertical="center"/>
    </xf>
    <xf numFmtId="10" fontId="109" fillId="34" borderId="12" xfId="52" applyNumberFormat="1" applyFont="1" applyFill="1" applyBorder="1" applyAlignment="1">
      <alignment horizontal="center" vertical="center"/>
    </xf>
    <xf numFmtId="10" fontId="109" fillId="34" borderId="15" xfId="52" applyNumberFormat="1" applyFont="1" applyFill="1" applyBorder="1" applyAlignment="1">
      <alignment horizontal="center" vertical="center"/>
    </xf>
    <xf numFmtId="0" fontId="106" fillId="34" borderId="11" xfId="0" applyFont="1" applyFill="1" applyBorder="1" applyAlignment="1">
      <alignment horizontal="center" vertical="center" wrapText="1"/>
    </xf>
    <xf numFmtId="0" fontId="106" fillId="34" borderId="12" xfId="0" applyFont="1" applyFill="1" applyBorder="1" applyAlignment="1">
      <alignment horizontal="center" vertical="center" wrapText="1"/>
    </xf>
    <xf numFmtId="0" fontId="106" fillId="34" borderId="15" xfId="0" applyFont="1" applyFill="1" applyBorder="1" applyAlignment="1">
      <alignment horizontal="center" vertical="center" wrapText="1"/>
    </xf>
    <xf numFmtId="9" fontId="106" fillId="34" borderId="11" xfId="52" applyFont="1" applyFill="1" applyBorder="1" applyAlignment="1">
      <alignment horizontal="center" vertical="center" wrapText="1"/>
    </xf>
    <xf numFmtId="9" fontId="106" fillId="34" borderId="12" xfId="52" applyFont="1" applyFill="1" applyBorder="1" applyAlignment="1">
      <alignment horizontal="center" vertical="center" wrapText="1"/>
    </xf>
    <xf numFmtId="9" fontId="106" fillId="34" borderId="15" xfId="52" applyFont="1" applyFill="1" applyBorder="1" applyAlignment="1">
      <alignment horizontal="center" vertical="center" wrapText="1"/>
    </xf>
    <xf numFmtId="10" fontId="106" fillId="34" borderId="11" xfId="52" applyNumberFormat="1" applyFont="1" applyFill="1" applyBorder="1" applyAlignment="1">
      <alignment horizontal="center" vertical="center" wrapText="1"/>
    </xf>
    <xf numFmtId="10" fontId="106" fillId="34" borderId="12" xfId="52" applyNumberFormat="1" applyFont="1" applyFill="1" applyBorder="1" applyAlignment="1">
      <alignment horizontal="center" vertical="center" wrapText="1"/>
    </xf>
    <xf numFmtId="10" fontId="106" fillId="34" borderId="15" xfId="52" applyNumberFormat="1" applyFont="1" applyFill="1" applyBorder="1" applyAlignment="1">
      <alignment horizontal="center" vertical="center" wrapText="1"/>
    </xf>
    <xf numFmtId="3" fontId="108" fillId="34" borderId="11" xfId="0" applyNumberFormat="1" applyFont="1" applyFill="1" applyBorder="1" applyAlignment="1">
      <alignment horizontal="center" vertical="center"/>
    </xf>
    <xf numFmtId="0" fontId="108" fillId="34" borderId="15" xfId="0" applyFont="1" applyFill="1" applyBorder="1" applyAlignment="1">
      <alignment horizontal="center" vertical="center"/>
    </xf>
    <xf numFmtId="180" fontId="108" fillId="34" borderId="11" xfId="46" applyNumberFormat="1" applyFont="1" applyFill="1" applyBorder="1" applyAlignment="1">
      <alignment horizontal="center" vertical="center"/>
    </xf>
    <xf numFmtId="180" fontId="108" fillId="34" borderId="15" xfId="46" applyNumberFormat="1" applyFont="1" applyFill="1" applyBorder="1" applyAlignment="1">
      <alignment horizontal="center" vertical="center"/>
    </xf>
    <xf numFmtId="10" fontId="106" fillId="34" borderId="11" xfId="0" applyNumberFormat="1" applyFont="1" applyFill="1" applyBorder="1" applyAlignment="1">
      <alignment horizontal="center" vertical="center" wrapText="1"/>
    </xf>
    <xf numFmtId="10" fontId="106" fillId="34" borderId="12" xfId="0" applyNumberFormat="1" applyFont="1" applyFill="1" applyBorder="1" applyAlignment="1">
      <alignment horizontal="center" vertical="center" wrapText="1"/>
    </xf>
    <xf numFmtId="10" fontId="106" fillId="34" borderId="15" xfId="0" applyNumberFormat="1" applyFont="1" applyFill="1" applyBorder="1" applyAlignment="1">
      <alignment horizontal="center" vertical="center" wrapText="1"/>
    </xf>
    <xf numFmtId="0" fontId="108" fillId="34" borderId="11" xfId="0" applyFont="1" applyFill="1" applyBorder="1" applyAlignment="1">
      <alignment horizontal="center" vertical="center"/>
    </xf>
    <xf numFmtId="0" fontId="108" fillId="34" borderId="12" xfId="0" applyFont="1" applyFill="1" applyBorder="1" applyAlignment="1">
      <alignment horizontal="center" vertical="center"/>
    </xf>
    <xf numFmtId="172" fontId="108" fillId="34" borderId="11" xfId="46" applyNumberFormat="1" applyFont="1" applyFill="1" applyBorder="1" applyAlignment="1">
      <alignment horizontal="center" vertical="center"/>
    </xf>
    <xf numFmtId="172" fontId="108" fillId="34" borderId="12" xfId="46" applyNumberFormat="1" applyFont="1" applyFill="1" applyBorder="1" applyAlignment="1">
      <alignment horizontal="center" vertical="center"/>
    </xf>
    <xf numFmtId="172" fontId="108" fillId="34" borderId="15" xfId="46" applyNumberFormat="1" applyFont="1" applyFill="1" applyBorder="1" applyAlignment="1">
      <alignment horizontal="center" vertical="center"/>
    </xf>
    <xf numFmtId="0" fontId="106" fillId="34" borderId="10" xfId="0" applyFont="1" applyFill="1" applyBorder="1" applyAlignment="1">
      <alignment horizontal="center" wrapText="1"/>
    </xf>
    <xf numFmtId="0" fontId="3" fillId="42" borderId="10" xfId="0" applyFont="1" applyFill="1" applyBorder="1" applyAlignment="1">
      <alignment horizontal="center" vertical="center" wrapText="1"/>
    </xf>
    <xf numFmtId="3" fontId="144" fillId="3" borderId="11" xfId="0" applyNumberFormat="1" applyFont="1" applyFill="1" applyBorder="1" applyAlignment="1">
      <alignment horizontal="center" vertical="center" wrapText="1"/>
    </xf>
    <xf numFmtId="0" fontId="144" fillId="3" borderId="12" xfId="0" applyFont="1" applyFill="1" applyBorder="1" applyAlignment="1">
      <alignment horizontal="center" vertical="center" wrapText="1"/>
    </xf>
    <xf numFmtId="0" fontId="144" fillId="3" borderId="15" xfId="0" applyFont="1" applyFill="1" applyBorder="1" applyAlignment="1">
      <alignment horizontal="center" vertical="center" wrapText="1"/>
    </xf>
    <xf numFmtId="0" fontId="144" fillId="3" borderId="11" xfId="0" applyFont="1" applyFill="1" applyBorder="1" applyAlignment="1">
      <alignment horizontal="center" vertical="center" wrapText="1"/>
    </xf>
    <xf numFmtId="9" fontId="144" fillId="3" borderId="11" xfId="0" applyNumberFormat="1" applyFont="1" applyFill="1" applyBorder="1" applyAlignment="1">
      <alignment horizontal="center" vertical="center"/>
    </xf>
    <xf numFmtId="9" fontId="144" fillId="3" borderId="12" xfId="0" applyNumberFormat="1" applyFont="1" applyFill="1" applyBorder="1" applyAlignment="1">
      <alignment horizontal="center" vertical="center"/>
    </xf>
    <xf numFmtId="9" fontId="144" fillId="3" borderId="15" xfId="0" applyNumberFormat="1" applyFont="1" applyFill="1" applyBorder="1" applyAlignment="1">
      <alignment horizontal="center" vertical="center"/>
    </xf>
    <xf numFmtId="0" fontId="3" fillId="13" borderId="11" xfId="0" applyFont="1" applyFill="1" applyBorder="1" applyAlignment="1">
      <alignment horizontal="center" vertical="center" wrapText="1"/>
    </xf>
    <xf numFmtId="0" fontId="3" fillId="13" borderId="15" xfId="0" applyFont="1" applyFill="1" applyBorder="1" applyAlignment="1">
      <alignment horizontal="center" vertical="center" wrapText="1"/>
    </xf>
    <xf numFmtId="9" fontId="144" fillId="3" borderId="11" xfId="0" applyNumberFormat="1" applyFont="1" applyFill="1" applyBorder="1" applyAlignment="1">
      <alignment horizontal="center" vertical="center" wrapText="1"/>
    </xf>
    <xf numFmtId="0" fontId="3" fillId="36" borderId="12" xfId="0" applyFont="1" applyFill="1" applyBorder="1" applyAlignment="1">
      <alignment horizontal="center" vertical="center" textRotation="90" wrapText="1"/>
    </xf>
    <xf numFmtId="0" fontId="3" fillId="36" borderId="15" xfId="0" applyFont="1" applyFill="1" applyBorder="1" applyAlignment="1">
      <alignment horizontal="center" vertical="center" textRotation="90" wrapText="1"/>
    </xf>
    <xf numFmtId="0" fontId="3" fillId="9"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7" fillId="0" borderId="11" xfId="0" applyFont="1" applyBorder="1" applyAlignment="1">
      <alignment horizontal="justify" vertical="center" wrapText="1"/>
    </xf>
    <xf numFmtId="0" fontId="117" fillId="0" borderId="12" xfId="0" applyFont="1" applyBorder="1" applyAlignment="1">
      <alignment horizontal="justify" vertical="center" wrapText="1"/>
    </xf>
    <xf numFmtId="0" fontId="117" fillId="0" borderId="15" xfId="0" applyFont="1" applyBorder="1" applyAlignment="1">
      <alignment horizontal="justify" vertical="center" wrapText="1"/>
    </xf>
    <xf numFmtId="3" fontId="114" fillId="0" borderId="11" xfId="0" applyNumberFormat="1" applyFont="1" applyFill="1" applyBorder="1" applyAlignment="1">
      <alignment horizontal="center" vertical="center" wrapText="1"/>
    </xf>
    <xf numFmtId="3" fontId="114" fillId="0" borderId="12" xfId="0" applyNumberFormat="1" applyFont="1" applyFill="1" applyBorder="1" applyAlignment="1">
      <alignment horizontal="center" vertical="center" wrapText="1"/>
    </xf>
    <xf numFmtId="3" fontId="114" fillId="0" borderId="15" xfId="0" applyNumberFormat="1" applyFont="1" applyFill="1" applyBorder="1" applyAlignment="1">
      <alignment horizontal="center" vertical="center" wrapText="1"/>
    </xf>
    <xf numFmtId="0" fontId="114" fillId="0" borderId="11" xfId="0" applyFont="1" applyFill="1" applyBorder="1" applyAlignment="1">
      <alignment horizontal="center" vertical="center" wrapText="1"/>
    </xf>
    <xf numFmtId="0" fontId="114" fillId="0" borderId="12" xfId="0" applyFont="1" applyFill="1" applyBorder="1" applyAlignment="1">
      <alignment horizontal="center" vertical="center" wrapText="1"/>
    </xf>
    <xf numFmtId="0" fontId="114" fillId="0" borderId="15" xfId="0" applyFont="1" applyFill="1" applyBorder="1" applyAlignment="1">
      <alignment horizontal="center" vertical="center" wrapText="1"/>
    </xf>
    <xf numFmtId="0" fontId="145" fillId="3" borderId="11" xfId="0" applyFont="1" applyFill="1" applyBorder="1" applyAlignment="1">
      <alignment horizontal="center" vertical="center" wrapText="1"/>
    </xf>
    <xf numFmtId="0" fontId="145" fillId="3" borderId="12" xfId="0" applyFont="1" applyFill="1" applyBorder="1" applyAlignment="1">
      <alignment horizontal="center" vertical="center" wrapText="1"/>
    </xf>
    <xf numFmtId="0" fontId="145" fillId="3" borderId="15" xfId="0" applyFont="1" applyFill="1" applyBorder="1" applyAlignment="1">
      <alignment horizontal="center" vertical="center" wrapText="1"/>
    </xf>
    <xf numFmtId="0" fontId="37" fillId="0" borderId="22" xfId="0" applyFont="1" applyFill="1" applyBorder="1" applyAlignment="1">
      <alignment vertical="center"/>
    </xf>
    <xf numFmtId="0" fontId="37" fillId="0" borderId="22" xfId="0" applyFont="1" applyBorder="1" applyAlignment="1">
      <alignment horizontal="center" vertical="center"/>
    </xf>
    <xf numFmtId="0" fontId="2" fillId="36" borderId="11" xfId="0" applyFont="1" applyFill="1" applyBorder="1" applyAlignment="1">
      <alignment horizontal="center" vertical="center" textRotation="90" wrapText="1"/>
    </xf>
    <xf numFmtId="0" fontId="2" fillId="36" borderId="15" xfId="0" applyFont="1" applyFill="1" applyBorder="1" applyAlignment="1">
      <alignment horizontal="center" vertical="center" textRotation="90" wrapText="1"/>
    </xf>
    <xf numFmtId="0" fontId="2" fillId="10" borderId="11" xfId="0" applyFont="1" applyFill="1" applyBorder="1" applyAlignment="1">
      <alignment horizontal="center" vertical="center" textRotation="90" wrapText="1"/>
    </xf>
    <xf numFmtId="0" fontId="2" fillId="10" borderId="15" xfId="0" applyFont="1" applyFill="1"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xdr:row>
      <xdr:rowOff>85725</xdr:rowOff>
    </xdr:from>
    <xdr:to>
      <xdr:col>4</xdr:col>
      <xdr:colOff>409575</xdr:colOff>
      <xdr:row>5</xdr:row>
      <xdr:rowOff>200025</xdr:rowOff>
    </xdr:to>
    <xdr:pic>
      <xdr:nvPicPr>
        <xdr:cNvPr id="1" name="2 Imagen" descr="Escudo.png"/>
        <xdr:cNvPicPr preferRelativeResize="1">
          <a:picLocks noChangeAspect="1"/>
        </xdr:cNvPicPr>
      </xdr:nvPicPr>
      <xdr:blipFill>
        <a:blip r:embed="rId1"/>
        <a:stretch>
          <a:fillRect/>
        </a:stretch>
      </xdr:blipFill>
      <xdr:spPr>
        <a:xfrm>
          <a:off x="1771650" y="276225"/>
          <a:ext cx="1123950"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1</xdr:row>
      <xdr:rowOff>76200</xdr:rowOff>
    </xdr:from>
    <xdr:to>
      <xdr:col>4</xdr:col>
      <xdr:colOff>352425</xdr:colOff>
      <xdr:row>5</xdr:row>
      <xdr:rowOff>123825</xdr:rowOff>
    </xdr:to>
    <xdr:pic>
      <xdr:nvPicPr>
        <xdr:cNvPr id="1" name="2 Imagen" descr="Escudo.png"/>
        <xdr:cNvPicPr preferRelativeResize="1">
          <a:picLocks noChangeAspect="1"/>
        </xdr:cNvPicPr>
      </xdr:nvPicPr>
      <xdr:blipFill>
        <a:blip r:embed="rId1"/>
        <a:stretch>
          <a:fillRect/>
        </a:stretch>
      </xdr:blipFill>
      <xdr:spPr>
        <a:xfrm>
          <a:off x="1419225" y="266700"/>
          <a:ext cx="1181100"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819150</xdr:colOff>
      <xdr:row>1</xdr:row>
      <xdr:rowOff>9525</xdr:rowOff>
    </xdr:from>
    <xdr:to>
      <xdr:col>4</xdr:col>
      <xdr:colOff>533400</xdr:colOff>
      <xdr:row>5</xdr:row>
      <xdr:rowOff>238125</xdr:rowOff>
    </xdr:to>
    <xdr:pic>
      <xdr:nvPicPr>
        <xdr:cNvPr id="1" name="2 Imagen" descr="Escudo.png"/>
        <xdr:cNvPicPr preferRelativeResize="1">
          <a:picLocks noChangeAspect="1"/>
        </xdr:cNvPicPr>
      </xdr:nvPicPr>
      <xdr:blipFill>
        <a:blip r:embed="rId1"/>
        <a:stretch>
          <a:fillRect/>
        </a:stretch>
      </xdr:blipFill>
      <xdr:spPr>
        <a:xfrm>
          <a:off x="1819275" y="200025"/>
          <a:ext cx="1381125" cy="1057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466725</xdr:colOff>
      <xdr:row>1</xdr:row>
      <xdr:rowOff>9525</xdr:rowOff>
    </xdr:from>
    <xdr:to>
      <xdr:col>4</xdr:col>
      <xdr:colOff>95250</xdr:colOff>
      <xdr:row>5</xdr:row>
      <xdr:rowOff>123825</xdr:rowOff>
    </xdr:to>
    <xdr:pic>
      <xdr:nvPicPr>
        <xdr:cNvPr id="1" name="2 Imagen" descr="Escudo.png"/>
        <xdr:cNvPicPr preferRelativeResize="1">
          <a:picLocks noChangeAspect="1"/>
        </xdr:cNvPicPr>
      </xdr:nvPicPr>
      <xdr:blipFill>
        <a:blip r:embed="rId1"/>
        <a:stretch>
          <a:fillRect/>
        </a:stretch>
      </xdr:blipFill>
      <xdr:spPr>
        <a:xfrm>
          <a:off x="2171700" y="200025"/>
          <a:ext cx="485775" cy="942975"/>
        </a:xfrm>
        <a:prstGeom prst="rect">
          <a:avLst/>
        </a:prstGeom>
        <a:noFill/>
        <a:ln w="9525" cmpd="sng">
          <a:noFill/>
        </a:ln>
      </xdr:spPr>
    </xdr:pic>
    <xdr:clientData/>
  </xdr:twoCellAnchor>
  <xdr:twoCellAnchor editAs="oneCell">
    <xdr:from>
      <xdr:col>3</xdr:col>
      <xdr:colOff>0</xdr:colOff>
      <xdr:row>7</xdr:row>
      <xdr:rowOff>9525</xdr:rowOff>
    </xdr:from>
    <xdr:to>
      <xdr:col>4</xdr:col>
      <xdr:colOff>295275</xdr:colOff>
      <xdr:row>11</xdr:row>
      <xdr:rowOff>152400</xdr:rowOff>
    </xdr:to>
    <xdr:pic>
      <xdr:nvPicPr>
        <xdr:cNvPr id="2" name="2 Imagen" descr="Escudo.png"/>
        <xdr:cNvPicPr preferRelativeResize="1">
          <a:picLocks noChangeAspect="1"/>
        </xdr:cNvPicPr>
      </xdr:nvPicPr>
      <xdr:blipFill>
        <a:blip r:embed="rId2"/>
        <a:stretch>
          <a:fillRect/>
        </a:stretch>
      </xdr:blipFill>
      <xdr:spPr>
        <a:xfrm>
          <a:off x="1704975" y="1476375"/>
          <a:ext cx="1152525" cy="1066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1</xdr:row>
      <xdr:rowOff>0</xdr:rowOff>
    </xdr:from>
    <xdr:to>
      <xdr:col>4</xdr:col>
      <xdr:colOff>657225</xdr:colOff>
      <xdr:row>5</xdr:row>
      <xdr:rowOff>180975</xdr:rowOff>
    </xdr:to>
    <xdr:pic>
      <xdr:nvPicPr>
        <xdr:cNvPr id="1" name="2 Imagen" descr="Escudo.png"/>
        <xdr:cNvPicPr preferRelativeResize="1">
          <a:picLocks noChangeAspect="1"/>
        </xdr:cNvPicPr>
      </xdr:nvPicPr>
      <xdr:blipFill>
        <a:blip r:embed="rId1"/>
        <a:stretch>
          <a:fillRect/>
        </a:stretch>
      </xdr:blipFill>
      <xdr:spPr>
        <a:xfrm>
          <a:off x="1876425" y="190500"/>
          <a:ext cx="1266825" cy="1009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76200</xdr:rowOff>
    </xdr:from>
    <xdr:to>
      <xdr:col>4</xdr:col>
      <xdr:colOff>390525</xdr:colOff>
      <xdr:row>5</xdr:row>
      <xdr:rowOff>190500</xdr:rowOff>
    </xdr:to>
    <xdr:pic>
      <xdr:nvPicPr>
        <xdr:cNvPr id="1" name="2 Imagen" descr="Escudo.png"/>
        <xdr:cNvPicPr preferRelativeResize="1">
          <a:picLocks noChangeAspect="1"/>
        </xdr:cNvPicPr>
      </xdr:nvPicPr>
      <xdr:blipFill>
        <a:blip r:embed="rId1"/>
        <a:stretch>
          <a:fillRect/>
        </a:stretch>
      </xdr:blipFill>
      <xdr:spPr>
        <a:xfrm>
          <a:off x="1781175" y="266700"/>
          <a:ext cx="11049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66675</xdr:rowOff>
    </xdr:from>
    <xdr:to>
      <xdr:col>4</xdr:col>
      <xdr:colOff>238125</xdr:colOff>
      <xdr:row>5</xdr:row>
      <xdr:rowOff>180975</xdr:rowOff>
    </xdr:to>
    <xdr:pic>
      <xdr:nvPicPr>
        <xdr:cNvPr id="1" name="2 Imagen" descr="Escudo.png"/>
        <xdr:cNvPicPr preferRelativeResize="1">
          <a:picLocks noChangeAspect="1"/>
        </xdr:cNvPicPr>
      </xdr:nvPicPr>
      <xdr:blipFill>
        <a:blip r:embed="rId1"/>
        <a:stretch>
          <a:fillRect/>
        </a:stretch>
      </xdr:blipFill>
      <xdr:spPr>
        <a:xfrm>
          <a:off x="1762125" y="257175"/>
          <a:ext cx="11239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1</xdr:row>
      <xdr:rowOff>47625</xdr:rowOff>
    </xdr:from>
    <xdr:to>
      <xdr:col>4</xdr:col>
      <xdr:colOff>266700</xdr:colOff>
      <xdr:row>5</xdr:row>
      <xdr:rowOff>161925</xdr:rowOff>
    </xdr:to>
    <xdr:pic>
      <xdr:nvPicPr>
        <xdr:cNvPr id="1" name="2 Imagen" descr="Escudo.png"/>
        <xdr:cNvPicPr preferRelativeResize="1">
          <a:picLocks noChangeAspect="1"/>
        </xdr:cNvPicPr>
      </xdr:nvPicPr>
      <xdr:blipFill>
        <a:blip r:embed="rId1"/>
        <a:stretch>
          <a:fillRect/>
        </a:stretch>
      </xdr:blipFill>
      <xdr:spPr>
        <a:xfrm>
          <a:off x="1990725" y="238125"/>
          <a:ext cx="127635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xdr:row>
      <xdr:rowOff>66675</xdr:rowOff>
    </xdr:from>
    <xdr:to>
      <xdr:col>4</xdr:col>
      <xdr:colOff>523875</xdr:colOff>
      <xdr:row>5</xdr:row>
      <xdr:rowOff>180975</xdr:rowOff>
    </xdr:to>
    <xdr:pic>
      <xdr:nvPicPr>
        <xdr:cNvPr id="1" name="2 Imagen" descr="Escudo.png"/>
        <xdr:cNvPicPr preferRelativeResize="1">
          <a:picLocks noChangeAspect="1"/>
        </xdr:cNvPicPr>
      </xdr:nvPicPr>
      <xdr:blipFill>
        <a:blip r:embed="rId1"/>
        <a:stretch>
          <a:fillRect/>
        </a:stretch>
      </xdr:blipFill>
      <xdr:spPr>
        <a:xfrm>
          <a:off x="1847850" y="257175"/>
          <a:ext cx="1190625"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85725</xdr:rowOff>
    </xdr:from>
    <xdr:to>
      <xdr:col>4</xdr:col>
      <xdr:colOff>428625</xdr:colOff>
      <xdr:row>6</xdr:row>
      <xdr:rowOff>133350</xdr:rowOff>
    </xdr:to>
    <xdr:pic>
      <xdr:nvPicPr>
        <xdr:cNvPr id="1" name="2 Imagen" descr="Escudo.png"/>
        <xdr:cNvPicPr preferRelativeResize="1">
          <a:picLocks noChangeAspect="1"/>
        </xdr:cNvPicPr>
      </xdr:nvPicPr>
      <xdr:blipFill>
        <a:blip r:embed="rId1"/>
        <a:stretch>
          <a:fillRect/>
        </a:stretch>
      </xdr:blipFill>
      <xdr:spPr>
        <a:xfrm>
          <a:off x="1752600" y="466725"/>
          <a:ext cx="11811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857250</xdr:colOff>
      <xdr:row>1</xdr:row>
      <xdr:rowOff>85725</xdr:rowOff>
    </xdr:from>
    <xdr:to>
      <xdr:col>4</xdr:col>
      <xdr:colOff>361950</xdr:colOff>
      <xdr:row>5</xdr:row>
      <xdr:rowOff>133350</xdr:rowOff>
    </xdr:to>
    <xdr:pic>
      <xdr:nvPicPr>
        <xdr:cNvPr id="1" name="2 Imagen" descr="Escudo.png"/>
        <xdr:cNvPicPr preferRelativeResize="1">
          <a:picLocks noChangeAspect="1"/>
        </xdr:cNvPicPr>
      </xdr:nvPicPr>
      <xdr:blipFill>
        <a:blip r:embed="rId1"/>
        <a:stretch>
          <a:fillRect/>
        </a:stretch>
      </xdr:blipFill>
      <xdr:spPr>
        <a:xfrm>
          <a:off x="1800225" y="276225"/>
          <a:ext cx="118110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2</xdr:row>
      <xdr:rowOff>47625</xdr:rowOff>
    </xdr:from>
    <xdr:to>
      <xdr:col>4</xdr:col>
      <xdr:colOff>314325</xdr:colOff>
      <xdr:row>6</xdr:row>
      <xdr:rowOff>161925</xdr:rowOff>
    </xdr:to>
    <xdr:pic>
      <xdr:nvPicPr>
        <xdr:cNvPr id="1" name="2 Imagen" descr="Escudo.png"/>
        <xdr:cNvPicPr preferRelativeResize="1">
          <a:picLocks noChangeAspect="1"/>
        </xdr:cNvPicPr>
      </xdr:nvPicPr>
      <xdr:blipFill>
        <a:blip r:embed="rId1"/>
        <a:stretch>
          <a:fillRect/>
        </a:stretch>
      </xdr:blipFill>
      <xdr:spPr>
        <a:xfrm>
          <a:off x="1743075" y="428625"/>
          <a:ext cx="11811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2</xdr:row>
      <xdr:rowOff>95250</xdr:rowOff>
    </xdr:from>
    <xdr:to>
      <xdr:col>4</xdr:col>
      <xdr:colOff>171450</xdr:colOff>
      <xdr:row>6</xdr:row>
      <xdr:rowOff>142875</xdr:rowOff>
    </xdr:to>
    <xdr:pic>
      <xdr:nvPicPr>
        <xdr:cNvPr id="1" name="3 Imagen" descr="Escudo.png"/>
        <xdr:cNvPicPr preferRelativeResize="1">
          <a:picLocks noChangeAspect="1"/>
        </xdr:cNvPicPr>
      </xdr:nvPicPr>
      <xdr:blipFill>
        <a:blip r:embed="rId1"/>
        <a:stretch>
          <a:fillRect/>
        </a:stretch>
      </xdr:blipFill>
      <xdr:spPr>
        <a:xfrm>
          <a:off x="1514475" y="476250"/>
          <a:ext cx="1181100"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590550</xdr:colOff>
      <xdr:row>1</xdr:row>
      <xdr:rowOff>133350</xdr:rowOff>
    </xdr:from>
    <xdr:to>
      <xdr:col>3</xdr:col>
      <xdr:colOff>742950</xdr:colOff>
      <xdr:row>5</xdr:row>
      <xdr:rowOff>190500</xdr:rowOff>
    </xdr:to>
    <xdr:pic>
      <xdr:nvPicPr>
        <xdr:cNvPr id="1" name="2 Imagen" descr="Escudo.png"/>
        <xdr:cNvPicPr preferRelativeResize="1">
          <a:picLocks noChangeAspect="1"/>
        </xdr:cNvPicPr>
      </xdr:nvPicPr>
      <xdr:blipFill>
        <a:blip r:embed="rId1"/>
        <a:stretch>
          <a:fillRect/>
        </a:stretch>
      </xdr:blipFill>
      <xdr:spPr>
        <a:xfrm>
          <a:off x="1676400" y="323850"/>
          <a:ext cx="11049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P110"/>
  <sheetViews>
    <sheetView showGridLines="0" showRowColHeaders="0" zoomScalePageLayoutView="0" workbookViewId="0" topLeftCell="A1">
      <selection activeCell="B8" sqref="B8:C10"/>
    </sheetView>
  </sheetViews>
  <sheetFormatPr defaultColWidth="11.421875" defaultRowHeight="15"/>
  <cols>
    <col min="1" max="1" width="2.28125" style="0" customWidth="1"/>
    <col min="2" max="2" width="18.7109375" style="0" customWidth="1"/>
    <col min="3" max="3" width="5.8515625" style="0" customWidth="1"/>
    <col min="4" max="4" width="10.421875" style="0" customWidth="1"/>
    <col min="5" max="5" width="7.7109375" style="0" customWidth="1"/>
    <col min="6" max="6" width="8.8515625" style="0" customWidth="1"/>
    <col min="7" max="7" width="18.00390625" style="0" customWidth="1"/>
    <col min="8" max="9" width="9.00390625" style="0" customWidth="1"/>
    <col min="10" max="10" width="12.7109375" style="0" customWidth="1"/>
    <col min="11" max="11" width="16.8515625" style="0" customWidth="1"/>
    <col min="12" max="12" width="11.421875" style="645" customWidth="1"/>
    <col min="14" max="14" width="30.8515625" style="0" customWidth="1"/>
    <col min="15" max="15" width="12.28125" style="0" customWidth="1"/>
    <col min="16" max="16" width="12.421875" style="0" customWidth="1"/>
    <col min="17" max="17" width="12.8515625" style="0" customWidth="1"/>
    <col min="18" max="18" width="13.140625" style="0" customWidth="1"/>
    <col min="20" max="20" width="10.140625" style="0" customWidth="1"/>
    <col min="21" max="21" width="11.421875" style="0" customWidth="1"/>
    <col min="22" max="22" width="10.8515625" style="0" customWidth="1"/>
    <col min="23" max="23" width="11.00390625" style="0" customWidth="1"/>
    <col min="24" max="24" width="12.00390625" style="0" customWidth="1"/>
    <col min="25" max="25" width="17.28125" style="0" customWidth="1"/>
    <col min="26" max="26" width="17.8515625" style="0" customWidth="1"/>
  </cols>
  <sheetData>
    <row r="1" spans="2:25" ht="15">
      <c r="B1" s="1006"/>
      <c r="C1" s="1006"/>
      <c r="D1" s="1006"/>
      <c r="E1" s="1006"/>
      <c r="F1" s="1006"/>
      <c r="G1" s="1006"/>
      <c r="H1" s="1006"/>
      <c r="I1" s="1006"/>
      <c r="J1" s="1006"/>
      <c r="K1" s="1006"/>
      <c r="L1" s="1007"/>
      <c r="M1" s="1006"/>
      <c r="N1" s="1006"/>
      <c r="O1" s="1006"/>
      <c r="P1" s="1006"/>
      <c r="Q1" s="1006"/>
      <c r="R1" s="1006"/>
      <c r="S1" s="1006"/>
      <c r="T1" s="1006"/>
      <c r="U1" s="1006"/>
      <c r="V1" s="1006"/>
      <c r="W1" s="1006"/>
      <c r="X1" s="1006"/>
      <c r="Y1" s="1006"/>
    </row>
    <row r="2" spans="2:25" ht="15" customHeight="1">
      <c r="B2" s="1366"/>
      <c r="C2" s="1366"/>
      <c r="D2" s="1366"/>
      <c r="E2" s="1366"/>
      <c r="F2" s="1366"/>
      <c r="G2" s="1366"/>
      <c r="H2" s="1367" t="s">
        <v>148</v>
      </c>
      <c r="I2" s="1368"/>
      <c r="J2" s="1368"/>
      <c r="K2" s="1368"/>
      <c r="L2" s="1368"/>
      <c r="M2" s="1368"/>
      <c r="N2" s="1368"/>
      <c r="O2" s="1368"/>
      <c r="P2" s="1368"/>
      <c r="Q2" s="1368"/>
      <c r="R2" s="1368"/>
      <c r="S2" s="1369"/>
      <c r="T2" s="1367" t="s">
        <v>149</v>
      </c>
      <c r="U2" s="1376"/>
      <c r="V2" s="1376"/>
      <c r="W2" s="1376"/>
      <c r="X2" s="1376"/>
      <c r="Y2" s="1377"/>
    </row>
    <row r="3" spans="2:25" ht="15" customHeight="1">
      <c r="B3" s="1366"/>
      <c r="C3" s="1366"/>
      <c r="D3" s="1366"/>
      <c r="E3" s="1366"/>
      <c r="F3" s="1366"/>
      <c r="G3" s="1366"/>
      <c r="H3" s="1370"/>
      <c r="I3" s="1371"/>
      <c r="J3" s="1371"/>
      <c r="K3" s="1371"/>
      <c r="L3" s="1371"/>
      <c r="M3" s="1371"/>
      <c r="N3" s="1371"/>
      <c r="O3" s="1371"/>
      <c r="P3" s="1371"/>
      <c r="Q3" s="1371"/>
      <c r="R3" s="1371"/>
      <c r="S3" s="1372"/>
      <c r="T3" s="1378"/>
      <c r="U3" s="1379"/>
      <c r="V3" s="1379"/>
      <c r="W3" s="1379"/>
      <c r="X3" s="1379"/>
      <c r="Y3" s="1380"/>
    </row>
    <row r="4" spans="2:25" ht="15" customHeight="1">
      <c r="B4" s="1366"/>
      <c r="C4" s="1366"/>
      <c r="D4" s="1366"/>
      <c r="E4" s="1366"/>
      <c r="F4" s="1366"/>
      <c r="G4" s="1366"/>
      <c r="H4" s="1373"/>
      <c r="I4" s="1374"/>
      <c r="J4" s="1374"/>
      <c r="K4" s="1374"/>
      <c r="L4" s="1374"/>
      <c r="M4" s="1374"/>
      <c r="N4" s="1374"/>
      <c r="O4" s="1374"/>
      <c r="P4" s="1374"/>
      <c r="Q4" s="1374"/>
      <c r="R4" s="1374"/>
      <c r="S4" s="1375"/>
      <c r="T4" s="1381"/>
      <c r="U4" s="1382"/>
      <c r="V4" s="1382"/>
      <c r="W4" s="1382"/>
      <c r="X4" s="1382"/>
      <c r="Y4" s="1383"/>
    </row>
    <row r="5" spans="2:25" ht="20.25">
      <c r="B5" s="1366"/>
      <c r="C5" s="1366"/>
      <c r="D5" s="1366"/>
      <c r="E5" s="1366"/>
      <c r="F5" s="1366"/>
      <c r="G5" s="1366"/>
      <c r="H5" s="1365" t="s">
        <v>856</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s="2" customFormat="1" ht="9">
      <c r="B7" s="996"/>
      <c r="C7" s="996"/>
      <c r="D7" s="996"/>
      <c r="E7" s="996"/>
      <c r="F7" s="996"/>
      <c r="G7" s="996"/>
      <c r="H7" s="996"/>
      <c r="I7" s="996"/>
      <c r="J7" s="996"/>
      <c r="K7" s="996"/>
      <c r="L7" s="1009"/>
      <c r="M7" s="996"/>
      <c r="N7" s="996"/>
      <c r="O7" s="996"/>
      <c r="P7" s="996"/>
      <c r="Q7" s="996"/>
      <c r="R7" s="996"/>
      <c r="S7" s="996"/>
      <c r="T7" s="996"/>
      <c r="U7" s="996"/>
      <c r="V7" s="996"/>
      <c r="W7" s="996"/>
      <c r="X7" s="996"/>
      <c r="Y7" s="996"/>
    </row>
    <row r="8" spans="2:25" ht="15">
      <c r="B8" s="1041" t="s">
        <v>103</v>
      </c>
      <c r="C8" s="1046"/>
      <c r="D8" s="1396" t="s">
        <v>1365</v>
      </c>
      <c r="E8" s="1397"/>
      <c r="F8" s="1397"/>
      <c r="G8" s="1397"/>
      <c r="H8" s="1397"/>
      <c r="I8" s="1397"/>
      <c r="J8" s="1385"/>
      <c r="K8" s="1385"/>
      <c r="L8" s="1385"/>
      <c r="M8" s="1385"/>
      <c r="N8" s="1385"/>
      <c r="O8" s="1385"/>
      <c r="P8" s="1385"/>
      <c r="Q8" s="1385"/>
      <c r="R8" s="1385"/>
      <c r="S8" s="1385"/>
      <c r="T8" s="1385"/>
      <c r="U8" s="1385"/>
      <c r="V8" s="1385"/>
      <c r="W8" s="1385"/>
      <c r="X8" s="1385"/>
      <c r="Y8" s="1386"/>
    </row>
    <row r="9" spans="2:25" ht="27" customHeight="1">
      <c r="B9" s="1413" t="s">
        <v>154</v>
      </c>
      <c r="C9" s="1414"/>
      <c r="D9" s="1401" t="s">
        <v>832</v>
      </c>
      <c r="E9" s="1402"/>
      <c r="F9" s="1402"/>
      <c r="G9" s="1402"/>
      <c r="H9" s="1402"/>
      <c r="I9" s="1402"/>
      <c r="J9" s="1402"/>
      <c r="K9" s="1402"/>
      <c r="L9" s="1402"/>
      <c r="M9" s="1402"/>
      <c r="N9" s="1402"/>
      <c r="O9" s="1402"/>
      <c r="P9" s="1402"/>
      <c r="Q9" s="1402"/>
      <c r="R9" s="1402"/>
      <c r="S9" s="1402"/>
      <c r="T9" s="1402"/>
      <c r="U9" s="1402"/>
      <c r="V9" s="1402"/>
      <c r="W9" s="1402"/>
      <c r="X9" s="1402"/>
      <c r="Y9" s="1403"/>
    </row>
    <row r="10" spans="2:25" ht="25.5" customHeight="1">
      <c r="B10" s="1037" t="s">
        <v>1383</v>
      </c>
      <c r="C10" s="1046"/>
      <c r="D10" s="1415" t="s">
        <v>1381</v>
      </c>
      <c r="E10" s="1416"/>
      <c r="F10" s="1416"/>
      <c r="G10" s="1416"/>
      <c r="H10" s="1416"/>
      <c r="I10" s="1416"/>
      <c r="J10" s="1416"/>
      <c r="K10" s="1416"/>
      <c r="L10" s="1416"/>
      <c r="M10" s="1416"/>
      <c r="N10" s="1416"/>
      <c r="O10" s="1416"/>
      <c r="P10" s="1416"/>
      <c r="Q10" s="1416"/>
      <c r="R10" s="1416"/>
      <c r="S10" s="1416"/>
      <c r="T10" s="1416"/>
      <c r="U10" s="1416"/>
      <c r="V10" s="1416"/>
      <c r="W10" s="1416"/>
      <c r="X10" s="1416"/>
      <c r="Y10" s="1417"/>
    </row>
    <row r="11" spans="2:25" ht="15">
      <c r="B11" s="996"/>
      <c r="C11" s="996"/>
      <c r="D11" s="996"/>
      <c r="E11" s="996"/>
      <c r="F11" s="996"/>
      <c r="G11" s="996"/>
      <c r="H11" s="996"/>
      <c r="I11" s="996"/>
      <c r="J11" s="996"/>
      <c r="K11" s="996"/>
      <c r="L11" s="1009"/>
      <c r="M11" s="996"/>
      <c r="N11" s="1010"/>
      <c r="O11" s="1010"/>
      <c r="P11" s="1010"/>
      <c r="Q11" s="1010"/>
      <c r="R11" s="1010"/>
      <c r="S11" s="1010"/>
      <c r="T11" s="1011"/>
      <c r="U11" s="1011"/>
      <c r="V11" s="1011"/>
      <c r="W11" s="1011"/>
      <c r="X11" s="1011"/>
      <c r="Y11" s="1011"/>
    </row>
    <row r="12" spans="2:25" ht="16.5" customHeight="1">
      <c r="B12" s="65"/>
      <c r="C12" s="65"/>
      <c r="D12" s="1398" t="s">
        <v>830</v>
      </c>
      <c r="E12" s="1399"/>
      <c r="F12" s="1399"/>
      <c r="G12" s="1399"/>
      <c r="H12" s="1399"/>
      <c r="I12" s="1400"/>
      <c r="J12" s="1398" t="s">
        <v>833</v>
      </c>
      <c r="K12" s="1399"/>
      <c r="L12" s="1399"/>
      <c r="M12" s="1399"/>
      <c r="N12" s="1399"/>
      <c r="O12" s="1399"/>
      <c r="P12" s="1399"/>
      <c r="Q12" s="1399"/>
      <c r="R12" s="1399"/>
      <c r="S12" s="1400"/>
      <c r="T12" s="1398" t="s">
        <v>834</v>
      </c>
      <c r="U12" s="1399"/>
      <c r="V12" s="1399"/>
      <c r="W12" s="1399"/>
      <c r="X12" s="1400"/>
      <c r="Y12" s="65"/>
    </row>
    <row r="13" spans="2:25" ht="29.25" customHeight="1">
      <c r="B13" s="1387" t="s">
        <v>103</v>
      </c>
      <c r="C13" s="1393" t="s">
        <v>140</v>
      </c>
      <c r="D13" s="1392" t="s">
        <v>0</v>
      </c>
      <c r="E13" s="1388" t="s">
        <v>140</v>
      </c>
      <c r="F13" s="1390" t="s">
        <v>141</v>
      </c>
      <c r="G13" s="1392" t="s">
        <v>104</v>
      </c>
      <c r="H13" s="1392" t="s">
        <v>142</v>
      </c>
      <c r="I13" s="1392" t="s">
        <v>143</v>
      </c>
      <c r="J13" s="1392" t="s">
        <v>1</v>
      </c>
      <c r="K13" s="1392" t="s">
        <v>2</v>
      </c>
      <c r="L13" s="1395" t="s">
        <v>140</v>
      </c>
      <c r="M13" s="1392" t="s">
        <v>3</v>
      </c>
      <c r="N13" s="1392" t="s">
        <v>4</v>
      </c>
      <c r="O13" s="1392" t="s">
        <v>5</v>
      </c>
      <c r="P13" s="66" t="s">
        <v>144</v>
      </c>
      <c r="Q13" s="66" t="s">
        <v>144</v>
      </c>
      <c r="R13" s="66" t="s">
        <v>145</v>
      </c>
      <c r="S13" s="66" t="s">
        <v>144</v>
      </c>
      <c r="T13" s="67">
        <v>2012</v>
      </c>
      <c r="U13" s="66">
        <v>2013</v>
      </c>
      <c r="V13" s="66">
        <v>2014</v>
      </c>
      <c r="W13" s="66">
        <v>2015</v>
      </c>
      <c r="X13" s="66" t="s">
        <v>146</v>
      </c>
      <c r="Y13" s="66" t="s">
        <v>147</v>
      </c>
    </row>
    <row r="14" spans="1:25" ht="38.25" customHeight="1">
      <c r="A14" s="1008"/>
      <c r="B14" s="1387"/>
      <c r="C14" s="1394"/>
      <c r="D14" s="1392"/>
      <c r="E14" s="1389"/>
      <c r="F14" s="1391"/>
      <c r="G14" s="1392"/>
      <c r="H14" s="1392"/>
      <c r="I14" s="1392"/>
      <c r="J14" s="1392"/>
      <c r="K14" s="1392"/>
      <c r="L14" s="1395"/>
      <c r="M14" s="1392"/>
      <c r="N14" s="1392"/>
      <c r="O14" s="1392"/>
      <c r="P14" s="68">
        <v>2012</v>
      </c>
      <c r="Q14" s="68">
        <v>2013</v>
      </c>
      <c r="R14" s="68">
        <v>2014</v>
      </c>
      <c r="S14" s="68">
        <v>2015</v>
      </c>
      <c r="T14" s="69"/>
      <c r="U14" s="70"/>
      <c r="V14" s="70"/>
      <c r="W14" s="70"/>
      <c r="X14" s="70"/>
      <c r="Y14" s="66"/>
    </row>
    <row r="15" spans="1:172" s="10" customFormat="1" ht="43.5" customHeight="1">
      <c r="A15" s="1004"/>
      <c r="B15" s="1407" t="s">
        <v>835</v>
      </c>
      <c r="C15" s="1433">
        <v>49.13</v>
      </c>
      <c r="D15" s="1421" t="s">
        <v>6</v>
      </c>
      <c r="E15" s="1404">
        <v>0.25</v>
      </c>
      <c r="F15" s="1407" t="s">
        <v>105</v>
      </c>
      <c r="G15" s="1407" t="s">
        <v>836</v>
      </c>
      <c r="H15" s="1418">
        <v>0.1</v>
      </c>
      <c r="I15" s="1418">
        <v>0.15</v>
      </c>
      <c r="J15" s="1424" t="s">
        <v>7</v>
      </c>
      <c r="K15" s="1358" t="s">
        <v>8</v>
      </c>
      <c r="L15" s="74">
        <v>0.01</v>
      </c>
      <c r="M15" s="40">
        <v>1</v>
      </c>
      <c r="N15" s="41" t="s">
        <v>857</v>
      </c>
      <c r="O15" s="42">
        <v>20168</v>
      </c>
      <c r="P15" s="71">
        <v>22000</v>
      </c>
      <c r="Q15" s="71">
        <v>25000</v>
      </c>
      <c r="R15" s="71">
        <v>28000</v>
      </c>
      <c r="S15" s="71">
        <v>30000</v>
      </c>
      <c r="T15" s="44">
        <v>100</v>
      </c>
      <c r="U15" s="44">
        <v>1000</v>
      </c>
      <c r="V15" s="44">
        <v>1500</v>
      </c>
      <c r="W15" s="44">
        <v>2000</v>
      </c>
      <c r="X15" s="44">
        <f>T15+U15+V15+W15</f>
        <v>4600</v>
      </c>
      <c r="Y15" s="45" t="s">
        <v>837</v>
      </c>
      <c r="Z15" s="19"/>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row>
    <row r="16" spans="1:172" s="10" customFormat="1" ht="45.75" customHeight="1">
      <c r="A16" s="1004"/>
      <c r="B16" s="1408"/>
      <c r="C16" s="1451"/>
      <c r="D16" s="1422"/>
      <c r="E16" s="1405"/>
      <c r="F16" s="1408"/>
      <c r="G16" s="1408"/>
      <c r="H16" s="1419"/>
      <c r="I16" s="1419"/>
      <c r="J16" s="1425"/>
      <c r="K16" s="1359"/>
      <c r="L16" s="74">
        <v>0.02</v>
      </c>
      <c r="M16" s="47" t="s">
        <v>875</v>
      </c>
      <c r="N16" s="75" t="s">
        <v>1331</v>
      </c>
      <c r="O16" s="47">
        <v>0</v>
      </c>
      <c r="P16" s="48">
        <v>50</v>
      </c>
      <c r="Q16" s="48">
        <v>100</v>
      </c>
      <c r="R16" s="48">
        <v>150</v>
      </c>
      <c r="S16" s="48">
        <v>200</v>
      </c>
      <c r="T16" s="72">
        <v>100</v>
      </c>
      <c r="U16" s="44">
        <v>1000</v>
      </c>
      <c r="V16" s="44">
        <v>1500</v>
      </c>
      <c r="W16" s="44">
        <v>2000</v>
      </c>
      <c r="X16" s="44">
        <f aca="true" t="shared" si="0" ref="X16:X83">T16+U16+V16+W16</f>
        <v>4600</v>
      </c>
      <c r="Y16" s="45" t="s">
        <v>837</v>
      </c>
      <c r="Z16" s="26"/>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row>
    <row r="17" spans="1:172" s="978" customFormat="1" ht="45.75" customHeight="1">
      <c r="A17" s="1004"/>
      <c r="B17" s="1408"/>
      <c r="C17" s="1451"/>
      <c r="D17" s="1422"/>
      <c r="E17" s="1405"/>
      <c r="F17" s="1408"/>
      <c r="G17" s="1408"/>
      <c r="H17" s="1419"/>
      <c r="I17" s="1419"/>
      <c r="J17" s="1425"/>
      <c r="K17" s="1359"/>
      <c r="L17" s="74">
        <v>0.01</v>
      </c>
      <c r="M17" s="47">
        <v>4</v>
      </c>
      <c r="N17" s="75" t="s">
        <v>1407</v>
      </c>
      <c r="O17" s="47">
        <v>0</v>
      </c>
      <c r="P17" s="48">
        <v>1</v>
      </c>
      <c r="Q17" s="48">
        <v>3</v>
      </c>
      <c r="R17" s="48">
        <v>4</v>
      </c>
      <c r="S17" s="48">
        <v>4</v>
      </c>
      <c r="T17" s="72">
        <v>300</v>
      </c>
      <c r="U17" s="44">
        <v>600</v>
      </c>
      <c r="V17" s="44">
        <v>300</v>
      </c>
      <c r="W17" s="44">
        <v>0</v>
      </c>
      <c r="X17" s="44">
        <f>SUM(T17:W17)</f>
        <v>1200</v>
      </c>
      <c r="Y17" s="45" t="s">
        <v>1408</v>
      </c>
      <c r="Z17" s="26"/>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row>
    <row r="18" spans="1:172" s="10" customFormat="1" ht="45.75" customHeight="1">
      <c r="A18" s="1004"/>
      <c r="B18" s="1408"/>
      <c r="C18" s="1451"/>
      <c r="D18" s="1422"/>
      <c r="E18" s="1405"/>
      <c r="F18" s="1408"/>
      <c r="G18" s="1408"/>
      <c r="H18" s="1419"/>
      <c r="I18" s="1419"/>
      <c r="J18" s="1425"/>
      <c r="K18" s="1359"/>
      <c r="L18" s="74">
        <v>0.02</v>
      </c>
      <c r="M18" s="39" t="s">
        <v>876</v>
      </c>
      <c r="N18" s="41" t="s">
        <v>877</v>
      </c>
      <c r="O18" s="47">
        <v>22000</v>
      </c>
      <c r="P18" s="48">
        <v>22500</v>
      </c>
      <c r="Q18" s="48">
        <v>23500</v>
      </c>
      <c r="R18" s="48">
        <v>24000</v>
      </c>
      <c r="S18" s="48">
        <v>24300</v>
      </c>
      <c r="T18" s="73">
        <v>100</v>
      </c>
      <c r="U18" s="44">
        <v>500</v>
      </c>
      <c r="V18" s="44">
        <v>500</v>
      </c>
      <c r="W18" s="44">
        <v>500</v>
      </c>
      <c r="X18" s="44">
        <f t="shared" si="0"/>
        <v>1600</v>
      </c>
      <c r="Y18" s="45" t="s">
        <v>837</v>
      </c>
      <c r="Z18" s="26"/>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row>
    <row r="19" spans="2:26" s="13" customFormat="1" ht="45.75" customHeight="1">
      <c r="B19" s="1408"/>
      <c r="C19" s="1451"/>
      <c r="D19" s="1422"/>
      <c r="E19" s="1405"/>
      <c r="F19" s="1408"/>
      <c r="G19" s="1408"/>
      <c r="H19" s="1419"/>
      <c r="I19" s="1419"/>
      <c r="J19" s="1425"/>
      <c r="K19" s="1359"/>
      <c r="L19" s="74">
        <v>0.02</v>
      </c>
      <c r="M19" s="40">
        <v>1</v>
      </c>
      <c r="N19" s="41" t="s">
        <v>858</v>
      </c>
      <c r="O19" s="40">
        <v>0</v>
      </c>
      <c r="P19" s="43">
        <v>1</v>
      </c>
      <c r="Q19" s="43">
        <v>1</v>
      </c>
      <c r="R19" s="43">
        <v>1</v>
      </c>
      <c r="S19" s="43">
        <v>1</v>
      </c>
      <c r="T19" s="44">
        <v>50</v>
      </c>
      <c r="U19" s="44">
        <v>4400</v>
      </c>
      <c r="V19" s="44">
        <v>4700</v>
      </c>
      <c r="W19" s="44">
        <v>5000</v>
      </c>
      <c r="X19" s="44">
        <f t="shared" si="0"/>
        <v>14150</v>
      </c>
      <c r="Y19" s="45" t="s">
        <v>837</v>
      </c>
      <c r="Z19" s="26"/>
    </row>
    <row r="20" spans="2:26" s="13" customFormat="1" ht="80.25" customHeight="1">
      <c r="B20" s="1408"/>
      <c r="C20" s="1451"/>
      <c r="D20" s="1422"/>
      <c r="E20" s="1405"/>
      <c r="F20" s="1408"/>
      <c r="G20" s="1408"/>
      <c r="H20" s="1419"/>
      <c r="I20" s="1419"/>
      <c r="J20" s="1425"/>
      <c r="K20" s="1359"/>
      <c r="L20" s="74">
        <v>0.02</v>
      </c>
      <c r="M20" s="40">
        <v>1</v>
      </c>
      <c r="N20" s="41" t="s">
        <v>859</v>
      </c>
      <c r="O20" s="40">
        <v>0</v>
      </c>
      <c r="P20" s="43">
        <v>1</v>
      </c>
      <c r="Q20" s="43">
        <v>1</v>
      </c>
      <c r="R20" s="43">
        <v>1</v>
      </c>
      <c r="S20" s="43">
        <v>1</v>
      </c>
      <c r="T20" s="44">
        <v>50</v>
      </c>
      <c r="U20" s="44">
        <v>500</v>
      </c>
      <c r="V20" s="44">
        <v>500</v>
      </c>
      <c r="W20" s="44">
        <v>500</v>
      </c>
      <c r="X20" s="44">
        <f t="shared" si="0"/>
        <v>1550</v>
      </c>
      <c r="Y20" s="45" t="s">
        <v>837</v>
      </c>
      <c r="Z20" s="26"/>
    </row>
    <row r="21" spans="2:26" s="13" customFormat="1" ht="54" customHeight="1">
      <c r="B21" s="1408"/>
      <c r="C21" s="1451"/>
      <c r="D21" s="1422"/>
      <c r="E21" s="1405"/>
      <c r="F21" s="1408"/>
      <c r="G21" s="1408"/>
      <c r="H21" s="1419"/>
      <c r="I21" s="1419"/>
      <c r="J21" s="1425"/>
      <c r="K21" s="1359"/>
      <c r="L21" s="74">
        <v>0.03</v>
      </c>
      <c r="M21" s="40">
        <v>1</v>
      </c>
      <c r="N21" s="41" t="s">
        <v>860</v>
      </c>
      <c r="O21" s="40">
        <v>0</v>
      </c>
      <c r="P21" s="43">
        <v>1</v>
      </c>
      <c r="Q21" s="43">
        <v>1</v>
      </c>
      <c r="R21" s="43">
        <v>1</v>
      </c>
      <c r="S21" s="43">
        <v>1</v>
      </c>
      <c r="T21" s="44">
        <v>150</v>
      </c>
      <c r="U21" s="44"/>
      <c r="V21" s="44"/>
      <c r="W21" s="44"/>
      <c r="X21" s="44">
        <f t="shared" si="0"/>
        <v>150</v>
      </c>
      <c r="Y21" s="45" t="s">
        <v>837</v>
      </c>
      <c r="Z21" s="26"/>
    </row>
    <row r="22" spans="2:26" s="13" customFormat="1" ht="69" customHeight="1">
      <c r="B22" s="1408"/>
      <c r="C22" s="1451"/>
      <c r="D22" s="1422"/>
      <c r="E22" s="1405"/>
      <c r="F22" s="1409"/>
      <c r="G22" s="1409"/>
      <c r="H22" s="1420"/>
      <c r="I22" s="1420"/>
      <c r="J22" s="1425"/>
      <c r="K22" s="1360"/>
      <c r="L22" s="74">
        <v>0.01</v>
      </c>
      <c r="M22" s="40">
        <v>3</v>
      </c>
      <c r="N22" s="41" t="s">
        <v>878</v>
      </c>
      <c r="O22" s="40">
        <v>0</v>
      </c>
      <c r="P22" s="43">
        <v>0</v>
      </c>
      <c r="Q22" s="43">
        <v>1</v>
      </c>
      <c r="R22" s="43">
        <v>1</v>
      </c>
      <c r="S22" s="43">
        <v>1</v>
      </c>
      <c r="T22" s="44">
        <v>0</v>
      </c>
      <c r="U22" s="44">
        <v>500</v>
      </c>
      <c r="V22" s="44">
        <v>500</v>
      </c>
      <c r="W22" s="44">
        <v>500</v>
      </c>
      <c r="X22" s="44">
        <f t="shared" si="0"/>
        <v>1500</v>
      </c>
      <c r="Y22" s="45" t="s">
        <v>837</v>
      </c>
      <c r="Z22" s="26"/>
    </row>
    <row r="23" spans="2:26" s="13" customFormat="1" ht="36" customHeight="1">
      <c r="B23" s="1408"/>
      <c r="C23" s="1451"/>
      <c r="D23" s="1422"/>
      <c r="E23" s="1405"/>
      <c r="F23" s="1407" t="s">
        <v>105</v>
      </c>
      <c r="G23" s="1407" t="s">
        <v>838</v>
      </c>
      <c r="H23" s="1404">
        <v>0.9</v>
      </c>
      <c r="I23" s="1404">
        <v>0.95</v>
      </c>
      <c r="J23" s="1425"/>
      <c r="K23" s="1358" t="s">
        <v>9</v>
      </c>
      <c r="L23" s="74">
        <v>0.44</v>
      </c>
      <c r="M23" s="42">
        <v>16000</v>
      </c>
      <c r="N23" s="41" t="s">
        <v>10</v>
      </c>
      <c r="O23" s="40" t="s">
        <v>11</v>
      </c>
      <c r="P23" s="43">
        <v>251000</v>
      </c>
      <c r="Q23" s="43">
        <v>255000</v>
      </c>
      <c r="R23" s="43">
        <v>260000</v>
      </c>
      <c r="S23" s="43">
        <v>261000</v>
      </c>
      <c r="T23" s="44">
        <v>0</v>
      </c>
      <c r="U23" s="44">
        <v>13700</v>
      </c>
      <c r="V23" s="44">
        <v>10900</v>
      </c>
      <c r="W23" s="44">
        <v>9150</v>
      </c>
      <c r="X23" s="44">
        <f t="shared" si="0"/>
        <v>33750</v>
      </c>
      <c r="Y23" s="45" t="s">
        <v>839</v>
      </c>
      <c r="Z23" s="26"/>
    </row>
    <row r="24" spans="2:26" s="13" customFormat="1" ht="59.25" customHeight="1">
      <c r="B24" s="1408"/>
      <c r="C24" s="1451"/>
      <c r="D24" s="1422"/>
      <c r="E24" s="1405"/>
      <c r="F24" s="1408"/>
      <c r="G24" s="1408"/>
      <c r="H24" s="1405"/>
      <c r="I24" s="1405"/>
      <c r="J24" s="1425"/>
      <c r="K24" s="1359"/>
      <c r="L24" s="74">
        <v>0.01</v>
      </c>
      <c r="M24" s="40">
        <v>1</v>
      </c>
      <c r="N24" s="41" t="s">
        <v>861</v>
      </c>
      <c r="O24" s="40">
        <v>0</v>
      </c>
      <c r="P24" s="43">
        <v>1</v>
      </c>
      <c r="Q24" s="43">
        <v>1</v>
      </c>
      <c r="R24" s="43">
        <v>1</v>
      </c>
      <c r="S24" s="43">
        <v>1</v>
      </c>
      <c r="T24" s="44">
        <v>60</v>
      </c>
      <c r="U24" s="44">
        <v>500</v>
      </c>
      <c r="V24" s="44">
        <v>500</v>
      </c>
      <c r="W24" s="44">
        <v>500</v>
      </c>
      <c r="X24" s="44">
        <f t="shared" si="0"/>
        <v>1560</v>
      </c>
      <c r="Y24" s="45" t="s">
        <v>839</v>
      </c>
      <c r="Z24" s="26"/>
    </row>
    <row r="25" spans="2:26" s="13" customFormat="1" ht="48.75" customHeight="1">
      <c r="B25" s="1408"/>
      <c r="C25" s="1451"/>
      <c r="D25" s="1422"/>
      <c r="E25" s="1405"/>
      <c r="F25" s="1408"/>
      <c r="G25" s="1408"/>
      <c r="H25" s="1405"/>
      <c r="I25" s="1405"/>
      <c r="J25" s="1425"/>
      <c r="K25" s="1359"/>
      <c r="L25" s="74">
        <v>0.02</v>
      </c>
      <c r="M25" s="46" t="s">
        <v>879</v>
      </c>
      <c r="N25" s="41" t="s">
        <v>880</v>
      </c>
      <c r="O25" s="47">
        <v>270000</v>
      </c>
      <c r="P25" s="48">
        <v>265000</v>
      </c>
      <c r="Q25" s="48">
        <v>250000</v>
      </c>
      <c r="R25" s="48">
        <v>230000</v>
      </c>
      <c r="S25" s="48">
        <v>200000</v>
      </c>
      <c r="T25" s="44">
        <v>100</v>
      </c>
      <c r="U25" s="44">
        <v>200</v>
      </c>
      <c r="V25" s="44">
        <v>300</v>
      </c>
      <c r="W25" s="44">
        <v>300</v>
      </c>
      <c r="X25" s="44">
        <f>T25+U25+V25+W25</f>
        <v>900</v>
      </c>
      <c r="Y25" s="45" t="s">
        <v>839</v>
      </c>
      <c r="Z25" s="26"/>
    </row>
    <row r="26" spans="2:26" s="13" customFormat="1" ht="40.5" customHeight="1">
      <c r="B26" s="1408"/>
      <c r="C26" s="1451"/>
      <c r="D26" s="1422"/>
      <c r="E26" s="1405"/>
      <c r="F26" s="1408"/>
      <c r="G26" s="1408"/>
      <c r="H26" s="1405"/>
      <c r="I26" s="1405"/>
      <c r="J26" s="1425"/>
      <c r="K26" s="1360"/>
      <c r="L26" s="74">
        <v>0.02</v>
      </c>
      <c r="M26" s="46">
        <v>5000</v>
      </c>
      <c r="N26" s="41" t="s">
        <v>881</v>
      </c>
      <c r="O26" s="47">
        <v>0</v>
      </c>
      <c r="P26" s="48">
        <v>5636</v>
      </c>
      <c r="Q26" s="48">
        <v>5500</v>
      </c>
      <c r="R26" s="48">
        <v>5300</v>
      </c>
      <c r="S26" s="48">
        <v>5000</v>
      </c>
      <c r="T26" s="44">
        <v>3700</v>
      </c>
      <c r="U26" s="44">
        <v>3900</v>
      </c>
      <c r="V26" s="44">
        <v>3800</v>
      </c>
      <c r="W26" s="44">
        <v>3000</v>
      </c>
      <c r="X26" s="79">
        <f>T26+U26+V26+W26</f>
        <v>14400</v>
      </c>
      <c r="Y26" s="45" t="s">
        <v>839</v>
      </c>
      <c r="Z26" s="26"/>
    </row>
    <row r="27" spans="2:26" s="13" customFormat="1" ht="53.25" customHeight="1">
      <c r="B27" s="1408"/>
      <c r="C27" s="1451"/>
      <c r="D27" s="1422"/>
      <c r="E27" s="1405"/>
      <c r="F27" s="1408"/>
      <c r="G27" s="1408"/>
      <c r="H27" s="1405"/>
      <c r="I27" s="1405"/>
      <c r="J27" s="1425"/>
      <c r="K27" s="1358" t="s">
        <v>13</v>
      </c>
      <c r="L27" s="74">
        <v>0.02</v>
      </c>
      <c r="M27" s="40">
        <v>1</v>
      </c>
      <c r="N27" s="41" t="s">
        <v>862</v>
      </c>
      <c r="O27" s="40">
        <v>0</v>
      </c>
      <c r="P27" s="43">
        <v>1</v>
      </c>
      <c r="Q27" s="43">
        <v>1</v>
      </c>
      <c r="R27" s="43">
        <v>1</v>
      </c>
      <c r="S27" s="43">
        <v>1</v>
      </c>
      <c r="T27" s="44">
        <v>100</v>
      </c>
      <c r="U27" s="44">
        <v>500</v>
      </c>
      <c r="V27" s="44">
        <v>500</v>
      </c>
      <c r="W27" s="44">
        <v>500</v>
      </c>
      <c r="X27" s="44">
        <f t="shared" si="0"/>
        <v>1600</v>
      </c>
      <c r="Y27" s="45" t="s">
        <v>839</v>
      </c>
      <c r="Z27" s="26"/>
    </row>
    <row r="28" spans="2:26" s="13" customFormat="1" ht="53.25" customHeight="1">
      <c r="B28" s="1408"/>
      <c r="C28" s="1451"/>
      <c r="D28" s="1422"/>
      <c r="E28" s="1405"/>
      <c r="F28" s="1408"/>
      <c r="G28" s="1408"/>
      <c r="H28" s="1405"/>
      <c r="I28" s="1405"/>
      <c r="J28" s="1425"/>
      <c r="K28" s="1359"/>
      <c r="L28" s="74">
        <v>0.02</v>
      </c>
      <c r="M28" s="40">
        <v>400</v>
      </c>
      <c r="N28" s="41" t="s">
        <v>14</v>
      </c>
      <c r="O28" s="40">
        <v>0</v>
      </c>
      <c r="P28" s="43">
        <v>100</v>
      </c>
      <c r="Q28" s="43">
        <v>200</v>
      </c>
      <c r="R28" s="43">
        <v>300</v>
      </c>
      <c r="S28" s="43">
        <v>400</v>
      </c>
      <c r="T28" s="44">
        <v>100</v>
      </c>
      <c r="U28" s="44">
        <v>1000</v>
      </c>
      <c r="V28" s="44">
        <v>1000</v>
      </c>
      <c r="W28" s="44">
        <v>1000</v>
      </c>
      <c r="X28" s="44">
        <f t="shared" si="0"/>
        <v>3100</v>
      </c>
      <c r="Y28" s="45" t="s">
        <v>839</v>
      </c>
      <c r="Z28" s="26"/>
    </row>
    <row r="29" spans="2:26" s="13" customFormat="1" ht="26.25">
      <c r="B29" s="1408"/>
      <c r="C29" s="1451"/>
      <c r="D29" s="1422"/>
      <c r="E29" s="1405"/>
      <c r="F29" s="1408"/>
      <c r="G29" s="1408"/>
      <c r="H29" s="1405"/>
      <c r="I29" s="1405"/>
      <c r="J29" s="1425"/>
      <c r="K29" s="1360"/>
      <c r="L29" s="74">
        <v>0.02</v>
      </c>
      <c r="M29" s="42">
        <v>1000</v>
      </c>
      <c r="N29" s="41" t="s">
        <v>15</v>
      </c>
      <c r="O29" s="42">
        <v>1143</v>
      </c>
      <c r="P29" s="43">
        <v>1000</v>
      </c>
      <c r="Q29" s="43">
        <v>1000</v>
      </c>
      <c r="R29" s="43">
        <v>1000</v>
      </c>
      <c r="S29" s="43">
        <v>1000</v>
      </c>
      <c r="T29" s="44">
        <v>107</v>
      </c>
      <c r="U29" s="44">
        <v>500</v>
      </c>
      <c r="V29" s="44">
        <v>500</v>
      </c>
      <c r="W29" s="44">
        <v>500</v>
      </c>
      <c r="X29" s="44">
        <f t="shared" si="0"/>
        <v>1607</v>
      </c>
      <c r="Y29" s="45" t="s">
        <v>839</v>
      </c>
      <c r="Z29" s="26"/>
    </row>
    <row r="30" spans="2:26" s="13" customFormat="1" ht="26.25">
      <c r="B30" s="1408"/>
      <c r="C30" s="1451"/>
      <c r="D30" s="1422"/>
      <c r="E30" s="1405"/>
      <c r="F30" s="1409"/>
      <c r="G30" s="1409"/>
      <c r="H30" s="1406"/>
      <c r="I30" s="1406"/>
      <c r="J30" s="1425"/>
      <c r="K30" s="40" t="s">
        <v>16</v>
      </c>
      <c r="L30" s="74">
        <v>0.02</v>
      </c>
      <c r="M30" s="40">
        <v>27</v>
      </c>
      <c r="N30" s="41" t="s">
        <v>17</v>
      </c>
      <c r="O30" s="40">
        <v>0</v>
      </c>
      <c r="P30" s="43">
        <v>5</v>
      </c>
      <c r="Q30" s="43">
        <v>10</v>
      </c>
      <c r="R30" s="43">
        <v>20</v>
      </c>
      <c r="S30" s="43">
        <v>27</v>
      </c>
      <c r="T30" s="44">
        <v>100</v>
      </c>
      <c r="U30" s="44">
        <v>300</v>
      </c>
      <c r="V30" s="44">
        <v>500</v>
      </c>
      <c r="W30" s="44">
        <v>1000</v>
      </c>
      <c r="X30" s="44">
        <f t="shared" si="0"/>
        <v>1900</v>
      </c>
      <c r="Y30" s="45" t="s">
        <v>839</v>
      </c>
      <c r="Z30" s="26"/>
    </row>
    <row r="31" spans="2:26" s="13" customFormat="1" ht="39">
      <c r="B31" s="1408"/>
      <c r="C31" s="1451"/>
      <c r="D31" s="1422"/>
      <c r="E31" s="1405"/>
      <c r="F31" s="1407" t="s">
        <v>108</v>
      </c>
      <c r="G31" s="1407" t="s">
        <v>109</v>
      </c>
      <c r="H31" s="1410">
        <v>0.1</v>
      </c>
      <c r="I31" s="1410">
        <v>0.13</v>
      </c>
      <c r="J31" s="1425"/>
      <c r="K31" s="1358" t="s">
        <v>18</v>
      </c>
      <c r="L31" s="74">
        <v>0.01</v>
      </c>
      <c r="M31" s="40">
        <v>500</v>
      </c>
      <c r="N31" s="41" t="s">
        <v>19</v>
      </c>
      <c r="O31" s="40" t="s">
        <v>20</v>
      </c>
      <c r="P31" s="43">
        <v>12200</v>
      </c>
      <c r="Q31" s="43">
        <v>12300</v>
      </c>
      <c r="R31" s="43">
        <v>12400</v>
      </c>
      <c r="S31" s="43">
        <v>12500</v>
      </c>
      <c r="T31" s="44">
        <v>100</v>
      </c>
      <c r="U31" s="44">
        <v>500</v>
      </c>
      <c r="V31" s="44">
        <v>1000</v>
      </c>
      <c r="W31" s="44">
        <v>1000</v>
      </c>
      <c r="X31" s="44">
        <f t="shared" si="0"/>
        <v>2600</v>
      </c>
      <c r="Y31" s="45" t="s">
        <v>839</v>
      </c>
      <c r="Z31" s="26"/>
    </row>
    <row r="32" spans="2:26" s="13" customFormat="1" ht="57" customHeight="1">
      <c r="B32" s="1408"/>
      <c r="C32" s="1451"/>
      <c r="D32" s="1422"/>
      <c r="E32" s="1405"/>
      <c r="F32" s="1408"/>
      <c r="G32" s="1408"/>
      <c r="H32" s="1411"/>
      <c r="I32" s="1411"/>
      <c r="J32" s="1425"/>
      <c r="K32" s="1359"/>
      <c r="L32" s="74">
        <v>0.01</v>
      </c>
      <c r="M32" s="40">
        <v>20</v>
      </c>
      <c r="N32" s="41" t="s">
        <v>21</v>
      </c>
      <c r="O32" s="40" t="s">
        <v>22</v>
      </c>
      <c r="P32" s="43">
        <v>13</v>
      </c>
      <c r="Q32" s="43">
        <v>15</v>
      </c>
      <c r="R32" s="43">
        <v>18</v>
      </c>
      <c r="S32" s="43">
        <v>20</v>
      </c>
      <c r="T32" s="44">
        <v>50</v>
      </c>
      <c r="U32" s="44">
        <v>200</v>
      </c>
      <c r="V32" s="44">
        <v>200</v>
      </c>
      <c r="W32" s="44">
        <v>200</v>
      </c>
      <c r="X32" s="44">
        <f t="shared" si="0"/>
        <v>650</v>
      </c>
      <c r="Y32" s="45" t="s">
        <v>839</v>
      </c>
      <c r="Z32" s="26"/>
    </row>
    <row r="33" spans="2:26" s="13" customFormat="1" ht="51.75">
      <c r="B33" s="1408"/>
      <c r="C33" s="1451"/>
      <c r="D33" s="1422"/>
      <c r="E33" s="1405"/>
      <c r="F33" s="1408"/>
      <c r="G33" s="1408"/>
      <c r="H33" s="1411"/>
      <c r="I33" s="1411"/>
      <c r="J33" s="1425"/>
      <c r="K33" s="1359"/>
      <c r="L33" s="74">
        <v>0.01</v>
      </c>
      <c r="M33" s="40">
        <v>500</v>
      </c>
      <c r="N33" s="41" t="s">
        <v>23</v>
      </c>
      <c r="O33" s="40">
        <v>0</v>
      </c>
      <c r="P33" s="43">
        <v>100</v>
      </c>
      <c r="Q33" s="43">
        <v>150</v>
      </c>
      <c r="R33" s="43">
        <v>300</v>
      </c>
      <c r="S33" s="43">
        <v>500</v>
      </c>
      <c r="T33" s="44">
        <v>50</v>
      </c>
      <c r="U33" s="44">
        <v>200</v>
      </c>
      <c r="V33" s="44">
        <v>200</v>
      </c>
      <c r="W33" s="44">
        <v>200</v>
      </c>
      <c r="X33" s="44">
        <f t="shared" si="0"/>
        <v>650</v>
      </c>
      <c r="Y33" s="45" t="s">
        <v>839</v>
      </c>
      <c r="Z33" s="26"/>
    </row>
    <row r="34" spans="2:26" s="13" customFormat="1" ht="81" customHeight="1">
      <c r="B34" s="1408"/>
      <c r="C34" s="1451"/>
      <c r="D34" s="1422"/>
      <c r="E34" s="1405"/>
      <c r="F34" s="1408"/>
      <c r="G34" s="1408"/>
      <c r="H34" s="1411"/>
      <c r="I34" s="1411"/>
      <c r="J34" s="1425"/>
      <c r="K34" s="1359"/>
      <c r="L34" s="74">
        <v>0.01</v>
      </c>
      <c r="M34" s="40">
        <v>20</v>
      </c>
      <c r="N34" s="41" t="s">
        <v>863</v>
      </c>
      <c r="O34" s="40">
        <v>0</v>
      </c>
      <c r="P34" s="43">
        <v>5</v>
      </c>
      <c r="Q34" s="43">
        <v>10</v>
      </c>
      <c r="R34" s="43">
        <v>15</v>
      </c>
      <c r="S34" s="43">
        <v>20</v>
      </c>
      <c r="T34" s="44">
        <v>50</v>
      </c>
      <c r="U34" s="44">
        <v>1000</v>
      </c>
      <c r="V34" s="44">
        <v>2000</v>
      </c>
      <c r="W34" s="44">
        <v>3000</v>
      </c>
      <c r="X34" s="44">
        <f t="shared" si="0"/>
        <v>6050</v>
      </c>
      <c r="Y34" s="45" t="s">
        <v>839</v>
      </c>
      <c r="Z34" s="26"/>
    </row>
    <row r="35" spans="2:26" s="13" customFormat="1" ht="36.75" customHeight="1">
      <c r="B35" s="1408"/>
      <c r="C35" s="1451"/>
      <c r="D35" s="1422"/>
      <c r="E35" s="1405"/>
      <c r="F35" s="1408"/>
      <c r="G35" s="1408"/>
      <c r="H35" s="1411"/>
      <c r="I35" s="1411"/>
      <c r="J35" s="1425"/>
      <c r="K35" s="1359"/>
      <c r="L35" s="74">
        <v>0.01</v>
      </c>
      <c r="M35" s="40">
        <v>1</v>
      </c>
      <c r="N35" s="41" t="s">
        <v>864</v>
      </c>
      <c r="O35" s="40">
        <v>1</v>
      </c>
      <c r="P35" s="43">
        <v>1</v>
      </c>
      <c r="Q35" s="43">
        <v>1</v>
      </c>
      <c r="R35" s="43">
        <v>1</v>
      </c>
      <c r="S35" s="43">
        <v>1</v>
      </c>
      <c r="T35" s="44">
        <v>50</v>
      </c>
      <c r="U35" s="44">
        <v>500</v>
      </c>
      <c r="V35" s="44">
        <v>500</v>
      </c>
      <c r="W35" s="44">
        <v>500</v>
      </c>
      <c r="X35" s="44">
        <f t="shared" si="0"/>
        <v>1550</v>
      </c>
      <c r="Y35" s="45" t="s">
        <v>839</v>
      </c>
      <c r="Z35" s="26"/>
    </row>
    <row r="36" spans="2:26" s="13" customFormat="1" ht="46.5" customHeight="1">
      <c r="B36" s="1408"/>
      <c r="C36" s="1451"/>
      <c r="D36" s="1422"/>
      <c r="E36" s="1405"/>
      <c r="F36" s="1408"/>
      <c r="G36" s="1408"/>
      <c r="H36" s="1411"/>
      <c r="I36" s="1411"/>
      <c r="J36" s="1425"/>
      <c r="K36" s="1359"/>
      <c r="L36" s="74">
        <v>0.01</v>
      </c>
      <c r="M36" s="40">
        <v>500</v>
      </c>
      <c r="N36" s="41" t="s">
        <v>865</v>
      </c>
      <c r="O36" s="40">
        <v>0</v>
      </c>
      <c r="P36" s="43">
        <v>100</v>
      </c>
      <c r="Q36" s="43">
        <v>250</v>
      </c>
      <c r="R36" s="43">
        <v>400</v>
      </c>
      <c r="S36" s="43">
        <v>500</v>
      </c>
      <c r="T36" s="44">
        <v>35</v>
      </c>
      <c r="U36" s="44">
        <v>100</v>
      </c>
      <c r="V36" s="44">
        <v>200</v>
      </c>
      <c r="W36" s="44">
        <v>300</v>
      </c>
      <c r="X36" s="44">
        <f t="shared" si="0"/>
        <v>635</v>
      </c>
      <c r="Y36" s="45" t="s">
        <v>839</v>
      </c>
      <c r="Z36" s="26"/>
    </row>
    <row r="37" spans="2:26" s="13" customFormat="1" ht="39">
      <c r="B37" s="1408"/>
      <c r="C37" s="1451"/>
      <c r="D37" s="1422"/>
      <c r="E37" s="1405"/>
      <c r="F37" s="1408"/>
      <c r="G37" s="1408"/>
      <c r="H37" s="1411"/>
      <c r="I37" s="1411"/>
      <c r="J37" s="1425"/>
      <c r="K37" s="1360"/>
      <c r="L37" s="74">
        <v>0.01</v>
      </c>
      <c r="M37" s="40">
        <v>100</v>
      </c>
      <c r="N37" s="41" t="s">
        <v>24</v>
      </c>
      <c r="O37" s="40" t="s">
        <v>25</v>
      </c>
      <c r="P37" s="43">
        <v>50</v>
      </c>
      <c r="Q37" s="43">
        <v>70</v>
      </c>
      <c r="R37" s="43">
        <v>100</v>
      </c>
      <c r="S37" s="43">
        <v>140</v>
      </c>
      <c r="T37" s="44">
        <v>50</v>
      </c>
      <c r="U37" s="44">
        <v>100</v>
      </c>
      <c r="V37" s="44">
        <v>100</v>
      </c>
      <c r="W37" s="44">
        <v>100</v>
      </c>
      <c r="X37" s="44">
        <f t="shared" si="0"/>
        <v>350</v>
      </c>
      <c r="Y37" s="45" t="s">
        <v>839</v>
      </c>
      <c r="Z37" s="26"/>
    </row>
    <row r="38" spans="2:26" s="13" customFormat="1" ht="38.25">
      <c r="B38" s="1408"/>
      <c r="C38" s="1451"/>
      <c r="D38" s="1422"/>
      <c r="E38" s="1405"/>
      <c r="F38" s="1408"/>
      <c r="G38" s="1408"/>
      <c r="H38" s="1411"/>
      <c r="I38" s="1411"/>
      <c r="J38" s="1425"/>
      <c r="K38" s="1358" t="s">
        <v>26</v>
      </c>
      <c r="L38" s="74">
        <v>0.01</v>
      </c>
      <c r="M38" s="40">
        <v>128</v>
      </c>
      <c r="N38" s="49" t="s">
        <v>27</v>
      </c>
      <c r="O38" s="40" t="s">
        <v>28</v>
      </c>
      <c r="P38" s="43">
        <v>250</v>
      </c>
      <c r="Q38" s="43">
        <v>280</v>
      </c>
      <c r="R38" s="43">
        <v>300</v>
      </c>
      <c r="S38" s="43">
        <v>320</v>
      </c>
      <c r="T38" s="44">
        <v>20</v>
      </c>
      <c r="U38" s="44">
        <v>200</v>
      </c>
      <c r="V38" s="44">
        <v>200</v>
      </c>
      <c r="W38" s="44">
        <v>200</v>
      </c>
      <c r="X38" s="44">
        <f t="shared" si="0"/>
        <v>620</v>
      </c>
      <c r="Y38" s="45" t="s">
        <v>839</v>
      </c>
      <c r="Z38" s="26"/>
    </row>
    <row r="39" spans="2:26" s="13" customFormat="1" ht="25.5">
      <c r="B39" s="1408"/>
      <c r="C39" s="1451"/>
      <c r="D39" s="1422"/>
      <c r="E39" s="1405"/>
      <c r="F39" s="1408"/>
      <c r="G39" s="1408"/>
      <c r="H39" s="1411"/>
      <c r="I39" s="1411"/>
      <c r="J39" s="1425"/>
      <c r="K39" s="1359"/>
      <c r="L39" s="74">
        <v>0.01</v>
      </c>
      <c r="M39" s="40">
        <v>81</v>
      </c>
      <c r="N39" s="49" t="s">
        <v>29</v>
      </c>
      <c r="O39" s="40">
        <v>0</v>
      </c>
      <c r="P39" s="43">
        <v>10</v>
      </c>
      <c r="Q39" s="43">
        <v>60</v>
      </c>
      <c r="R39" s="43">
        <v>81</v>
      </c>
      <c r="S39" s="43">
        <v>81</v>
      </c>
      <c r="T39" s="44">
        <v>20</v>
      </c>
      <c r="U39" s="44">
        <v>200</v>
      </c>
      <c r="V39" s="44">
        <v>200</v>
      </c>
      <c r="W39" s="44">
        <v>200</v>
      </c>
      <c r="X39" s="44">
        <f t="shared" si="0"/>
        <v>620</v>
      </c>
      <c r="Y39" s="45" t="s">
        <v>839</v>
      </c>
      <c r="Z39" s="26"/>
    </row>
    <row r="40" spans="2:26" s="13" customFormat="1" ht="42" customHeight="1">
      <c r="B40" s="1408"/>
      <c r="C40" s="1451"/>
      <c r="D40" s="1422"/>
      <c r="E40" s="1405"/>
      <c r="F40" s="1408"/>
      <c r="G40" s="1408"/>
      <c r="H40" s="1411"/>
      <c r="I40" s="1411"/>
      <c r="J40" s="1425"/>
      <c r="K40" s="1359"/>
      <c r="L40" s="74">
        <v>0.01</v>
      </c>
      <c r="M40" s="40">
        <v>50</v>
      </c>
      <c r="N40" s="49" t="s">
        <v>30</v>
      </c>
      <c r="O40" s="40">
        <v>0</v>
      </c>
      <c r="P40" s="43">
        <v>20</v>
      </c>
      <c r="Q40" s="43">
        <v>30</v>
      </c>
      <c r="R40" s="43">
        <v>40</v>
      </c>
      <c r="S40" s="43">
        <v>50</v>
      </c>
      <c r="T40" s="44">
        <v>20</v>
      </c>
      <c r="U40" s="44">
        <v>50</v>
      </c>
      <c r="V40" s="44">
        <v>63</v>
      </c>
      <c r="W40" s="44">
        <v>52</v>
      </c>
      <c r="X40" s="44">
        <f t="shared" si="0"/>
        <v>185</v>
      </c>
      <c r="Y40" s="45" t="s">
        <v>839</v>
      </c>
      <c r="Z40" s="26"/>
    </row>
    <row r="41" spans="2:26" s="13" customFormat="1" ht="36" customHeight="1">
      <c r="B41" s="1408"/>
      <c r="C41" s="1451"/>
      <c r="D41" s="1422"/>
      <c r="E41" s="1405"/>
      <c r="F41" s="1408"/>
      <c r="G41" s="1408"/>
      <c r="H41" s="1411"/>
      <c r="I41" s="1411"/>
      <c r="J41" s="1425"/>
      <c r="K41" s="1359"/>
      <c r="L41" s="74">
        <v>0.01</v>
      </c>
      <c r="M41" s="40">
        <v>28</v>
      </c>
      <c r="N41" s="49" t="s">
        <v>31</v>
      </c>
      <c r="O41" s="40">
        <v>0</v>
      </c>
      <c r="P41" s="43">
        <v>10</v>
      </c>
      <c r="Q41" s="43">
        <v>20</v>
      </c>
      <c r="R41" s="43">
        <v>20</v>
      </c>
      <c r="S41" s="43">
        <v>20</v>
      </c>
      <c r="T41" s="44">
        <v>20</v>
      </c>
      <c r="U41" s="44">
        <v>100</v>
      </c>
      <c r="V41" s="44">
        <v>100</v>
      </c>
      <c r="W41" s="44">
        <v>100</v>
      </c>
      <c r="X41" s="44">
        <f t="shared" si="0"/>
        <v>320</v>
      </c>
      <c r="Y41" s="45" t="s">
        <v>839</v>
      </c>
      <c r="Z41" s="26"/>
    </row>
    <row r="42" spans="2:26" s="13" customFormat="1" ht="25.5">
      <c r="B42" s="1408"/>
      <c r="C42" s="1451"/>
      <c r="D42" s="1422"/>
      <c r="E42" s="1405"/>
      <c r="F42" s="1408"/>
      <c r="G42" s="1408"/>
      <c r="H42" s="1411"/>
      <c r="I42" s="1411"/>
      <c r="J42" s="1425"/>
      <c r="K42" s="1359"/>
      <c r="L42" s="74">
        <v>0.01</v>
      </c>
      <c r="M42" s="40">
        <v>38</v>
      </c>
      <c r="N42" s="49" t="s">
        <v>32</v>
      </c>
      <c r="O42" s="40">
        <v>0</v>
      </c>
      <c r="P42" s="43">
        <v>20</v>
      </c>
      <c r="Q42" s="43">
        <v>30</v>
      </c>
      <c r="R42" s="43">
        <v>38</v>
      </c>
      <c r="S42" s="43">
        <v>38</v>
      </c>
      <c r="T42" s="44">
        <v>20</v>
      </c>
      <c r="U42" s="44">
        <v>100</v>
      </c>
      <c r="V42" s="44">
        <v>100</v>
      </c>
      <c r="W42" s="44">
        <v>100</v>
      </c>
      <c r="X42" s="44">
        <f t="shared" si="0"/>
        <v>320</v>
      </c>
      <c r="Y42" s="45" t="s">
        <v>839</v>
      </c>
      <c r="Z42" s="26"/>
    </row>
    <row r="43" spans="2:26" s="13" customFormat="1" ht="39" customHeight="1">
      <c r="B43" s="1408"/>
      <c r="C43" s="1451"/>
      <c r="D43" s="1422"/>
      <c r="E43" s="1405"/>
      <c r="F43" s="1408"/>
      <c r="G43" s="1408"/>
      <c r="H43" s="1411"/>
      <c r="I43" s="1411"/>
      <c r="J43" s="1425"/>
      <c r="K43" s="1360"/>
      <c r="L43" s="74">
        <v>0.01</v>
      </c>
      <c r="M43" s="40">
        <v>190</v>
      </c>
      <c r="N43" s="50" t="s">
        <v>33</v>
      </c>
      <c r="O43" s="40">
        <v>0</v>
      </c>
      <c r="P43" s="43">
        <v>50</v>
      </c>
      <c r="Q43" s="43">
        <v>100</v>
      </c>
      <c r="R43" s="43">
        <v>150</v>
      </c>
      <c r="S43" s="43">
        <v>190</v>
      </c>
      <c r="T43" s="44">
        <v>20</v>
      </c>
      <c r="U43" s="44">
        <v>100</v>
      </c>
      <c r="V43" s="44">
        <v>100</v>
      </c>
      <c r="W43" s="44">
        <v>100</v>
      </c>
      <c r="X43" s="44">
        <f t="shared" si="0"/>
        <v>320</v>
      </c>
      <c r="Y43" s="45" t="s">
        <v>839</v>
      </c>
      <c r="Z43" s="26"/>
    </row>
    <row r="44" spans="2:26" s="13" customFormat="1" ht="15">
      <c r="B44" s="1408"/>
      <c r="C44" s="1451"/>
      <c r="D44" s="1422"/>
      <c r="E44" s="1405"/>
      <c r="F44" s="1408"/>
      <c r="G44" s="1408"/>
      <c r="H44" s="1411"/>
      <c r="I44" s="1411"/>
      <c r="J44" s="1425"/>
      <c r="K44" s="1361" t="s">
        <v>34</v>
      </c>
      <c r="L44" s="1363">
        <v>0.02</v>
      </c>
      <c r="M44" s="51">
        <v>4</v>
      </c>
      <c r="N44" s="52" t="s">
        <v>35</v>
      </c>
      <c r="O44" s="40">
        <v>5</v>
      </c>
      <c r="P44" s="43">
        <v>2</v>
      </c>
      <c r="Q44" s="43">
        <v>2</v>
      </c>
      <c r="R44" s="43">
        <v>3</v>
      </c>
      <c r="S44" s="43">
        <v>4</v>
      </c>
      <c r="T44" s="44">
        <v>65</v>
      </c>
      <c r="U44" s="44">
        <v>474</v>
      </c>
      <c r="V44" s="44">
        <v>500</v>
      </c>
      <c r="W44" s="44">
        <v>500</v>
      </c>
      <c r="X44" s="44">
        <f t="shared" si="0"/>
        <v>1539</v>
      </c>
      <c r="Y44" s="45" t="s">
        <v>839</v>
      </c>
      <c r="Z44" s="26"/>
    </row>
    <row r="45" spans="2:26" s="13" customFormat="1" ht="24" customHeight="1">
      <c r="B45" s="1408"/>
      <c r="C45" s="1451"/>
      <c r="D45" s="1422"/>
      <c r="E45" s="1405"/>
      <c r="F45" s="1408"/>
      <c r="G45" s="1408"/>
      <c r="H45" s="1411"/>
      <c r="I45" s="1411"/>
      <c r="J45" s="1426"/>
      <c r="K45" s="1362"/>
      <c r="L45" s="1364"/>
      <c r="M45" s="51">
        <v>4</v>
      </c>
      <c r="N45" s="41" t="s">
        <v>36</v>
      </c>
      <c r="O45" s="40">
        <v>5</v>
      </c>
      <c r="P45" s="43">
        <v>6</v>
      </c>
      <c r="Q45" s="43">
        <v>7</v>
      </c>
      <c r="R45" s="43">
        <v>8</v>
      </c>
      <c r="S45" s="43">
        <v>9</v>
      </c>
      <c r="T45" s="44">
        <v>50</v>
      </c>
      <c r="U45" s="44">
        <v>1000</v>
      </c>
      <c r="V45" s="44">
        <v>1000</v>
      </c>
      <c r="W45" s="44">
        <v>1000</v>
      </c>
      <c r="X45" s="44">
        <f t="shared" si="0"/>
        <v>3050</v>
      </c>
      <c r="Y45" s="45" t="s">
        <v>839</v>
      </c>
      <c r="Z45" s="26"/>
    </row>
    <row r="46" spans="2:26" s="13" customFormat="1" ht="30" customHeight="1">
      <c r="B46" s="1408"/>
      <c r="C46" s="1451"/>
      <c r="D46" s="1422"/>
      <c r="E46" s="1405"/>
      <c r="F46" s="1408"/>
      <c r="G46" s="1408"/>
      <c r="H46" s="1411"/>
      <c r="I46" s="1411"/>
      <c r="J46" s="1358" t="s">
        <v>37</v>
      </c>
      <c r="K46" s="1358" t="s">
        <v>38</v>
      </c>
      <c r="L46" s="74">
        <v>0.02</v>
      </c>
      <c r="M46" s="42">
        <v>15368920</v>
      </c>
      <c r="N46" s="75" t="s">
        <v>872</v>
      </c>
      <c r="O46" s="53">
        <v>9240160</v>
      </c>
      <c r="P46" s="54">
        <v>4200000</v>
      </c>
      <c r="Q46" s="54">
        <v>7923000</v>
      </c>
      <c r="R46" s="54">
        <v>11646000</v>
      </c>
      <c r="S46" s="42">
        <v>15368920</v>
      </c>
      <c r="T46" s="44">
        <v>6000</v>
      </c>
      <c r="U46" s="44">
        <v>5212</v>
      </c>
      <c r="V46" s="44">
        <v>5212</v>
      </c>
      <c r="W46" s="44">
        <v>5213</v>
      </c>
      <c r="X46" s="44">
        <f t="shared" si="0"/>
        <v>21637</v>
      </c>
      <c r="Y46" s="77" t="s">
        <v>874</v>
      </c>
      <c r="Z46" s="26"/>
    </row>
    <row r="47" spans="2:26" s="13" customFormat="1" ht="37.5" customHeight="1">
      <c r="B47" s="1408"/>
      <c r="C47" s="1451"/>
      <c r="D47" s="1422"/>
      <c r="E47" s="1405"/>
      <c r="F47" s="1408"/>
      <c r="G47" s="1408"/>
      <c r="H47" s="1411"/>
      <c r="I47" s="1411"/>
      <c r="J47" s="1359"/>
      <c r="K47" s="1359"/>
      <c r="L47" s="74">
        <v>0.01</v>
      </c>
      <c r="M47" s="42">
        <v>35500</v>
      </c>
      <c r="N47" s="75" t="s">
        <v>882</v>
      </c>
      <c r="O47" s="53">
        <v>8100</v>
      </c>
      <c r="P47" s="54">
        <v>7000</v>
      </c>
      <c r="Q47" s="54">
        <v>10500</v>
      </c>
      <c r="R47" s="54">
        <v>11100</v>
      </c>
      <c r="S47" s="42">
        <v>11700</v>
      </c>
      <c r="T47" s="44">
        <v>600</v>
      </c>
      <c r="U47" s="44">
        <v>893</v>
      </c>
      <c r="V47" s="44">
        <v>1000</v>
      </c>
      <c r="W47" s="44">
        <v>1200</v>
      </c>
      <c r="X47" s="44">
        <f t="shared" si="0"/>
        <v>3693</v>
      </c>
      <c r="Y47" s="77" t="s">
        <v>874</v>
      </c>
      <c r="Z47" s="26"/>
    </row>
    <row r="48" spans="2:26" s="13" customFormat="1" ht="37.5" customHeight="1">
      <c r="B48" s="1408"/>
      <c r="C48" s="1451"/>
      <c r="D48" s="1422"/>
      <c r="E48" s="1405"/>
      <c r="F48" s="1408"/>
      <c r="G48" s="1408"/>
      <c r="H48" s="1411"/>
      <c r="I48" s="1411"/>
      <c r="J48" s="1359"/>
      <c r="K48" s="1360"/>
      <c r="L48" s="74">
        <v>0.01</v>
      </c>
      <c r="M48" s="42">
        <v>77485</v>
      </c>
      <c r="N48" s="41" t="s">
        <v>873</v>
      </c>
      <c r="O48" s="53">
        <v>17773</v>
      </c>
      <c r="P48" s="54">
        <v>37594</v>
      </c>
      <c r="Q48" s="54">
        <v>13297</v>
      </c>
      <c r="R48" s="54">
        <v>13297</v>
      </c>
      <c r="S48" s="42">
        <v>13297</v>
      </c>
      <c r="T48" s="44">
        <v>600</v>
      </c>
      <c r="U48" s="44">
        <v>700</v>
      </c>
      <c r="V48" s="44">
        <v>800</v>
      </c>
      <c r="W48" s="44">
        <v>900</v>
      </c>
      <c r="X48" s="44">
        <f t="shared" si="0"/>
        <v>3000</v>
      </c>
      <c r="Y48" s="77" t="s">
        <v>874</v>
      </c>
      <c r="Z48" s="26"/>
    </row>
    <row r="49" spans="2:26" s="13" customFormat="1" ht="26.25">
      <c r="B49" s="1408"/>
      <c r="C49" s="1451"/>
      <c r="D49" s="1422"/>
      <c r="E49" s="1405"/>
      <c r="F49" s="1408"/>
      <c r="G49" s="1408"/>
      <c r="H49" s="1411"/>
      <c r="I49" s="1411"/>
      <c r="J49" s="1359"/>
      <c r="K49" s="1358" t="s">
        <v>840</v>
      </c>
      <c r="L49" s="74">
        <v>0.01</v>
      </c>
      <c r="M49" s="39" t="s">
        <v>883</v>
      </c>
      <c r="N49" s="41" t="s">
        <v>884</v>
      </c>
      <c r="O49" s="80" t="s">
        <v>885</v>
      </c>
      <c r="P49" s="81">
        <v>14000</v>
      </c>
      <c r="Q49" s="81">
        <v>13000</v>
      </c>
      <c r="R49" s="81">
        <v>11000</v>
      </c>
      <c r="S49" s="82">
        <v>9000</v>
      </c>
      <c r="T49" s="55">
        <v>300</v>
      </c>
      <c r="U49" s="55">
        <v>1900</v>
      </c>
      <c r="V49" s="55">
        <v>1600</v>
      </c>
      <c r="W49" s="55">
        <v>1647</v>
      </c>
      <c r="X49" s="44">
        <f t="shared" si="0"/>
        <v>5447</v>
      </c>
      <c r="Y49" s="45" t="s">
        <v>839</v>
      </c>
      <c r="Z49" s="26"/>
    </row>
    <row r="50" spans="2:26" s="13" customFormat="1" ht="26.25">
      <c r="B50" s="1408"/>
      <c r="C50" s="1451"/>
      <c r="D50" s="1422"/>
      <c r="E50" s="1405"/>
      <c r="F50" s="1408"/>
      <c r="G50" s="1408"/>
      <c r="H50" s="1411"/>
      <c r="I50" s="1411"/>
      <c r="J50" s="1359"/>
      <c r="K50" s="1359"/>
      <c r="L50" s="74">
        <v>0.01</v>
      </c>
      <c r="M50" s="83" t="s">
        <v>886</v>
      </c>
      <c r="N50" s="41" t="s">
        <v>887</v>
      </c>
      <c r="O50" s="40">
        <v>20000</v>
      </c>
      <c r="P50" s="81">
        <v>19000</v>
      </c>
      <c r="Q50" s="81">
        <v>17000</v>
      </c>
      <c r="R50" s="81">
        <v>15000</v>
      </c>
      <c r="S50" s="81">
        <v>12500</v>
      </c>
      <c r="T50" s="55">
        <v>200</v>
      </c>
      <c r="U50" s="55">
        <v>807</v>
      </c>
      <c r="V50" s="55">
        <v>800</v>
      </c>
      <c r="W50" s="55">
        <v>800</v>
      </c>
      <c r="X50" s="44">
        <f t="shared" si="0"/>
        <v>2607</v>
      </c>
      <c r="Y50" s="45" t="s">
        <v>839</v>
      </c>
      <c r="Z50" s="26"/>
    </row>
    <row r="51" spans="2:26" s="13" customFormat="1" ht="26.25">
      <c r="B51" s="1408"/>
      <c r="C51" s="1451"/>
      <c r="D51" s="1422"/>
      <c r="E51" s="1405"/>
      <c r="F51" s="1408"/>
      <c r="G51" s="1408"/>
      <c r="H51" s="1411"/>
      <c r="I51" s="1411"/>
      <c r="J51" s="1359"/>
      <c r="K51" s="1359"/>
      <c r="L51" s="74">
        <v>0.01</v>
      </c>
      <c r="M51" s="56">
        <v>2</v>
      </c>
      <c r="N51" s="41" t="s">
        <v>39</v>
      </c>
      <c r="O51" s="40" t="s">
        <v>12</v>
      </c>
      <c r="P51" s="43">
        <v>0</v>
      </c>
      <c r="Q51" s="43">
        <v>1</v>
      </c>
      <c r="R51" s="43">
        <v>2</v>
      </c>
      <c r="S51" s="43">
        <v>2</v>
      </c>
      <c r="T51" s="55">
        <v>194</v>
      </c>
      <c r="U51" s="55">
        <v>688</v>
      </c>
      <c r="V51" s="55">
        <v>790</v>
      </c>
      <c r="W51" s="55">
        <v>800</v>
      </c>
      <c r="X51" s="44">
        <f t="shared" si="0"/>
        <v>2472</v>
      </c>
      <c r="Y51" s="45" t="s">
        <v>839</v>
      </c>
      <c r="Z51" s="26"/>
    </row>
    <row r="52" spans="2:26" s="13" customFormat="1" ht="39">
      <c r="B52" s="1408"/>
      <c r="C52" s="1451"/>
      <c r="D52" s="1422"/>
      <c r="E52" s="1405"/>
      <c r="F52" s="1408"/>
      <c r="G52" s="1408"/>
      <c r="H52" s="1411"/>
      <c r="I52" s="1411"/>
      <c r="J52" s="1359"/>
      <c r="K52" s="1359"/>
      <c r="L52" s="74">
        <v>0.01</v>
      </c>
      <c r="M52" s="56">
        <v>2</v>
      </c>
      <c r="N52" s="41" t="s">
        <v>40</v>
      </c>
      <c r="O52" s="40" t="s">
        <v>12</v>
      </c>
      <c r="P52" s="43">
        <v>1</v>
      </c>
      <c r="Q52" s="43">
        <v>2</v>
      </c>
      <c r="R52" s="43">
        <v>3</v>
      </c>
      <c r="S52" s="43">
        <v>3</v>
      </c>
      <c r="T52" s="55">
        <v>100</v>
      </c>
      <c r="U52" s="55">
        <v>400</v>
      </c>
      <c r="V52" s="55">
        <v>500</v>
      </c>
      <c r="W52" s="55">
        <v>450</v>
      </c>
      <c r="X52" s="44">
        <f t="shared" si="0"/>
        <v>1450</v>
      </c>
      <c r="Y52" s="45" t="s">
        <v>839</v>
      </c>
      <c r="Z52" s="26"/>
    </row>
    <row r="53" spans="2:26" s="13" customFormat="1" ht="39">
      <c r="B53" s="1408"/>
      <c r="C53" s="1451"/>
      <c r="D53" s="1422"/>
      <c r="E53" s="1405"/>
      <c r="F53" s="1408"/>
      <c r="G53" s="1408"/>
      <c r="H53" s="1411"/>
      <c r="I53" s="1411"/>
      <c r="J53" s="1359"/>
      <c r="K53" s="1359"/>
      <c r="L53" s="74">
        <v>0.01</v>
      </c>
      <c r="M53" s="56">
        <v>3</v>
      </c>
      <c r="N53" s="41" t="s">
        <v>41</v>
      </c>
      <c r="O53" s="40" t="s">
        <v>12</v>
      </c>
      <c r="P53" s="43">
        <v>1</v>
      </c>
      <c r="Q53" s="43">
        <v>2</v>
      </c>
      <c r="R53" s="43">
        <v>3</v>
      </c>
      <c r="S53" s="43">
        <v>3</v>
      </c>
      <c r="T53" s="55">
        <v>100</v>
      </c>
      <c r="U53" s="55">
        <v>300</v>
      </c>
      <c r="V53" s="55">
        <v>400</v>
      </c>
      <c r="W53" s="55">
        <v>400</v>
      </c>
      <c r="X53" s="44">
        <f t="shared" si="0"/>
        <v>1200</v>
      </c>
      <c r="Y53" s="45" t="s">
        <v>839</v>
      </c>
      <c r="Z53" s="26"/>
    </row>
    <row r="54" spans="2:26" s="13" customFormat="1" ht="39">
      <c r="B54" s="1408"/>
      <c r="C54" s="1451"/>
      <c r="D54" s="1422"/>
      <c r="E54" s="1405"/>
      <c r="F54" s="1408"/>
      <c r="G54" s="1408"/>
      <c r="H54" s="1411"/>
      <c r="I54" s="1411"/>
      <c r="J54" s="1359"/>
      <c r="K54" s="1359"/>
      <c r="L54" s="74">
        <v>0.01</v>
      </c>
      <c r="M54" s="56">
        <v>4</v>
      </c>
      <c r="N54" s="41" t="s">
        <v>42</v>
      </c>
      <c r="O54" s="40" t="s">
        <v>12</v>
      </c>
      <c r="P54" s="43">
        <v>1</v>
      </c>
      <c r="Q54" s="43">
        <v>2</v>
      </c>
      <c r="R54" s="43">
        <v>3</v>
      </c>
      <c r="S54" s="43">
        <v>4</v>
      </c>
      <c r="T54" s="55">
        <v>50</v>
      </c>
      <c r="U54" s="55">
        <v>300</v>
      </c>
      <c r="V54" s="55">
        <v>400</v>
      </c>
      <c r="W54" s="55">
        <v>400</v>
      </c>
      <c r="X54" s="44">
        <f t="shared" si="0"/>
        <v>1150</v>
      </c>
      <c r="Y54" s="45" t="s">
        <v>839</v>
      </c>
      <c r="Z54" s="26"/>
    </row>
    <row r="55" spans="2:26" s="13" customFormat="1" ht="51.75">
      <c r="B55" s="1408"/>
      <c r="C55" s="1451"/>
      <c r="D55" s="1422"/>
      <c r="E55" s="1405"/>
      <c r="F55" s="1408"/>
      <c r="G55" s="1408"/>
      <c r="H55" s="1411"/>
      <c r="I55" s="1411"/>
      <c r="J55" s="1360"/>
      <c r="K55" s="1360"/>
      <c r="L55" s="74">
        <v>0.01</v>
      </c>
      <c r="M55" s="83" t="s">
        <v>888</v>
      </c>
      <c r="N55" s="41" t="s">
        <v>889</v>
      </c>
      <c r="O55" s="40">
        <v>100</v>
      </c>
      <c r="P55" s="48">
        <v>95</v>
      </c>
      <c r="Q55" s="48">
        <v>94</v>
      </c>
      <c r="R55" s="48">
        <v>92</v>
      </c>
      <c r="S55" s="48">
        <v>90</v>
      </c>
      <c r="T55" s="44">
        <v>50</v>
      </c>
      <c r="U55" s="55">
        <v>300</v>
      </c>
      <c r="V55" s="55">
        <v>319</v>
      </c>
      <c r="W55" s="55">
        <v>349</v>
      </c>
      <c r="X55" s="44">
        <f t="shared" si="0"/>
        <v>1018</v>
      </c>
      <c r="Y55" s="45" t="s">
        <v>839</v>
      </c>
      <c r="Z55" s="26"/>
    </row>
    <row r="56" spans="2:26" s="13" customFormat="1" ht="26.25">
      <c r="B56" s="1408"/>
      <c r="C56" s="1451"/>
      <c r="D56" s="1422"/>
      <c r="E56" s="1405"/>
      <c r="F56" s="1408"/>
      <c r="G56" s="1408"/>
      <c r="H56" s="1411"/>
      <c r="I56" s="1411"/>
      <c r="J56" s="1358" t="s">
        <v>43</v>
      </c>
      <c r="K56" s="1358" t="s">
        <v>44</v>
      </c>
      <c r="L56" s="1463">
        <v>0.01</v>
      </c>
      <c r="M56" s="56">
        <v>50</v>
      </c>
      <c r="N56" s="58" t="s">
        <v>45</v>
      </c>
      <c r="O56" s="40">
        <v>0</v>
      </c>
      <c r="P56" s="43">
        <v>0</v>
      </c>
      <c r="Q56" s="43">
        <v>20</v>
      </c>
      <c r="R56" s="43">
        <v>35</v>
      </c>
      <c r="S56" s="43">
        <v>50</v>
      </c>
      <c r="T56" s="55">
        <v>0</v>
      </c>
      <c r="U56" s="55">
        <v>26000</v>
      </c>
      <c r="V56" s="55">
        <v>20000</v>
      </c>
      <c r="W56" s="55">
        <v>25040</v>
      </c>
      <c r="X56" s="44">
        <f t="shared" si="0"/>
        <v>71040</v>
      </c>
      <c r="Y56" s="45" t="s">
        <v>839</v>
      </c>
      <c r="Z56" s="26"/>
    </row>
    <row r="57" spans="2:26" s="13" customFormat="1" ht="39">
      <c r="B57" s="1408"/>
      <c r="C57" s="1451"/>
      <c r="D57" s="1422"/>
      <c r="E57" s="1405"/>
      <c r="F57" s="1408"/>
      <c r="G57" s="1408"/>
      <c r="H57" s="1411"/>
      <c r="I57" s="1411"/>
      <c r="J57" s="1359"/>
      <c r="K57" s="1360"/>
      <c r="L57" s="1464"/>
      <c r="M57" s="40">
        <v>4</v>
      </c>
      <c r="N57" s="58" t="s">
        <v>46</v>
      </c>
      <c r="O57" s="56">
        <v>5</v>
      </c>
      <c r="P57" s="43">
        <v>6</v>
      </c>
      <c r="Q57" s="43">
        <v>7</v>
      </c>
      <c r="R57" s="43">
        <v>8</v>
      </c>
      <c r="S57" s="43">
        <v>9</v>
      </c>
      <c r="T57" s="55">
        <v>500</v>
      </c>
      <c r="U57" s="55">
        <v>3000</v>
      </c>
      <c r="V57" s="55">
        <v>3500</v>
      </c>
      <c r="W57" s="55">
        <v>4000</v>
      </c>
      <c r="X57" s="44">
        <f t="shared" si="0"/>
        <v>11000</v>
      </c>
      <c r="Y57" s="45" t="s">
        <v>839</v>
      </c>
      <c r="Z57" s="26"/>
    </row>
    <row r="58" spans="2:26" s="13" customFormat="1" ht="39">
      <c r="B58" s="1408"/>
      <c r="C58" s="1451"/>
      <c r="D58" s="1422"/>
      <c r="E58" s="1405"/>
      <c r="F58" s="1408"/>
      <c r="G58" s="1408"/>
      <c r="H58" s="1411"/>
      <c r="I58" s="1411"/>
      <c r="J58" s="1359"/>
      <c r="K58" s="40" t="s">
        <v>47</v>
      </c>
      <c r="L58" s="713">
        <v>0.01</v>
      </c>
      <c r="M58" s="39" t="s">
        <v>890</v>
      </c>
      <c r="N58" s="58" t="s">
        <v>891</v>
      </c>
      <c r="O58" s="40">
        <v>1113</v>
      </c>
      <c r="P58" s="43">
        <v>10</v>
      </c>
      <c r="Q58" s="43">
        <v>25</v>
      </c>
      <c r="R58" s="43">
        <v>60</v>
      </c>
      <c r="S58" s="43">
        <v>111</v>
      </c>
      <c r="T58" s="55">
        <v>560</v>
      </c>
      <c r="U58" s="55">
        <v>11600</v>
      </c>
      <c r="V58" s="55">
        <v>15000</v>
      </c>
      <c r="W58" s="55">
        <v>16000</v>
      </c>
      <c r="X58" s="44">
        <f t="shared" si="0"/>
        <v>43160</v>
      </c>
      <c r="Y58" s="45" t="s">
        <v>839</v>
      </c>
      <c r="Z58" s="26"/>
    </row>
    <row r="59" spans="2:26" s="13" customFormat="1" ht="39">
      <c r="B59" s="1408"/>
      <c r="C59" s="1451"/>
      <c r="D59" s="1423"/>
      <c r="E59" s="1406"/>
      <c r="F59" s="1409"/>
      <c r="G59" s="1409"/>
      <c r="H59" s="1412"/>
      <c r="I59" s="1412"/>
      <c r="J59" s="1360"/>
      <c r="K59" s="40" t="s">
        <v>48</v>
      </c>
      <c r="L59" s="713">
        <v>0.01</v>
      </c>
      <c r="M59" s="56">
        <v>80</v>
      </c>
      <c r="N59" s="58" t="s">
        <v>49</v>
      </c>
      <c r="O59" s="78">
        <v>2000</v>
      </c>
      <c r="P59" s="43">
        <v>10</v>
      </c>
      <c r="Q59" s="43">
        <v>30</v>
      </c>
      <c r="R59" s="43">
        <v>50</v>
      </c>
      <c r="S59" s="43">
        <v>80</v>
      </c>
      <c r="T59" s="55">
        <v>500</v>
      </c>
      <c r="U59" s="55">
        <v>942</v>
      </c>
      <c r="V59" s="55">
        <v>1542</v>
      </c>
      <c r="W59" s="55">
        <v>2000</v>
      </c>
      <c r="X59" s="44">
        <f t="shared" si="0"/>
        <v>4984</v>
      </c>
      <c r="Y59" s="45" t="s">
        <v>839</v>
      </c>
      <c r="Z59" s="26"/>
    </row>
    <row r="60" spans="2:26" s="13" customFormat="1" ht="15">
      <c r="B60" s="1408"/>
      <c r="C60" s="1451"/>
      <c r="D60" s="664"/>
      <c r="E60" s="441"/>
      <c r="F60" s="436"/>
      <c r="G60" s="436"/>
      <c r="H60" s="448"/>
      <c r="I60" s="448"/>
      <c r="J60" s="439"/>
      <c r="K60" s="40"/>
      <c r="L60" s="714">
        <f>SUM(L15:L59)</f>
        <v>1.0000000000000004</v>
      </c>
      <c r="M60" s="56"/>
      <c r="N60" s="58"/>
      <c r="O60" s="78"/>
      <c r="P60" s="43"/>
      <c r="Q60" s="43"/>
      <c r="R60" s="43"/>
      <c r="S60" s="43"/>
      <c r="T60" s="55"/>
      <c r="U60" s="55"/>
      <c r="V60" s="55"/>
      <c r="W60" s="55"/>
      <c r="X60" s="44"/>
      <c r="Y60" s="45"/>
      <c r="Z60" s="26"/>
    </row>
    <row r="61" spans="2:26" s="13" customFormat="1" ht="80.25" customHeight="1">
      <c r="B61" s="1408"/>
      <c r="C61" s="1451"/>
      <c r="D61" s="1438" t="s">
        <v>50</v>
      </c>
      <c r="E61" s="1435">
        <v>0.25</v>
      </c>
      <c r="F61" s="1418">
        <v>0.5</v>
      </c>
      <c r="G61" s="1407" t="s">
        <v>110</v>
      </c>
      <c r="H61" s="1435">
        <v>0.25</v>
      </c>
      <c r="I61" s="1435">
        <v>0.75</v>
      </c>
      <c r="J61" s="1424" t="s">
        <v>51</v>
      </c>
      <c r="K61" s="40" t="s">
        <v>52</v>
      </c>
      <c r="L61" s="74">
        <v>0.1</v>
      </c>
      <c r="M61" s="59">
        <v>1000</v>
      </c>
      <c r="N61" s="41" t="s">
        <v>53</v>
      </c>
      <c r="O61" s="76">
        <v>9397</v>
      </c>
      <c r="P61" s="43">
        <v>200</v>
      </c>
      <c r="Q61" s="43">
        <v>500</v>
      </c>
      <c r="R61" s="43">
        <v>800</v>
      </c>
      <c r="S61" s="43">
        <v>1000</v>
      </c>
      <c r="T61" s="55">
        <v>7000</v>
      </c>
      <c r="U61" s="55">
        <v>13329</v>
      </c>
      <c r="V61" s="55">
        <v>14000</v>
      </c>
      <c r="W61" s="55">
        <v>14332</v>
      </c>
      <c r="X61" s="44">
        <f t="shared" si="0"/>
        <v>48661</v>
      </c>
      <c r="Y61" s="45" t="s">
        <v>841</v>
      </c>
      <c r="Z61" s="26"/>
    </row>
    <row r="62" spans="2:26" s="13" customFormat="1" ht="15">
      <c r="B62" s="1408"/>
      <c r="C62" s="1451"/>
      <c r="D62" s="1439"/>
      <c r="E62" s="1436"/>
      <c r="F62" s="1419"/>
      <c r="G62" s="1408"/>
      <c r="H62" s="1436"/>
      <c r="I62" s="1436"/>
      <c r="J62" s="1425"/>
      <c r="K62" s="1358" t="s">
        <v>54</v>
      </c>
      <c r="L62" s="74">
        <v>0.02</v>
      </c>
      <c r="M62" s="56">
        <v>20</v>
      </c>
      <c r="N62" s="41" t="s">
        <v>55</v>
      </c>
      <c r="O62" s="40">
        <v>0</v>
      </c>
      <c r="P62" s="43">
        <v>5</v>
      </c>
      <c r="Q62" s="43">
        <v>10</v>
      </c>
      <c r="R62" s="43">
        <v>15</v>
      </c>
      <c r="S62" s="43">
        <v>20</v>
      </c>
      <c r="T62" s="55">
        <v>9900</v>
      </c>
      <c r="U62" s="55">
        <v>25000</v>
      </c>
      <c r="V62" s="55">
        <v>24100</v>
      </c>
      <c r="W62" s="55">
        <v>24000</v>
      </c>
      <c r="X62" s="44">
        <f t="shared" si="0"/>
        <v>83000</v>
      </c>
      <c r="Y62" s="45" t="s">
        <v>841</v>
      </c>
      <c r="Z62" s="26"/>
    </row>
    <row r="63" spans="2:26" s="13" customFormat="1" ht="39">
      <c r="B63" s="1408"/>
      <c r="C63" s="1451"/>
      <c r="D63" s="1439"/>
      <c r="E63" s="1436"/>
      <c r="F63" s="1419"/>
      <c r="G63" s="1408"/>
      <c r="H63" s="1436"/>
      <c r="I63" s="1436"/>
      <c r="J63" s="1425"/>
      <c r="K63" s="1359"/>
      <c r="L63" s="74">
        <v>0.05</v>
      </c>
      <c r="M63" s="42">
        <v>1000</v>
      </c>
      <c r="N63" s="41" t="s">
        <v>56</v>
      </c>
      <c r="O63" s="40">
        <v>0</v>
      </c>
      <c r="P63" s="43">
        <v>200</v>
      </c>
      <c r="Q63" s="43">
        <v>500</v>
      </c>
      <c r="R63" s="43">
        <v>800</v>
      </c>
      <c r="S63" s="43">
        <v>1000</v>
      </c>
      <c r="T63" s="55">
        <v>500</v>
      </c>
      <c r="U63" s="55">
        <v>500</v>
      </c>
      <c r="V63" s="55">
        <v>600</v>
      </c>
      <c r="W63" s="55">
        <v>600</v>
      </c>
      <c r="X63" s="44">
        <f t="shared" si="0"/>
        <v>2200</v>
      </c>
      <c r="Y63" s="45" t="s">
        <v>841</v>
      </c>
      <c r="Z63" s="26"/>
    </row>
    <row r="64" spans="2:26" s="13" customFormat="1" ht="26.25">
      <c r="B64" s="1408"/>
      <c r="C64" s="1451"/>
      <c r="D64" s="1439"/>
      <c r="E64" s="1436"/>
      <c r="F64" s="1419"/>
      <c r="G64" s="1408"/>
      <c r="H64" s="1436"/>
      <c r="I64" s="1436"/>
      <c r="J64" s="1425"/>
      <c r="K64" s="1359"/>
      <c r="L64" s="74">
        <v>0.01</v>
      </c>
      <c r="M64" s="40">
        <v>200</v>
      </c>
      <c r="N64" s="41" t="s">
        <v>57</v>
      </c>
      <c r="O64" s="40">
        <v>137</v>
      </c>
      <c r="P64" s="43">
        <v>137</v>
      </c>
      <c r="Q64" s="43">
        <v>217</v>
      </c>
      <c r="R64" s="43">
        <v>287</v>
      </c>
      <c r="S64" s="43">
        <v>337</v>
      </c>
      <c r="T64" s="55">
        <v>100</v>
      </c>
      <c r="U64" s="55">
        <v>200</v>
      </c>
      <c r="V64" s="55">
        <v>200</v>
      </c>
      <c r="W64" s="55">
        <v>200</v>
      </c>
      <c r="X64" s="44">
        <f t="shared" si="0"/>
        <v>700</v>
      </c>
      <c r="Y64" s="45" t="s">
        <v>841</v>
      </c>
      <c r="Z64" s="26"/>
    </row>
    <row r="65" spans="2:26" s="13" customFormat="1" ht="26.25">
      <c r="B65" s="1408"/>
      <c r="C65" s="1451"/>
      <c r="D65" s="1439"/>
      <c r="E65" s="1436"/>
      <c r="F65" s="1419"/>
      <c r="G65" s="1408"/>
      <c r="H65" s="1436"/>
      <c r="I65" s="1436"/>
      <c r="J65" s="1425"/>
      <c r="K65" s="1359"/>
      <c r="L65" s="74">
        <v>0.1</v>
      </c>
      <c r="M65" s="42">
        <v>5000</v>
      </c>
      <c r="N65" s="41" t="s">
        <v>58</v>
      </c>
      <c r="O65" s="42">
        <v>12716</v>
      </c>
      <c r="P65" s="42">
        <v>13716</v>
      </c>
      <c r="Q65" s="42">
        <v>15716</v>
      </c>
      <c r="R65" s="42">
        <v>16716</v>
      </c>
      <c r="S65" s="42">
        <v>17716</v>
      </c>
      <c r="T65" s="55">
        <v>4500</v>
      </c>
      <c r="U65" s="55">
        <v>5000</v>
      </c>
      <c r="V65" s="55">
        <v>5000</v>
      </c>
      <c r="W65" s="55">
        <v>4100</v>
      </c>
      <c r="X65" s="44">
        <f t="shared" si="0"/>
        <v>18600</v>
      </c>
      <c r="Y65" s="45" t="s">
        <v>841</v>
      </c>
      <c r="Z65" s="26"/>
    </row>
    <row r="66" spans="2:26" s="13" customFormat="1" ht="26.25">
      <c r="B66" s="1408"/>
      <c r="C66" s="1451"/>
      <c r="D66" s="1439"/>
      <c r="E66" s="1436"/>
      <c r="F66" s="1419"/>
      <c r="G66" s="1408"/>
      <c r="H66" s="1436"/>
      <c r="I66" s="1436"/>
      <c r="J66" s="1425"/>
      <c r="K66" s="1359"/>
      <c r="L66" s="74">
        <v>0.1</v>
      </c>
      <c r="M66" s="40">
        <v>960</v>
      </c>
      <c r="N66" s="41" t="s">
        <v>59</v>
      </c>
      <c r="O66" s="40">
        <v>720</v>
      </c>
      <c r="P66" s="43">
        <v>800</v>
      </c>
      <c r="Q66" s="43">
        <v>850</v>
      </c>
      <c r="R66" s="43">
        <v>900</v>
      </c>
      <c r="S66" s="43">
        <v>960</v>
      </c>
      <c r="T66" s="55">
        <v>500</v>
      </c>
      <c r="U66" s="55">
        <v>7500</v>
      </c>
      <c r="V66" s="55">
        <v>7500</v>
      </c>
      <c r="W66" s="55">
        <v>7500</v>
      </c>
      <c r="X66" s="44">
        <f t="shared" si="0"/>
        <v>23000</v>
      </c>
      <c r="Y66" s="45" t="s">
        <v>841</v>
      </c>
      <c r="Z66" s="26"/>
    </row>
    <row r="67" spans="2:26" s="13" customFormat="1" ht="26.25">
      <c r="B67" s="1408"/>
      <c r="C67" s="1451"/>
      <c r="D67" s="1439"/>
      <c r="E67" s="1436"/>
      <c r="F67" s="1419"/>
      <c r="G67" s="1408"/>
      <c r="H67" s="1436"/>
      <c r="I67" s="1436"/>
      <c r="J67" s="1425"/>
      <c r="K67" s="1359"/>
      <c r="L67" s="74">
        <v>0.05</v>
      </c>
      <c r="M67" s="40">
        <v>300</v>
      </c>
      <c r="N67" s="41" t="s">
        <v>60</v>
      </c>
      <c r="O67" s="40">
        <v>37</v>
      </c>
      <c r="P67" s="43">
        <v>100</v>
      </c>
      <c r="Q67" s="43">
        <v>200</v>
      </c>
      <c r="R67" s="43">
        <v>300</v>
      </c>
      <c r="S67" s="43">
        <v>337</v>
      </c>
      <c r="T67" s="55">
        <v>100</v>
      </c>
      <c r="U67" s="55">
        <v>500</v>
      </c>
      <c r="V67" s="55">
        <v>500</v>
      </c>
      <c r="W67" s="55">
        <v>500</v>
      </c>
      <c r="X67" s="44">
        <f t="shared" si="0"/>
        <v>1600</v>
      </c>
      <c r="Y67" s="45" t="s">
        <v>841</v>
      </c>
      <c r="Z67" s="26"/>
    </row>
    <row r="68" spans="2:26" s="13" customFormat="1" ht="26.25">
      <c r="B68" s="1408"/>
      <c r="C68" s="1451"/>
      <c r="D68" s="1439"/>
      <c r="E68" s="1436"/>
      <c r="F68" s="1419"/>
      <c r="G68" s="1408"/>
      <c r="H68" s="1436"/>
      <c r="I68" s="1436"/>
      <c r="J68" s="1425"/>
      <c r="K68" s="1359"/>
      <c r="L68" s="74">
        <v>0.01</v>
      </c>
      <c r="M68" s="40">
        <v>30</v>
      </c>
      <c r="N68" s="41" t="s">
        <v>61</v>
      </c>
      <c r="O68" s="40" t="s">
        <v>12</v>
      </c>
      <c r="P68" s="43">
        <v>5</v>
      </c>
      <c r="Q68" s="43">
        <v>10</v>
      </c>
      <c r="R68" s="43">
        <v>20</v>
      </c>
      <c r="S68" s="43">
        <v>30</v>
      </c>
      <c r="T68" s="55">
        <v>100</v>
      </c>
      <c r="U68" s="55">
        <v>500</v>
      </c>
      <c r="V68" s="55">
        <v>500</v>
      </c>
      <c r="W68" s="55">
        <v>500</v>
      </c>
      <c r="X68" s="44">
        <f t="shared" si="0"/>
        <v>1600</v>
      </c>
      <c r="Y68" s="45" t="s">
        <v>841</v>
      </c>
      <c r="Z68" s="26"/>
    </row>
    <row r="69" spans="2:26" s="13" customFormat="1" ht="65.25" customHeight="1">
      <c r="B69" s="1408"/>
      <c r="C69" s="1451"/>
      <c r="D69" s="1439"/>
      <c r="E69" s="1436"/>
      <c r="F69" s="1419"/>
      <c r="G69" s="1408"/>
      <c r="H69" s="1436"/>
      <c r="I69" s="1436"/>
      <c r="J69" s="1425"/>
      <c r="K69" s="1359"/>
      <c r="L69" s="74">
        <v>0.01</v>
      </c>
      <c r="M69" s="40">
        <v>1</v>
      </c>
      <c r="N69" s="41" t="s">
        <v>866</v>
      </c>
      <c r="O69" s="40" t="s">
        <v>12</v>
      </c>
      <c r="P69" s="43">
        <v>1</v>
      </c>
      <c r="Q69" s="43">
        <v>1</v>
      </c>
      <c r="R69" s="43">
        <v>1</v>
      </c>
      <c r="S69" s="43">
        <v>1</v>
      </c>
      <c r="T69" s="55">
        <v>100</v>
      </c>
      <c r="U69" s="55">
        <v>500</v>
      </c>
      <c r="V69" s="55">
        <v>500</v>
      </c>
      <c r="W69" s="55">
        <v>500</v>
      </c>
      <c r="X69" s="44">
        <f t="shared" si="0"/>
        <v>1600</v>
      </c>
      <c r="Y69" s="45" t="s">
        <v>841</v>
      </c>
      <c r="Z69" s="26"/>
    </row>
    <row r="70" spans="2:26" s="13" customFormat="1" ht="77.25">
      <c r="B70" s="1408"/>
      <c r="C70" s="1451"/>
      <c r="D70" s="1439"/>
      <c r="E70" s="1436"/>
      <c r="F70" s="1420"/>
      <c r="G70" s="1409"/>
      <c r="H70" s="1437"/>
      <c r="I70" s="1437"/>
      <c r="J70" s="1425"/>
      <c r="K70" s="1360"/>
      <c r="L70" s="74">
        <v>0.01</v>
      </c>
      <c r="M70" s="51">
        <v>1</v>
      </c>
      <c r="N70" s="41" t="s">
        <v>867</v>
      </c>
      <c r="O70" s="51" t="s">
        <v>12</v>
      </c>
      <c r="P70" s="43">
        <v>1</v>
      </c>
      <c r="Q70" s="43">
        <v>1</v>
      </c>
      <c r="R70" s="43">
        <v>1</v>
      </c>
      <c r="S70" s="43">
        <v>1</v>
      </c>
      <c r="T70" s="55">
        <v>100</v>
      </c>
      <c r="U70" s="55">
        <v>500</v>
      </c>
      <c r="V70" s="55">
        <v>500</v>
      </c>
      <c r="W70" s="55">
        <v>500</v>
      </c>
      <c r="X70" s="44">
        <f t="shared" si="0"/>
        <v>1600</v>
      </c>
      <c r="Y70" s="45" t="s">
        <v>841</v>
      </c>
      <c r="Z70" s="26"/>
    </row>
    <row r="71" spans="2:26" s="13" customFormat="1" ht="65.25" customHeight="1">
      <c r="B71" s="1408"/>
      <c r="C71" s="1451"/>
      <c r="D71" s="1439"/>
      <c r="E71" s="1436"/>
      <c r="F71" s="1418" t="s">
        <v>108</v>
      </c>
      <c r="G71" s="1407" t="s">
        <v>842</v>
      </c>
      <c r="H71" s="1435">
        <v>0.01</v>
      </c>
      <c r="I71" s="1435">
        <v>0.04</v>
      </c>
      <c r="J71" s="1425"/>
      <c r="K71" s="1358" t="s">
        <v>62</v>
      </c>
      <c r="L71" s="74">
        <v>0.02</v>
      </c>
      <c r="M71" s="40">
        <v>1</v>
      </c>
      <c r="N71" s="41" t="s">
        <v>868</v>
      </c>
      <c r="O71" s="40">
        <v>200</v>
      </c>
      <c r="P71" s="43">
        <v>1</v>
      </c>
      <c r="Q71" s="43">
        <v>1</v>
      </c>
      <c r="R71" s="43">
        <v>1</v>
      </c>
      <c r="S71" s="43">
        <v>1</v>
      </c>
      <c r="T71" s="55">
        <v>100</v>
      </c>
      <c r="U71" s="55">
        <v>500</v>
      </c>
      <c r="V71" s="55">
        <v>600</v>
      </c>
      <c r="W71" s="55">
        <v>700</v>
      </c>
      <c r="X71" s="44">
        <f t="shared" si="0"/>
        <v>1900</v>
      </c>
      <c r="Y71" s="45" t="s">
        <v>841</v>
      </c>
      <c r="Z71" s="26"/>
    </row>
    <row r="72" spans="2:26" s="13" customFormat="1" ht="51.75">
      <c r="B72" s="1408"/>
      <c r="C72" s="1451"/>
      <c r="D72" s="1439"/>
      <c r="E72" s="1436"/>
      <c r="F72" s="1419"/>
      <c r="G72" s="1408"/>
      <c r="H72" s="1436"/>
      <c r="I72" s="1436"/>
      <c r="J72" s="1425"/>
      <c r="K72" s="1359"/>
      <c r="L72" s="74">
        <v>0.02</v>
      </c>
      <c r="M72" s="40">
        <v>27</v>
      </c>
      <c r="N72" s="41" t="s">
        <v>63</v>
      </c>
      <c r="O72" s="40">
        <v>0</v>
      </c>
      <c r="P72" s="43">
        <v>2</v>
      </c>
      <c r="Q72" s="43">
        <v>7</v>
      </c>
      <c r="R72" s="43">
        <v>17</v>
      </c>
      <c r="S72" s="43">
        <v>27</v>
      </c>
      <c r="T72" s="55">
        <v>1000</v>
      </c>
      <c r="U72" s="55">
        <v>1000</v>
      </c>
      <c r="V72" s="55">
        <v>1246</v>
      </c>
      <c r="W72" s="55">
        <v>1500</v>
      </c>
      <c r="X72" s="44">
        <f t="shared" si="0"/>
        <v>4746</v>
      </c>
      <c r="Y72" s="45" t="s">
        <v>841</v>
      </c>
      <c r="Z72" s="26"/>
    </row>
    <row r="73" spans="2:26" s="13" customFormat="1" ht="77.25">
      <c r="B73" s="1408"/>
      <c r="C73" s="1451"/>
      <c r="D73" s="1439"/>
      <c r="E73" s="1436"/>
      <c r="F73" s="1419"/>
      <c r="G73" s="1408"/>
      <c r="H73" s="1436"/>
      <c r="I73" s="1436"/>
      <c r="J73" s="1425"/>
      <c r="K73" s="1359"/>
      <c r="L73" s="74">
        <v>0.02</v>
      </c>
      <c r="M73" s="40">
        <v>500</v>
      </c>
      <c r="N73" s="41" t="s">
        <v>64</v>
      </c>
      <c r="O73" s="40">
        <v>0</v>
      </c>
      <c r="P73" s="43">
        <v>100</v>
      </c>
      <c r="Q73" s="43">
        <v>250</v>
      </c>
      <c r="R73" s="43">
        <v>400</v>
      </c>
      <c r="S73" s="43">
        <v>500</v>
      </c>
      <c r="T73" s="55">
        <v>200</v>
      </c>
      <c r="U73" s="55">
        <v>1000</v>
      </c>
      <c r="V73" s="55">
        <v>1000</v>
      </c>
      <c r="W73" s="55">
        <v>1000</v>
      </c>
      <c r="X73" s="44">
        <f t="shared" si="0"/>
        <v>3200</v>
      </c>
      <c r="Y73" s="45" t="s">
        <v>841</v>
      </c>
      <c r="Z73" s="26"/>
    </row>
    <row r="74" spans="2:26" s="13" customFormat="1" ht="51.75">
      <c r="B74" s="1408"/>
      <c r="C74" s="1451"/>
      <c r="D74" s="1439"/>
      <c r="E74" s="1436"/>
      <c r="F74" s="1419"/>
      <c r="G74" s="1408"/>
      <c r="H74" s="1436"/>
      <c r="I74" s="1436"/>
      <c r="J74" s="1425"/>
      <c r="K74" s="1359"/>
      <c r="L74" s="74">
        <v>0.02</v>
      </c>
      <c r="M74" s="40">
        <v>100</v>
      </c>
      <c r="N74" s="41" t="s">
        <v>65</v>
      </c>
      <c r="O74" s="40">
        <v>0</v>
      </c>
      <c r="P74" s="43">
        <v>10</v>
      </c>
      <c r="Q74" s="43">
        <v>30</v>
      </c>
      <c r="R74" s="43">
        <v>50</v>
      </c>
      <c r="S74" s="43">
        <v>100</v>
      </c>
      <c r="T74" s="55">
        <v>140</v>
      </c>
      <c r="U74" s="55">
        <v>500</v>
      </c>
      <c r="V74" s="55">
        <v>500</v>
      </c>
      <c r="W74" s="55">
        <v>600</v>
      </c>
      <c r="X74" s="44">
        <f t="shared" si="0"/>
        <v>1740</v>
      </c>
      <c r="Y74" s="45" t="s">
        <v>841</v>
      </c>
      <c r="Z74" s="26"/>
    </row>
    <row r="75" spans="2:26" s="13" customFormat="1" ht="37.5" customHeight="1">
      <c r="B75" s="1408"/>
      <c r="C75" s="1451"/>
      <c r="D75" s="1439"/>
      <c r="E75" s="1436"/>
      <c r="F75" s="1419"/>
      <c r="G75" s="1408"/>
      <c r="H75" s="1436"/>
      <c r="I75" s="1436"/>
      <c r="J75" s="1425"/>
      <c r="K75" s="1360"/>
      <c r="L75" s="74">
        <v>0.02</v>
      </c>
      <c r="M75" s="40">
        <v>500</v>
      </c>
      <c r="N75" s="41" t="s">
        <v>66</v>
      </c>
      <c r="O75" s="40">
        <v>0</v>
      </c>
      <c r="P75" s="43">
        <v>100</v>
      </c>
      <c r="Q75" s="43">
        <v>300</v>
      </c>
      <c r="R75" s="43">
        <v>400</v>
      </c>
      <c r="S75" s="43">
        <v>500</v>
      </c>
      <c r="T75" s="55">
        <v>129</v>
      </c>
      <c r="U75" s="55">
        <v>250</v>
      </c>
      <c r="V75" s="55">
        <v>300</v>
      </c>
      <c r="W75" s="55">
        <v>400</v>
      </c>
      <c r="X75" s="44">
        <f t="shared" si="0"/>
        <v>1079</v>
      </c>
      <c r="Y75" s="45" t="s">
        <v>841</v>
      </c>
      <c r="Z75" s="26"/>
    </row>
    <row r="76" spans="2:26" s="13" customFormat="1" ht="42" customHeight="1">
      <c r="B76" s="1408"/>
      <c r="C76" s="1451"/>
      <c r="D76" s="1439"/>
      <c r="E76" s="1436"/>
      <c r="F76" s="1419"/>
      <c r="G76" s="1408"/>
      <c r="H76" s="1436"/>
      <c r="I76" s="1436"/>
      <c r="J76" s="1425"/>
      <c r="K76" s="1455" t="s">
        <v>67</v>
      </c>
      <c r="L76" s="1363">
        <v>0.1</v>
      </c>
      <c r="M76" s="40">
        <v>27</v>
      </c>
      <c r="N76" s="58" t="s">
        <v>68</v>
      </c>
      <c r="O76" s="40">
        <v>5</v>
      </c>
      <c r="P76" s="43">
        <v>7</v>
      </c>
      <c r="Q76" s="43">
        <v>15</v>
      </c>
      <c r="R76" s="43">
        <v>20</v>
      </c>
      <c r="S76" s="43">
        <v>27</v>
      </c>
      <c r="T76" s="55">
        <v>167</v>
      </c>
      <c r="U76" s="55">
        <v>400</v>
      </c>
      <c r="V76" s="55">
        <v>400</v>
      </c>
      <c r="W76" s="55">
        <v>700</v>
      </c>
      <c r="X76" s="44">
        <f t="shared" si="0"/>
        <v>1667</v>
      </c>
      <c r="Y76" s="45" t="s">
        <v>841</v>
      </c>
      <c r="Z76" s="26"/>
    </row>
    <row r="77" spans="2:26" s="13" customFormat="1" ht="39.75" customHeight="1">
      <c r="B77" s="1408"/>
      <c r="C77" s="1451"/>
      <c r="D77" s="1439"/>
      <c r="E77" s="1436"/>
      <c r="F77" s="1420"/>
      <c r="G77" s="1409"/>
      <c r="H77" s="1437"/>
      <c r="I77" s="1437"/>
      <c r="J77" s="1426"/>
      <c r="K77" s="1456"/>
      <c r="L77" s="1364"/>
      <c r="M77" s="83" t="s">
        <v>892</v>
      </c>
      <c r="N77" s="49" t="s">
        <v>893</v>
      </c>
      <c r="O77" s="42">
        <v>3900</v>
      </c>
      <c r="P77" s="48">
        <v>100</v>
      </c>
      <c r="Q77" s="48">
        <v>300</v>
      </c>
      <c r="R77" s="48">
        <v>500</v>
      </c>
      <c r="S77" s="48">
        <v>819</v>
      </c>
      <c r="T77" s="55">
        <v>333</v>
      </c>
      <c r="U77" s="55">
        <v>600</v>
      </c>
      <c r="V77" s="55">
        <v>600</v>
      </c>
      <c r="W77" s="55">
        <v>700</v>
      </c>
      <c r="X77" s="44">
        <f t="shared" si="0"/>
        <v>2233</v>
      </c>
      <c r="Y77" s="45" t="s">
        <v>841</v>
      </c>
      <c r="Z77" s="26"/>
    </row>
    <row r="78" spans="2:26" s="13" customFormat="1" ht="15">
      <c r="B78" s="1408"/>
      <c r="C78" s="1451"/>
      <c r="D78" s="1439"/>
      <c r="E78" s="1436"/>
      <c r="F78" s="1407" t="s">
        <v>106</v>
      </c>
      <c r="G78" s="1407" t="s">
        <v>107</v>
      </c>
      <c r="H78" s="1361" t="s">
        <v>843</v>
      </c>
      <c r="I78" s="1361" t="s">
        <v>844</v>
      </c>
      <c r="J78" s="1358" t="s">
        <v>69</v>
      </c>
      <c r="K78" s="1424" t="s">
        <v>845</v>
      </c>
      <c r="L78" s="1441">
        <v>0.05</v>
      </c>
      <c r="M78" s="1443">
        <v>163</v>
      </c>
      <c r="N78" s="1444" t="s">
        <v>70</v>
      </c>
      <c r="O78" s="1358">
        <v>0</v>
      </c>
      <c r="P78" s="1433">
        <v>30</v>
      </c>
      <c r="Q78" s="1433">
        <v>70</v>
      </c>
      <c r="R78" s="1433">
        <v>100</v>
      </c>
      <c r="S78" s="1433">
        <v>163</v>
      </c>
      <c r="T78" s="1460">
        <v>30</v>
      </c>
      <c r="U78" s="1460">
        <v>35</v>
      </c>
      <c r="V78" s="1460">
        <v>35</v>
      </c>
      <c r="W78" s="1460">
        <v>35</v>
      </c>
      <c r="X78" s="1453">
        <f t="shared" si="0"/>
        <v>135</v>
      </c>
      <c r="Y78" s="1445" t="s">
        <v>841</v>
      </c>
      <c r="Z78" s="26"/>
    </row>
    <row r="79" spans="2:26" s="13" customFormat="1" ht="33.75" customHeight="1">
      <c r="B79" s="1408"/>
      <c r="C79" s="1451"/>
      <c r="D79" s="1439"/>
      <c r="E79" s="1436"/>
      <c r="F79" s="1408"/>
      <c r="G79" s="1408"/>
      <c r="H79" s="1447"/>
      <c r="I79" s="1447"/>
      <c r="J79" s="1359"/>
      <c r="K79" s="1434"/>
      <c r="L79" s="1442"/>
      <c r="M79" s="1434"/>
      <c r="N79" s="1434"/>
      <c r="O79" s="1434"/>
      <c r="P79" s="1434"/>
      <c r="Q79" s="1434"/>
      <c r="R79" s="1434"/>
      <c r="S79" s="1434"/>
      <c r="T79" s="1434"/>
      <c r="U79" s="1434"/>
      <c r="V79" s="1434"/>
      <c r="W79" s="1461"/>
      <c r="X79" s="1454"/>
      <c r="Y79" s="1446"/>
      <c r="Z79" s="26"/>
    </row>
    <row r="80" spans="2:26" s="13" customFormat="1" ht="25.5">
      <c r="B80" s="1408"/>
      <c r="C80" s="1451"/>
      <c r="D80" s="1439"/>
      <c r="E80" s="1436"/>
      <c r="F80" s="1408"/>
      <c r="G80" s="1408"/>
      <c r="H80" s="1447"/>
      <c r="I80" s="1447"/>
      <c r="J80" s="1359"/>
      <c r="K80" s="1424" t="s">
        <v>846</v>
      </c>
      <c r="L80" s="665">
        <v>0.02</v>
      </c>
      <c r="M80" s="40">
        <v>1</v>
      </c>
      <c r="N80" s="49" t="s">
        <v>869</v>
      </c>
      <c r="O80" s="40">
        <v>0</v>
      </c>
      <c r="P80" s="57"/>
      <c r="Q80" s="43">
        <v>1</v>
      </c>
      <c r="R80" s="43">
        <v>1</v>
      </c>
      <c r="S80" s="43">
        <v>1</v>
      </c>
      <c r="T80" s="55">
        <v>30</v>
      </c>
      <c r="U80" s="55">
        <v>30</v>
      </c>
      <c r="V80" s="55">
        <v>30</v>
      </c>
      <c r="W80" s="55">
        <v>35</v>
      </c>
      <c r="X80" s="44">
        <f t="shared" si="0"/>
        <v>125</v>
      </c>
      <c r="Y80" s="45" t="s">
        <v>841</v>
      </c>
      <c r="Z80" s="26"/>
    </row>
    <row r="81" spans="2:26" s="13" customFormat="1" ht="38.25">
      <c r="B81" s="1408"/>
      <c r="C81" s="1451"/>
      <c r="D81" s="1439"/>
      <c r="E81" s="1436"/>
      <c r="F81" s="1408"/>
      <c r="G81" s="1408"/>
      <c r="H81" s="1447"/>
      <c r="I81" s="1447"/>
      <c r="J81" s="1359"/>
      <c r="K81" s="1425"/>
      <c r="L81" s="665">
        <v>0.02</v>
      </c>
      <c r="M81" s="40">
        <v>10</v>
      </c>
      <c r="N81" s="49" t="s">
        <v>71</v>
      </c>
      <c r="O81" s="56">
        <v>0</v>
      </c>
      <c r="P81" s="57"/>
      <c r="Q81" s="43">
        <v>5</v>
      </c>
      <c r="R81" s="43">
        <v>10</v>
      </c>
      <c r="S81" s="43">
        <v>10</v>
      </c>
      <c r="T81" s="55">
        <v>25</v>
      </c>
      <c r="U81" s="55">
        <v>26</v>
      </c>
      <c r="V81" s="55">
        <v>27</v>
      </c>
      <c r="W81" s="55">
        <v>29</v>
      </c>
      <c r="X81" s="44">
        <f t="shared" si="0"/>
        <v>107</v>
      </c>
      <c r="Y81" s="45" t="s">
        <v>841</v>
      </c>
      <c r="Z81" s="26"/>
    </row>
    <row r="82" spans="2:26" s="13" customFormat="1" ht="51">
      <c r="B82" s="1408"/>
      <c r="C82" s="1451"/>
      <c r="D82" s="1439"/>
      <c r="E82" s="1436"/>
      <c r="F82" s="1408"/>
      <c r="G82" s="1408"/>
      <c r="H82" s="1447"/>
      <c r="I82" s="1447"/>
      <c r="J82" s="1359"/>
      <c r="K82" s="1425"/>
      <c r="L82" s="665">
        <v>0.02</v>
      </c>
      <c r="M82" s="40">
        <v>10</v>
      </c>
      <c r="N82" s="49" t="s">
        <v>72</v>
      </c>
      <c r="O82" s="40">
        <v>0</v>
      </c>
      <c r="P82" s="57"/>
      <c r="Q82" s="43">
        <v>5</v>
      </c>
      <c r="R82" s="43">
        <v>10</v>
      </c>
      <c r="S82" s="43">
        <v>10</v>
      </c>
      <c r="T82" s="55">
        <v>20</v>
      </c>
      <c r="U82" s="55">
        <v>20</v>
      </c>
      <c r="V82" s="55">
        <v>25</v>
      </c>
      <c r="W82" s="55">
        <v>25</v>
      </c>
      <c r="X82" s="44">
        <f t="shared" si="0"/>
        <v>90</v>
      </c>
      <c r="Y82" s="45" t="s">
        <v>841</v>
      </c>
      <c r="Z82" s="26"/>
    </row>
    <row r="83" spans="2:26" s="13" customFormat="1" ht="63.75">
      <c r="B83" s="1408"/>
      <c r="C83" s="1451"/>
      <c r="D83" s="1439"/>
      <c r="E83" s="1436"/>
      <c r="F83" s="1408"/>
      <c r="G83" s="1408"/>
      <c r="H83" s="1447"/>
      <c r="I83" s="1447"/>
      <c r="J83" s="1360"/>
      <c r="K83" s="1426"/>
      <c r="L83" s="665">
        <v>0.03</v>
      </c>
      <c r="M83" s="40">
        <v>10</v>
      </c>
      <c r="N83" s="49" t="s">
        <v>73</v>
      </c>
      <c r="O83" s="40">
        <v>0</v>
      </c>
      <c r="P83" s="43">
        <v>10</v>
      </c>
      <c r="Q83" s="43">
        <v>10</v>
      </c>
      <c r="R83" s="43">
        <v>10</v>
      </c>
      <c r="S83" s="43">
        <v>10</v>
      </c>
      <c r="T83" s="55">
        <v>20</v>
      </c>
      <c r="U83" s="55">
        <v>20</v>
      </c>
      <c r="V83" s="55">
        <v>20</v>
      </c>
      <c r="W83" s="55">
        <v>20</v>
      </c>
      <c r="X83" s="44">
        <f t="shared" si="0"/>
        <v>80</v>
      </c>
      <c r="Y83" s="45" t="s">
        <v>841</v>
      </c>
      <c r="Z83" s="26"/>
    </row>
    <row r="84" spans="2:26" s="13" customFormat="1" ht="57" customHeight="1">
      <c r="B84" s="1408"/>
      <c r="C84" s="1451"/>
      <c r="D84" s="1439"/>
      <c r="E84" s="1436"/>
      <c r="F84" s="1408"/>
      <c r="G84" s="1408"/>
      <c r="H84" s="1447"/>
      <c r="I84" s="1447"/>
      <c r="J84" s="1358" t="s">
        <v>74</v>
      </c>
      <c r="K84" s="51" t="s">
        <v>75</v>
      </c>
      <c r="L84" s="74">
        <v>0.02</v>
      </c>
      <c r="M84" s="40">
        <v>10</v>
      </c>
      <c r="N84" s="75" t="s">
        <v>76</v>
      </c>
      <c r="O84" s="40">
        <v>5</v>
      </c>
      <c r="P84" s="43">
        <v>6</v>
      </c>
      <c r="Q84" s="43">
        <v>8</v>
      </c>
      <c r="R84" s="43">
        <v>9</v>
      </c>
      <c r="S84" s="43">
        <v>10</v>
      </c>
      <c r="T84" s="55">
        <v>100</v>
      </c>
      <c r="U84" s="55">
        <v>100</v>
      </c>
      <c r="V84" s="55">
        <v>100</v>
      </c>
      <c r="W84" s="55">
        <v>100</v>
      </c>
      <c r="X84" s="44">
        <f aca="true" t="shared" si="1" ref="X84:X104">T84+U84+V84+W84</f>
        <v>400</v>
      </c>
      <c r="Y84" s="45" t="s">
        <v>841</v>
      </c>
      <c r="Z84" s="26"/>
    </row>
    <row r="85" spans="2:26" s="13" customFormat="1" ht="39">
      <c r="B85" s="1408"/>
      <c r="C85" s="1451"/>
      <c r="D85" s="1439"/>
      <c r="E85" s="1436"/>
      <c r="F85" s="1408"/>
      <c r="G85" s="1408"/>
      <c r="H85" s="1447"/>
      <c r="I85" s="1447"/>
      <c r="J85" s="1359"/>
      <c r="K85" s="1358" t="s">
        <v>77</v>
      </c>
      <c r="L85" s="74">
        <v>0.03</v>
      </c>
      <c r="M85" s="40">
        <v>20</v>
      </c>
      <c r="N85" s="58" t="s">
        <v>78</v>
      </c>
      <c r="O85" s="40">
        <v>0</v>
      </c>
      <c r="P85" s="43">
        <v>5</v>
      </c>
      <c r="Q85" s="43">
        <v>10</v>
      </c>
      <c r="R85" s="43">
        <v>15</v>
      </c>
      <c r="S85" s="43">
        <v>20</v>
      </c>
      <c r="T85" s="55">
        <v>100</v>
      </c>
      <c r="U85" s="55">
        <v>100</v>
      </c>
      <c r="V85" s="55">
        <v>100</v>
      </c>
      <c r="W85" s="55">
        <v>100</v>
      </c>
      <c r="X85" s="44">
        <f t="shared" si="1"/>
        <v>400</v>
      </c>
      <c r="Y85" s="45" t="s">
        <v>841</v>
      </c>
      <c r="Z85" s="26"/>
    </row>
    <row r="86" spans="2:26" s="13" customFormat="1" ht="51.75">
      <c r="B86" s="1408"/>
      <c r="C86" s="1451"/>
      <c r="D86" s="1439"/>
      <c r="E86" s="1436"/>
      <c r="F86" s="1408"/>
      <c r="G86" s="1408"/>
      <c r="H86" s="1447"/>
      <c r="I86" s="1447"/>
      <c r="J86" s="1359"/>
      <c r="K86" s="1359"/>
      <c r="L86" s="74">
        <v>0.03</v>
      </c>
      <c r="M86" s="42">
        <v>1500</v>
      </c>
      <c r="N86" s="41" t="s">
        <v>79</v>
      </c>
      <c r="O86" s="59">
        <v>5300</v>
      </c>
      <c r="P86" s="43">
        <v>5500</v>
      </c>
      <c r="Q86" s="43">
        <v>6000</v>
      </c>
      <c r="R86" s="43">
        <v>6500</v>
      </c>
      <c r="S86" s="43">
        <v>6800</v>
      </c>
      <c r="T86" s="55">
        <v>495</v>
      </c>
      <c r="U86" s="55">
        <v>495</v>
      </c>
      <c r="V86" s="55">
        <v>495</v>
      </c>
      <c r="W86" s="55">
        <v>495</v>
      </c>
      <c r="X86" s="44">
        <f t="shared" si="1"/>
        <v>1980</v>
      </c>
      <c r="Y86" s="45" t="s">
        <v>841</v>
      </c>
      <c r="Z86" s="26"/>
    </row>
    <row r="87" spans="2:26" s="13" customFormat="1" ht="43.5" customHeight="1">
      <c r="B87" s="1408"/>
      <c r="C87" s="1451"/>
      <c r="D87" s="1439"/>
      <c r="E87" s="1436"/>
      <c r="F87" s="1408"/>
      <c r="G87" s="1408"/>
      <c r="H87" s="1447"/>
      <c r="I87" s="1447"/>
      <c r="J87" s="1360"/>
      <c r="K87" s="1360"/>
      <c r="L87" s="74">
        <v>0.03</v>
      </c>
      <c r="M87" s="40">
        <v>10</v>
      </c>
      <c r="N87" s="58" t="s">
        <v>80</v>
      </c>
      <c r="O87" s="40">
        <v>0</v>
      </c>
      <c r="P87" s="43">
        <v>2</v>
      </c>
      <c r="Q87" s="43">
        <v>5</v>
      </c>
      <c r="R87" s="43">
        <v>10</v>
      </c>
      <c r="S87" s="43">
        <v>10</v>
      </c>
      <c r="T87" s="55">
        <v>100</v>
      </c>
      <c r="U87" s="55">
        <v>100</v>
      </c>
      <c r="V87" s="55">
        <v>100</v>
      </c>
      <c r="W87" s="55">
        <v>100</v>
      </c>
      <c r="X87" s="44">
        <f t="shared" si="1"/>
        <v>400</v>
      </c>
      <c r="Y87" s="45" t="s">
        <v>841</v>
      </c>
      <c r="Z87" s="26"/>
    </row>
    <row r="88" spans="2:26" s="13" customFormat="1" ht="39">
      <c r="B88" s="1408"/>
      <c r="C88" s="1451"/>
      <c r="D88" s="1439"/>
      <c r="E88" s="1436"/>
      <c r="F88" s="1408"/>
      <c r="G88" s="1408"/>
      <c r="H88" s="1447"/>
      <c r="I88" s="1447"/>
      <c r="J88" s="1457" t="s">
        <v>81</v>
      </c>
      <c r="K88" s="1424" t="s">
        <v>847</v>
      </c>
      <c r="L88" s="665">
        <v>0.03</v>
      </c>
      <c r="M88" s="40">
        <v>463</v>
      </c>
      <c r="N88" s="52" t="s">
        <v>82</v>
      </c>
      <c r="O88" s="39">
        <v>0.7</v>
      </c>
      <c r="P88" s="43">
        <v>350</v>
      </c>
      <c r="Q88" s="43">
        <v>400</v>
      </c>
      <c r="R88" s="43">
        <v>450</v>
      </c>
      <c r="S88" s="43">
        <v>463</v>
      </c>
      <c r="T88" s="55">
        <v>600</v>
      </c>
      <c r="U88" s="55">
        <v>600</v>
      </c>
      <c r="V88" s="55">
        <v>600</v>
      </c>
      <c r="W88" s="55">
        <v>600</v>
      </c>
      <c r="X88" s="44">
        <f t="shared" si="1"/>
        <v>2400</v>
      </c>
      <c r="Y88" s="45" t="s">
        <v>841</v>
      </c>
      <c r="Z88" s="26"/>
    </row>
    <row r="89" spans="2:26" s="13" customFormat="1" ht="39">
      <c r="B89" s="1408"/>
      <c r="C89" s="1451"/>
      <c r="D89" s="1439"/>
      <c r="E89" s="1436"/>
      <c r="F89" s="1408"/>
      <c r="G89" s="1408"/>
      <c r="H89" s="1447"/>
      <c r="I89" s="1447"/>
      <c r="J89" s="1458"/>
      <c r="K89" s="1425"/>
      <c r="L89" s="665">
        <v>0.03</v>
      </c>
      <c r="M89" s="40">
        <v>100</v>
      </c>
      <c r="N89" s="52" t="s">
        <v>83</v>
      </c>
      <c r="O89" s="40" t="s">
        <v>84</v>
      </c>
      <c r="P89" s="43">
        <v>100</v>
      </c>
      <c r="Q89" s="43">
        <v>125</v>
      </c>
      <c r="R89" s="43">
        <v>150</v>
      </c>
      <c r="S89" s="43">
        <v>175</v>
      </c>
      <c r="T89" s="55">
        <v>300</v>
      </c>
      <c r="U89" s="55">
        <v>300</v>
      </c>
      <c r="V89" s="55">
        <v>300</v>
      </c>
      <c r="W89" s="55">
        <v>300</v>
      </c>
      <c r="X89" s="44">
        <f t="shared" si="1"/>
        <v>1200</v>
      </c>
      <c r="Y89" s="45" t="s">
        <v>841</v>
      </c>
      <c r="Z89" s="26"/>
    </row>
    <row r="90" spans="2:26" s="13" customFormat="1" ht="39">
      <c r="B90" s="1408"/>
      <c r="C90" s="1451"/>
      <c r="D90" s="1440"/>
      <c r="E90" s="1437"/>
      <c r="F90" s="1409"/>
      <c r="G90" s="1409"/>
      <c r="H90" s="1362"/>
      <c r="I90" s="1362"/>
      <c r="J90" s="1459"/>
      <c r="K90" s="1426"/>
      <c r="L90" s="665">
        <v>0.03</v>
      </c>
      <c r="M90" s="40">
        <v>27</v>
      </c>
      <c r="N90" s="41" t="s">
        <v>85</v>
      </c>
      <c r="O90" s="40">
        <v>84</v>
      </c>
      <c r="P90" s="43">
        <v>89</v>
      </c>
      <c r="Q90" s="43">
        <v>94</v>
      </c>
      <c r="R90" s="43">
        <v>101</v>
      </c>
      <c r="S90" s="43">
        <v>111</v>
      </c>
      <c r="T90" s="55">
        <v>287</v>
      </c>
      <c r="U90" s="55">
        <v>288</v>
      </c>
      <c r="V90" s="55">
        <v>287</v>
      </c>
      <c r="W90" s="55">
        <v>287</v>
      </c>
      <c r="X90" s="44">
        <f t="shared" si="1"/>
        <v>1149</v>
      </c>
      <c r="Y90" s="45" t="s">
        <v>841</v>
      </c>
      <c r="Z90" s="26"/>
    </row>
    <row r="91" spans="2:26" s="13" customFormat="1" ht="15">
      <c r="B91" s="1408"/>
      <c r="C91" s="1451"/>
      <c r="D91" s="439"/>
      <c r="E91" s="447"/>
      <c r="F91" s="436"/>
      <c r="G91" s="436"/>
      <c r="H91" s="446"/>
      <c r="I91" s="446"/>
      <c r="J91" s="440"/>
      <c r="K91" s="434"/>
      <c r="L91" s="665">
        <f>SUM(L61:L90)</f>
        <v>1.0000000000000002</v>
      </c>
      <c r="M91" s="40"/>
      <c r="N91" s="41"/>
      <c r="O91" s="40"/>
      <c r="P91" s="43"/>
      <c r="Q91" s="43"/>
      <c r="R91" s="43"/>
      <c r="S91" s="43"/>
      <c r="T91" s="55"/>
      <c r="U91" s="55"/>
      <c r="V91" s="55"/>
      <c r="W91" s="55"/>
      <c r="X91" s="44"/>
      <c r="Y91" s="45"/>
      <c r="Z91" s="26"/>
    </row>
    <row r="92" spans="2:26" s="13" customFormat="1" ht="39">
      <c r="B92" s="1408"/>
      <c r="C92" s="1451"/>
      <c r="D92" s="1427" t="s">
        <v>86</v>
      </c>
      <c r="E92" s="1404">
        <v>0.4</v>
      </c>
      <c r="F92" s="1404">
        <v>0.4</v>
      </c>
      <c r="G92" s="1430" t="s">
        <v>848</v>
      </c>
      <c r="H92" s="1404">
        <v>0.5</v>
      </c>
      <c r="I92" s="1404">
        <v>0.9</v>
      </c>
      <c r="J92" s="1358" t="s">
        <v>87</v>
      </c>
      <c r="K92" s="61" t="s">
        <v>849</v>
      </c>
      <c r="L92" s="665">
        <v>0.05</v>
      </c>
      <c r="M92" s="56">
        <v>163</v>
      </c>
      <c r="N92" s="58" t="s">
        <v>88</v>
      </c>
      <c r="O92" s="40">
        <v>90</v>
      </c>
      <c r="P92" s="43">
        <v>190</v>
      </c>
      <c r="Q92" s="43">
        <v>210</v>
      </c>
      <c r="R92" s="43">
        <v>240</v>
      </c>
      <c r="S92" s="43">
        <v>253</v>
      </c>
      <c r="T92" s="55">
        <v>75</v>
      </c>
      <c r="U92" s="55">
        <v>50</v>
      </c>
      <c r="V92" s="55">
        <v>50</v>
      </c>
      <c r="W92" s="55">
        <v>50</v>
      </c>
      <c r="X92" s="44">
        <f t="shared" si="1"/>
        <v>225</v>
      </c>
      <c r="Y92" s="62" t="s">
        <v>850</v>
      </c>
      <c r="Z92" s="26"/>
    </row>
    <row r="93" spans="2:26" s="13" customFormat="1" ht="63.75">
      <c r="B93" s="1408"/>
      <c r="C93" s="1451"/>
      <c r="D93" s="1428"/>
      <c r="E93" s="1405"/>
      <c r="F93" s="1405"/>
      <c r="G93" s="1431"/>
      <c r="H93" s="1405"/>
      <c r="I93" s="1405"/>
      <c r="J93" s="1360"/>
      <c r="K93" s="40" t="s">
        <v>89</v>
      </c>
      <c r="L93" s="74">
        <v>0.05</v>
      </c>
      <c r="M93" s="40">
        <v>1</v>
      </c>
      <c r="N93" s="58" t="s">
        <v>90</v>
      </c>
      <c r="O93" s="40">
        <v>0</v>
      </c>
      <c r="P93" s="43">
        <v>1</v>
      </c>
      <c r="Q93" s="43">
        <v>1</v>
      </c>
      <c r="R93" s="43">
        <v>1</v>
      </c>
      <c r="S93" s="43">
        <v>1</v>
      </c>
      <c r="T93" s="55">
        <v>75</v>
      </c>
      <c r="U93" s="55">
        <v>50</v>
      </c>
      <c r="V93" s="55">
        <v>50</v>
      </c>
      <c r="W93" s="55">
        <v>50</v>
      </c>
      <c r="X93" s="44">
        <f t="shared" si="1"/>
        <v>225</v>
      </c>
      <c r="Y93" s="62" t="s">
        <v>850</v>
      </c>
      <c r="Z93" s="26"/>
    </row>
    <row r="94" spans="2:26" s="13" customFormat="1" ht="51">
      <c r="B94" s="1408"/>
      <c r="C94" s="1451"/>
      <c r="D94" s="1428"/>
      <c r="E94" s="1405"/>
      <c r="F94" s="1405"/>
      <c r="G94" s="1431"/>
      <c r="H94" s="1405"/>
      <c r="I94" s="1405"/>
      <c r="J94" s="1424" t="s">
        <v>91</v>
      </c>
      <c r="K94" s="60" t="s">
        <v>92</v>
      </c>
      <c r="L94" s="74">
        <v>0.05</v>
      </c>
      <c r="M94" s="40">
        <v>5</v>
      </c>
      <c r="N94" s="41" t="s">
        <v>93</v>
      </c>
      <c r="O94" s="40">
        <v>0</v>
      </c>
      <c r="P94" s="43">
        <v>0</v>
      </c>
      <c r="Q94" s="43">
        <v>3</v>
      </c>
      <c r="R94" s="43">
        <v>4</v>
      </c>
      <c r="S94" s="43">
        <v>5</v>
      </c>
      <c r="T94" s="55">
        <v>0</v>
      </c>
      <c r="U94" s="55">
        <v>500</v>
      </c>
      <c r="V94" s="55">
        <v>600</v>
      </c>
      <c r="W94" s="55">
        <v>700</v>
      </c>
      <c r="X94" s="44">
        <f t="shared" si="1"/>
        <v>1800</v>
      </c>
      <c r="Y94" s="62" t="s">
        <v>850</v>
      </c>
      <c r="Z94" s="26"/>
    </row>
    <row r="95" spans="2:26" s="13" customFormat="1" ht="84">
      <c r="B95" s="1408"/>
      <c r="C95" s="1451"/>
      <c r="D95" s="1428"/>
      <c r="E95" s="1405"/>
      <c r="F95" s="1405"/>
      <c r="G95" s="1431"/>
      <c r="H95" s="1405"/>
      <c r="I95" s="1405"/>
      <c r="J95" s="1425"/>
      <c r="K95" s="63" t="s">
        <v>94</v>
      </c>
      <c r="L95" s="665">
        <v>0.46</v>
      </c>
      <c r="M95" s="39" t="s">
        <v>894</v>
      </c>
      <c r="N95" s="50" t="s">
        <v>895</v>
      </c>
      <c r="O95" s="47">
        <v>392</v>
      </c>
      <c r="P95" s="47">
        <v>392</v>
      </c>
      <c r="Q95" s="47">
        <v>392</v>
      </c>
      <c r="R95" s="47">
        <v>392</v>
      </c>
      <c r="S95" s="47">
        <v>392</v>
      </c>
      <c r="T95" s="44">
        <v>1000</v>
      </c>
      <c r="U95" s="44">
        <v>3760</v>
      </c>
      <c r="V95" s="44">
        <v>12574</v>
      </c>
      <c r="W95" s="44">
        <v>22308</v>
      </c>
      <c r="X95" s="44">
        <f t="shared" si="1"/>
        <v>39642</v>
      </c>
      <c r="Y95" s="62" t="s">
        <v>851</v>
      </c>
      <c r="Z95" s="26"/>
    </row>
    <row r="96" spans="2:26" s="13" customFormat="1" ht="30">
      <c r="B96" s="1408"/>
      <c r="C96" s="1451"/>
      <c r="D96" s="1428"/>
      <c r="E96" s="1405"/>
      <c r="F96" s="1405"/>
      <c r="G96" s="1431"/>
      <c r="H96" s="1405"/>
      <c r="I96" s="1405"/>
      <c r="J96" s="1425"/>
      <c r="K96" s="1445" t="s">
        <v>95</v>
      </c>
      <c r="L96" s="665">
        <v>0.1</v>
      </c>
      <c r="M96" s="40">
        <v>3</v>
      </c>
      <c r="N96" s="41" t="s">
        <v>96</v>
      </c>
      <c r="O96" s="56">
        <v>3</v>
      </c>
      <c r="P96" s="43">
        <v>0</v>
      </c>
      <c r="Q96" s="43">
        <v>5</v>
      </c>
      <c r="R96" s="43">
        <v>6</v>
      </c>
      <c r="S96" s="43">
        <v>6</v>
      </c>
      <c r="T96" s="44">
        <v>0</v>
      </c>
      <c r="U96" s="44">
        <v>1000</v>
      </c>
      <c r="V96" s="44">
        <v>500</v>
      </c>
      <c r="W96" s="44">
        <v>0</v>
      </c>
      <c r="X96" s="44">
        <f t="shared" si="1"/>
        <v>1500</v>
      </c>
      <c r="Y96" s="62" t="s">
        <v>852</v>
      </c>
      <c r="Z96" s="26"/>
    </row>
    <row r="97" spans="2:26" s="13" customFormat="1" ht="39">
      <c r="B97" s="1408"/>
      <c r="C97" s="1451"/>
      <c r="D97" s="1428"/>
      <c r="E97" s="1405"/>
      <c r="F97" s="1405"/>
      <c r="G97" s="1431"/>
      <c r="H97" s="1405"/>
      <c r="I97" s="1405"/>
      <c r="J97" s="1425"/>
      <c r="K97" s="1462"/>
      <c r="L97" s="665">
        <v>0.05</v>
      </c>
      <c r="M97" s="40">
        <v>1</v>
      </c>
      <c r="N97" s="41" t="s">
        <v>97</v>
      </c>
      <c r="O97" s="56">
        <v>0</v>
      </c>
      <c r="P97" s="43">
        <v>0</v>
      </c>
      <c r="Q97" s="43">
        <v>1</v>
      </c>
      <c r="R97" s="43">
        <v>1</v>
      </c>
      <c r="S97" s="43">
        <v>1</v>
      </c>
      <c r="T97" s="44">
        <v>0</v>
      </c>
      <c r="U97" s="44">
        <v>500</v>
      </c>
      <c r="V97" s="44">
        <v>0</v>
      </c>
      <c r="W97" s="44"/>
      <c r="X97" s="44">
        <f t="shared" si="1"/>
        <v>500</v>
      </c>
      <c r="Y97" s="62" t="s">
        <v>852</v>
      </c>
      <c r="Z97" s="26"/>
    </row>
    <row r="98" spans="2:26" s="13" customFormat="1" ht="39">
      <c r="B98" s="1408"/>
      <c r="C98" s="1451"/>
      <c r="D98" s="1428"/>
      <c r="E98" s="1405"/>
      <c r="F98" s="1405"/>
      <c r="G98" s="1431"/>
      <c r="H98" s="1405"/>
      <c r="I98" s="1405"/>
      <c r="J98" s="1425"/>
      <c r="K98" s="1462"/>
      <c r="L98" s="665">
        <v>0.05</v>
      </c>
      <c r="M98" s="40">
        <v>1</v>
      </c>
      <c r="N98" s="41" t="s">
        <v>870</v>
      </c>
      <c r="O98" s="40">
        <v>0</v>
      </c>
      <c r="P98" s="43">
        <v>0</v>
      </c>
      <c r="Q98" s="43">
        <v>1</v>
      </c>
      <c r="R98" s="43">
        <v>1</v>
      </c>
      <c r="S98" s="43">
        <v>1</v>
      </c>
      <c r="T98" s="44">
        <v>0</v>
      </c>
      <c r="U98" s="44">
        <v>1000</v>
      </c>
      <c r="V98" s="44">
        <v>1000</v>
      </c>
      <c r="W98" s="44">
        <v>1000</v>
      </c>
      <c r="X98" s="44">
        <f t="shared" si="1"/>
        <v>3000</v>
      </c>
      <c r="Y98" s="62" t="s">
        <v>852</v>
      </c>
      <c r="Z98" s="26"/>
    </row>
    <row r="99" spans="2:26" s="13" customFormat="1" ht="39">
      <c r="B99" s="1408"/>
      <c r="C99" s="1451"/>
      <c r="D99" s="1428"/>
      <c r="E99" s="1405"/>
      <c r="F99" s="1405"/>
      <c r="G99" s="1431"/>
      <c r="H99" s="1405"/>
      <c r="I99" s="1405"/>
      <c r="J99" s="1425"/>
      <c r="K99" s="1462"/>
      <c r="L99" s="665">
        <v>0.05</v>
      </c>
      <c r="M99" s="40">
        <v>1</v>
      </c>
      <c r="N99" s="41" t="s">
        <v>871</v>
      </c>
      <c r="O99" s="40">
        <v>0</v>
      </c>
      <c r="P99" s="43">
        <v>0</v>
      </c>
      <c r="Q99" s="43">
        <v>1</v>
      </c>
      <c r="R99" s="43">
        <v>1</v>
      </c>
      <c r="S99" s="43">
        <v>1</v>
      </c>
      <c r="T99" s="44">
        <v>0</v>
      </c>
      <c r="U99" s="44">
        <v>500</v>
      </c>
      <c r="V99" s="44">
        <v>1000</v>
      </c>
      <c r="W99" s="44">
        <v>1000</v>
      </c>
      <c r="X99" s="44">
        <f t="shared" si="1"/>
        <v>2500</v>
      </c>
      <c r="Y99" s="62" t="s">
        <v>852</v>
      </c>
      <c r="Z99" s="26"/>
    </row>
    <row r="100" spans="2:26" s="13" customFormat="1" ht="64.5">
      <c r="B100" s="1408"/>
      <c r="C100" s="1451"/>
      <c r="D100" s="1428"/>
      <c r="E100" s="1405"/>
      <c r="F100" s="1405"/>
      <c r="G100" s="1431"/>
      <c r="H100" s="1405"/>
      <c r="I100" s="1405"/>
      <c r="J100" s="1425"/>
      <c r="K100" s="1462"/>
      <c r="L100" s="665">
        <v>0.05</v>
      </c>
      <c r="M100" s="39" t="s">
        <v>896</v>
      </c>
      <c r="N100" s="41" t="s">
        <v>897</v>
      </c>
      <c r="O100" s="47">
        <v>10749</v>
      </c>
      <c r="P100" s="48">
        <v>10780</v>
      </c>
      <c r="Q100" s="48">
        <v>10780</v>
      </c>
      <c r="R100" s="48">
        <v>10780</v>
      </c>
      <c r="S100" s="48">
        <v>10780</v>
      </c>
      <c r="T100" s="44">
        <v>331776</v>
      </c>
      <c r="U100" s="44">
        <v>342400</v>
      </c>
      <c r="V100" s="44">
        <v>351300</v>
      </c>
      <c r="W100" s="44">
        <v>362850</v>
      </c>
      <c r="X100" s="44">
        <f t="shared" si="1"/>
        <v>1388326</v>
      </c>
      <c r="Y100" s="62" t="s">
        <v>852</v>
      </c>
      <c r="Z100" s="26"/>
    </row>
    <row r="101" spans="2:26" s="13" customFormat="1" ht="39">
      <c r="B101" s="1408"/>
      <c r="C101" s="1451"/>
      <c r="D101" s="1428"/>
      <c r="E101" s="1405"/>
      <c r="F101" s="1405"/>
      <c r="G101" s="1431"/>
      <c r="H101" s="1405"/>
      <c r="I101" s="1405"/>
      <c r="J101" s="1425"/>
      <c r="K101" s="1462"/>
      <c r="L101" s="665">
        <v>0.05</v>
      </c>
      <c r="M101" s="40">
        <v>27</v>
      </c>
      <c r="N101" s="41" t="s">
        <v>98</v>
      </c>
      <c r="O101" s="40">
        <v>27</v>
      </c>
      <c r="P101" s="48">
        <v>0</v>
      </c>
      <c r="Q101" s="48">
        <v>15</v>
      </c>
      <c r="R101" s="48">
        <v>20</v>
      </c>
      <c r="S101" s="48">
        <v>27</v>
      </c>
      <c r="T101" s="55">
        <v>0</v>
      </c>
      <c r="U101" s="55">
        <v>1000</v>
      </c>
      <c r="V101" s="55">
        <v>1000</v>
      </c>
      <c r="W101" s="55">
        <v>1000</v>
      </c>
      <c r="X101" s="44">
        <f>T101+U101+V101+W101</f>
        <v>3000</v>
      </c>
      <c r="Y101" s="62" t="s">
        <v>852</v>
      </c>
      <c r="Z101" s="26"/>
    </row>
    <row r="102" spans="2:26" ht="50.25" customHeight="1">
      <c r="B102" s="1408"/>
      <c r="C102" s="1451"/>
      <c r="D102" s="1429"/>
      <c r="E102" s="1406"/>
      <c r="F102" s="1406"/>
      <c r="G102" s="1432"/>
      <c r="H102" s="1406"/>
      <c r="I102" s="1406"/>
      <c r="J102" s="1426"/>
      <c r="K102" s="1446"/>
      <c r="L102" s="74">
        <v>0.04</v>
      </c>
      <c r="M102" s="46">
        <v>15000</v>
      </c>
      <c r="N102" s="41" t="s">
        <v>898</v>
      </c>
      <c r="O102" s="47">
        <v>18410</v>
      </c>
      <c r="P102" s="48">
        <v>15750</v>
      </c>
      <c r="Q102" s="48">
        <v>15500</v>
      </c>
      <c r="R102" s="48">
        <v>15250</v>
      </c>
      <c r="S102" s="48">
        <v>15000</v>
      </c>
      <c r="T102" s="44">
        <v>18048</v>
      </c>
      <c r="U102" s="44">
        <v>17600</v>
      </c>
      <c r="V102" s="44">
        <v>18700</v>
      </c>
      <c r="W102" s="44">
        <v>17150</v>
      </c>
      <c r="X102" s="44">
        <f>T102+U102+V102+W102</f>
        <v>71498</v>
      </c>
      <c r="Y102" s="45" t="s">
        <v>839</v>
      </c>
      <c r="Z102" s="13"/>
    </row>
    <row r="103" spans="2:26" ht="24.75" customHeight="1">
      <c r="B103" s="1408"/>
      <c r="C103" s="1451"/>
      <c r="D103" s="434"/>
      <c r="E103" s="442"/>
      <c r="F103" s="442"/>
      <c r="G103" s="445"/>
      <c r="H103" s="442"/>
      <c r="I103" s="442"/>
      <c r="J103" s="434"/>
      <c r="K103" s="435"/>
      <c r="L103" s="715">
        <f>SUM(L92:L102)</f>
        <v>1.0000000000000002</v>
      </c>
      <c r="M103" s="46"/>
      <c r="N103" s="41"/>
      <c r="O103" s="47"/>
      <c r="P103" s="48"/>
      <c r="Q103" s="48"/>
      <c r="R103" s="48"/>
      <c r="S103" s="48"/>
      <c r="T103" s="44"/>
      <c r="U103" s="44"/>
      <c r="V103" s="44"/>
      <c r="W103" s="44"/>
      <c r="X103" s="44"/>
      <c r="Y103" s="45"/>
      <c r="Z103" s="13"/>
    </row>
    <row r="104" spans="2:25" ht="153.75">
      <c r="B104" s="1409"/>
      <c r="C104" s="1452"/>
      <c r="D104" s="663" t="s">
        <v>99</v>
      </c>
      <c r="E104" s="39">
        <v>0.1</v>
      </c>
      <c r="F104" s="39">
        <v>1</v>
      </c>
      <c r="G104" s="40" t="s">
        <v>853</v>
      </c>
      <c r="H104" s="39">
        <v>0</v>
      </c>
      <c r="I104" s="39">
        <v>1</v>
      </c>
      <c r="J104" s="40" t="s">
        <v>100</v>
      </c>
      <c r="K104" s="51" t="s">
        <v>101</v>
      </c>
      <c r="L104" s="74">
        <v>1</v>
      </c>
      <c r="M104" s="83" t="s">
        <v>899</v>
      </c>
      <c r="N104" s="49" t="s">
        <v>900</v>
      </c>
      <c r="O104" s="40">
        <v>0</v>
      </c>
      <c r="P104" s="48">
        <v>5</v>
      </c>
      <c r="Q104" s="48">
        <v>10</v>
      </c>
      <c r="R104" s="48">
        <v>15</v>
      </c>
      <c r="S104" s="48">
        <v>20</v>
      </c>
      <c r="T104" s="44">
        <v>15000</v>
      </c>
      <c r="U104" s="44">
        <v>15852</v>
      </c>
      <c r="V104" s="44">
        <v>16173</v>
      </c>
      <c r="W104" s="44">
        <v>17345</v>
      </c>
      <c r="X104" s="44">
        <f t="shared" si="1"/>
        <v>64370</v>
      </c>
      <c r="Y104" s="62" t="s">
        <v>855</v>
      </c>
    </row>
    <row r="105" spans="2:25" ht="15">
      <c r="B105" s="437"/>
      <c r="C105" s="438"/>
      <c r="D105" s="40"/>
      <c r="E105" s="39"/>
      <c r="F105" s="39"/>
      <c r="G105" s="40"/>
      <c r="H105" s="39"/>
      <c r="I105" s="39"/>
      <c r="J105" s="40"/>
      <c r="K105" s="51"/>
      <c r="L105" s="74">
        <f>SUM(L104)</f>
        <v>1</v>
      </c>
      <c r="M105" s="83"/>
      <c r="N105" s="49"/>
      <c r="O105" s="40"/>
      <c r="P105" s="48"/>
      <c r="Q105" s="48"/>
      <c r="R105" s="48"/>
      <c r="S105" s="48"/>
      <c r="T105" s="44"/>
      <c r="U105" s="44"/>
      <c r="V105" s="44"/>
      <c r="W105" s="44"/>
      <c r="X105" s="44"/>
      <c r="Y105" s="62"/>
    </row>
    <row r="106" spans="2:25" ht="15">
      <c r="B106" s="437"/>
      <c r="C106" s="438"/>
      <c r="D106" s="40"/>
      <c r="E106" s="39"/>
      <c r="F106" s="39"/>
      <c r="G106" s="40"/>
      <c r="H106" s="39"/>
      <c r="I106" s="39"/>
      <c r="J106" s="40"/>
      <c r="K106" s="51"/>
      <c r="L106" s="662"/>
      <c r="M106" s="83"/>
      <c r="N106" s="49"/>
      <c r="O106" s="40"/>
      <c r="P106" s="48"/>
      <c r="Q106" s="48"/>
      <c r="R106" s="48"/>
      <c r="S106" s="48"/>
      <c r="T106" s="44"/>
      <c r="U106" s="44"/>
      <c r="V106" s="44"/>
      <c r="W106" s="44"/>
      <c r="X106" s="44"/>
      <c r="Y106" s="62"/>
    </row>
    <row r="107" spans="2:25" ht="15.75">
      <c r="B107" s="1448" t="s">
        <v>854</v>
      </c>
      <c r="C107" s="1449"/>
      <c r="D107" s="1449"/>
      <c r="E107" s="1449"/>
      <c r="F107" s="1449"/>
      <c r="G107" s="1449"/>
      <c r="H107" s="1449"/>
      <c r="I107" s="1449"/>
      <c r="J107" s="1449"/>
      <c r="K107" s="1449"/>
      <c r="L107" s="1449"/>
      <c r="M107" s="1449"/>
      <c r="N107" s="1449"/>
      <c r="O107" s="1449"/>
      <c r="P107" s="1449"/>
      <c r="Q107" s="1449"/>
      <c r="R107" s="1449"/>
      <c r="S107" s="1450"/>
      <c r="T107" s="64">
        <f>SUM(T15:T104)</f>
        <v>408541</v>
      </c>
      <c r="U107" s="64">
        <f>SUM(U15:U104)</f>
        <v>531071</v>
      </c>
      <c r="V107" s="64">
        <f>SUM(V15:V104)</f>
        <v>548938</v>
      </c>
      <c r="W107" s="64">
        <f>SUM(W15:W104)</f>
        <v>577112</v>
      </c>
      <c r="X107" s="64">
        <f>SUM(X15:X104)</f>
        <v>2065662</v>
      </c>
      <c r="Y107" s="10"/>
    </row>
    <row r="108" ht="15">
      <c r="B108" s="21"/>
    </row>
    <row r="109" ht="15">
      <c r="B109" s="21"/>
    </row>
    <row r="110" ht="15">
      <c r="B110" s="21"/>
    </row>
  </sheetData>
  <sheetProtection/>
  <mergeCells count="109">
    <mergeCell ref="H61:H70"/>
    <mergeCell ref="J56:J59"/>
    <mergeCell ref="K56:K57"/>
    <mergeCell ref="L56:L57"/>
    <mergeCell ref="I61:I70"/>
    <mergeCell ref="J61:J77"/>
    <mergeCell ref="K62:K70"/>
    <mergeCell ref="R78:R79"/>
    <mergeCell ref="J92:J93"/>
    <mergeCell ref="J94:J102"/>
    <mergeCell ref="K96:K102"/>
    <mergeCell ref="H71:H77"/>
    <mergeCell ref="L76:L77"/>
    <mergeCell ref="W78:W79"/>
    <mergeCell ref="U78:U79"/>
    <mergeCell ref="V78:V79"/>
    <mergeCell ref="I78:I90"/>
    <mergeCell ref="J78:J83"/>
    <mergeCell ref="K78:K79"/>
    <mergeCell ref="S78:S79"/>
    <mergeCell ref="T78:T79"/>
    <mergeCell ref="K80:K83"/>
    <mergeCell ref="J84:J87"/>
    <mergeCell ref="Y78:Y79"/>
    <mergeCell ref="H78:H90"/>
    <mergeCell ref="B107:S107"/>
    <mergeCell ref="B15:B104"/>
    <mergeCell ref="C15:C104"/>
    <mergeCell ref="X78:X79"/>
    <mergeCell ref="K46:K48"/>
    <mergeCell ref="K71:K75"/>
    <mergeCell ref="K76:K77"/>
    <mergeCell ref="J88:J90"/>
    <mergeCell ref="N78:N79"/>
    <mergeCell ref="K88:K90"/>
    <mergeCell ref="O78:O79"/>
    <mergeCell ref="P78:P79"/>
    <mergeCell ref="F78:F90"/>
    <mergeCell ref="G78:G90"/>
    <mergeCell ref="K85:K87"/>
    <mergeCell ref="Q78:Q79"/>
    <mergeCell ref="F71:F77"/>
    <mergeCell ref="G71:G77"/>
    <mergeCell ref="I71:I77"/>
    <mergeCell ref="D61:D90"/>
    <mergeCell ref="E61:E90"/>
    <mergeCell ref="F61:F70"/>
    <mergeCell ref="G61:G70"/>
    <mergeCell ref="L78:L79"/>
    <mergeCell ref="M78:M79"/>
    <mergeCell ref="D92:D102"/>
    <mergeCell ref="E92:E102"/>
    <mergeCell ref="F92:F102"/>
    <mergeCell ref="G92:G102"/>
    <mergeCell ref="H92:H102"/>
    <mergeCell ref="I92:I102"/>
    <mergeCell ref="J15:J45"/>
    <mergeCell ref="F23:F30"/>
    <mergeCell ref="G23:G30"/>
    <mergeCell ref="I15:I22"/>
    <mergeCell ref="J46:J55"/>
    <mergeCell ref="K15:K22"/>
    <mergeCell ref="K23:K26"/>
    <mergeCell ref="K31:K37"/>
    <mergeCell ref="K49:K55"/>
    <mergeCell ref="B9:C9"/>
    <mergeCell ref="T12:X12"/>
    <mergeCell ref="O13:O14"/>
    <mergeCell ref="N13:N14"/>
    <mergeCell ref="D10:Y10"/>
    <mergeCell ref="H15:H22"/>
    <mergeCell ref="D15:D59"/>
    <mergeCell ref="E15:E59"/>
    <mergeCell ref="F15:F22"/>
    <mergeCell ref="G15:G22"/>
    <mergeCell ref="H23:H30"/>
    <mergeCell ref="I23:I30"/>
    <mergeCell ref="F31:F59"/>
    <mergeCell ref="G31:G59"/>
    <mergeCell ref="H31:H59"/>
    <mergeCell ref="I31:I59"/>
    <mergeCell ref="K13:K14"/>
    <mergeCell ref="L13:L14"/>
    <mergeCell ref="M13:M14"/>
    <mergeCell ref="J13:J14"/>
    <mergeCell ref="D8:I8"/>
    <mergeCell ref="D12:I12"/>
    <mergeCell ref="J12:S12"/>
    <mergeCell ref="D9:Y9"/>
    <mergeCell ref="H6:S6"/>
    <mergeCell ref="T6:Y6"/>
    <mergeCell ref="B13:B14"/>
    <mergeCell ref="E13:E14"/>
    <mergeCell ref="F13:F14"/>
    <mergeCell ref="G13:G14"/>
    <mergeCell ref="H13:H14"/>
    <mergeCell ref="I13:I14"/>
    <mergeCell ref="D13:D14"/>
    <mergeCell ref="C13:C14"/>
    <mergeCell ref="K38:K43"/>
    <mergeCell ref="K44:K45"/>
    <mergeCell ref="L44:L45"/>
    <mergeCell ref="K27:K29"/>
    <mergeCell ref="T5:Y5"/>
    <mergeCell ref="B2:G6"/>
    <mergeCell ref="H2:S4"/>
    <mergeCell ref="T2:Y4"/>
    <mergeCell ref="H5:S5"/>
    <mergeCell ref="J8:Y8"/>
  </mergeCells>
  <printOptions/>
  <pageMargins left="1.24" right="0.7086614173228347" top="0.7480314960629921" bottom="0.7480314960629921" header="0.31496062992125984" footer="0.31496062992125984"/>
  <pageSetup horizontalDpi="600" verticalDpi="600" orientation="landscape" paperSize="5" scale="50"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2:BF71"/>
  <sheetViews>
    <sheetView showGridLines="0" tabSelected="1" zoomScalePageLayoutView="0" workbookViewId="0" topLeftCell="A1">
      <selection activeCell="H2" sqref="H2:S4"/>
    </sheetView>
  </sheetViews>
  <sheetFormatPr defaultColWidth="11.421875" defaultRowHeight="15"/>
  <cols>
    <col min="1" max="1" width="3.140625" style="0" customWidth="1"/>
    <col min="2" max="2" width="9.140625" style="0" customWidth="1"/>
    <col min="3" max="3" width="9.8515625" style="0" customWidth="1"/>
    <col min="4" max="4" width="11.57421875" style="0" customWidth="1"/>
    <col min="5" max="5" width="8.8515625" style="0" customWidth="1"/>
    <col min="7" max="7" width="14.421875" style="0" customWidth="1"/>
    <col min="10" max="10" width="10.7109375" style="0" customWidth="1"/>
    <col min="11" max="11" width="13.421875" style="0" customWidth="1"/>
    <col min="12" max="12" width="8.421875" style="0" customWidth="1"/>
    <col min="13" max="13" width="14.140625" style="0" customWidth="1"/>
    <col min="14" max="14" width="12.57421875" style="0" customWidth="1"/>
    <col min="15" max="15" width="9.00390625" style="0" customWidth="1"/>
    <col min="16" max="16" width="10.57421875" style="0" customWidth="1"/>
    <col min="17" max="18" width="10.140625" style="0" customWidth="1"/>
    <col min="19" max="19" width="10.8515625" style="0" customWidth="1"/>
    <col min="20" max="21" width="13.140625" style="0" customWidth="1"/>
    <col min="22" max="22" width="14.57421875" style="0" customWidth="1"/>
    <col min="23" max="23" width="13.8515625" style="0" customWidth="1"/>
    <col min="24" max="24" width="13.57421875" style="0" customWidth="1"/>
    <col min="25" max="25" width="14.140625" style="0" customWidth="1"/>
    <col min="26" max="26" width="16.140625" style="0" customWidth="1"/>
    <col min="27" max="27" width="14.7109375" style="0" customWidth="1"/>
  </cols>
  <sheetData>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s="2" customFormat="1" ht="15" customHeight="1">
      <c r="B7" s="5"/>
      <c r="C7" s="5"/>
      <c r="D7" s="5"/>
      <c r="E7" s="5"/>
      <c r="F7" s="5"/>
      <c r="G7" s="5"/>
      <c r="H7" s="5"/>
      <c r="I7" s="5"/>
      <c r="J7" s="5"/>
      <c r="K7" s="5"/>
      <c r="L7" s="5"/>
      <c r="M7" s="996"/>
      <c r="N7" s="996"/>
      <c r="O7" s="996"/>
      <c r="P7" s="996"/>
      <c r="Q7" s="996"/>
      <c r="R7" s="996"/>
      <c r="S7" s="996"/>
      <c r="T7" s="996"/>
      <c r="U7" s="996"/>
      <c r="V7" s="996"/>
      <c r="W7" s="996"/>
      <c r="X7" s="996"/>
      <c r="Y7" s="996"/>
    </row>
    <row r="8" spans="2:25" ht="15">
      <c r="B8" s="1041" t="s">
        <v>1372</v>
      </c>
      <c r="C8" s="1076"/>
      <c r="D8" s="1574" t="s">
        <v>1373</v>
      </c>
      <c r="E8" s="1575"/>
      <c r="F8" s="1575"/>
      <c r="G8" s="1575"/>
      <c r="H8" s="1575"/>
      <c r="I8" s="1575"/>
      <c r="J8" s="1983"/>
      <c r="K8" s="1983"/>
      <c r="L8" s="1983"/>
      <c r="M8" s="1983"/>
      <c r="N8" s="1575"/>
      <c r="O8" s="1575"/>
      <c r="P8" s="1575"/>
      <c r="Q8" s="1575"/>
      <c r="R8" s="1575"/>
      <c r="S8" s="1575"/>
      <c r="T8" s="1575"/>
      <c r="U8" s="1575"/>
      <c r="V8" s="1575"/>
      <c r="W8" s="1575"/>
      <c r="X8" s="1575"/>
      <c r="Y8" s="1043"/>
    </row>
    <row r="9" spans="2:25" ht="15">
      <c r="B9" s="1041" t="s">
        <v>154</v>
      </c>
      <c r="C9" s="1076"/>
      <c r="D9" s="1574" t="s">
        <v>1115</v>
      </c>
      <c r="E9" s="1575"/>
      <c r="F9" s="1575"/>
      <c r="G9" s="1575"/>
      <c r="H9" s="1575"/>
      <c r="I9" s="1575"/>
      <c r="J9" s="1575"/>
      <c r="K9" s="1575"/>
      <c r="L9" s="1575"/>
      <c r="M9" s="1575"/>
      <c r="N9" s="2127"/>
      <c r="O9" s="2127"/>
      <c r="P9" s="2127"/>
      <c r="Q9" s="2127"/>
      <c r="R9" s="2127"/>
      <c r="S9" s="2127"/>
      <c r="T9" s="2127"/>
      <c r="U9" s="2127"/>
      <c r="V9" s="2127"/>
      <c r="W9" s="2127"/>
      <c r="X9" s="2127"/>
      <c r="Y9" s="1043"/>
    </row>
    <row r="10" spans="2:25" ht="15">
      <c r="B10" s="1041" t="s">
        <v>1387</v>
      </c>
      <c r="C10" s="1076"/>
      <c r="D10" s="1045" t="s">
        <v>1397</v>
      </c>
      <c r="E10" s="1042"/>
      <c r="F10" s="1042"/>
      <c r="G10" s="1042"/>
      <c r="H10" s="1042"/>
      <c r="I10" s="1042"/>
      <c r="J10" s="1042"/>
      <c r="K10" s="1042"/>
      <c r="L10" s="1042"/>
      <c r="M10" s="1042"/>
      <c r="N10" s="1042"/>
      <c r="O10" s="1042"/>
      <c r="P10" s="1042"/>
      <c r="Q10" s="1042"/>
      <c r="R10" s="1042"/>
      <c r="S10" s="1042"/>
      <c r="T10" s="1042"/>
      <c r="U10" s="1042"/>
      <c r="V10" s="1042"/>
      <c r="W10" s="1042"/>
      <c r="X10" s="1042"/>
      <c r="Y10" s="1043"/>
    </row>
    <row r="11" spans="2:25" ht="15">
      <c r="B11" s="2129"/>
      <c r="C11" s="2129"/>
      <c r="D11" s="2129"/>
      <c r="E11" s="2129"/>
      <c r="F11" s="2129"/>
      <c r="G11" s="2129"/>
      <c r="H11" s="2129"/>
      <c r="I11" s="2129"/>
      <c r="J11" s="2129"/>
      <c r="K11" s="2129"/>
      <c r="L11" s="2129"/>
      <c r="M11" s="2129"/>
      <c r="N11" s="2129"/>
      <c r="O11" s="2129"/>
      <c r="P11" s="2129"/>
      <c r="Q11" s="2129"/>
      <c r="R11" s="2129"/>
      <c r="S11" s="2129"/>
      <c r="T11" s="2129"/>
      <c r="U11" s="2129"/>
      <c r="V11" s="2129"/>
      <c r="W11" s="2129"/>
      <c r="X11" s="2130"/>
      <c r="Y11" s="1012"/>
    </row>
    <row r="12" spans="2:25" s="1049" customFormat="1" ht="18.75" customHeight="1">
      <c r="B12" s="1078"/>
      <c r="C12" s="1078"/>
      <c r="D12" s="1078"/>
      <c r="E12" s="1078"/>
      <c r="F12" s="2126" t="s">
        <v>830</v>
      </c>
      <c r="G12" s="2126"/>
      <c r="H12" s="2126"/>
      <c r="I12" s="2126"/>
      <c r="J12" s="2128" t="s">
        <v>831</v>
      </c>
      <c r="K12" s="2128"/>
      <c r="L12" s="2128"/>
      <c r="M12" s="2128"/>
      <c r="N12" s="2128"/>
      <c r="O12" s="2128"/>
      <c r="P12" s="2128" t="s">
        <v>1406</v>
      </c>
      <c r="Q12" s="2128"/>
      <c r="R12" s="2128"/>
      <c r="S12" s="2128"/>
      <c r="T12" s="2128" t="s">
        <v>1161</v>
      </c>
      <c r="U12" s="2128"/>
      <c r="V12" s="2128"/>
      <c r="W12" s="2128"/>
      <c r="X12" s="2128"/>
      <c r="Y12" s="1079"/>
    </row>
    <row r="13" spans="2:25" ht="18">
      <c r="B13" s="2154" t="s">
        <v>103</v>
      </c>
      <c r="C13" s="1618" t="s">
        <v>1127</v>
      </c>
      <c r="D13" s="2132" t="s">
        <v>0</v>
      </c>
      <c r="E13" s="2131" t="s">
        <v>1128</v>
      </c>
      <c r="F13" s="2153" t="s">
        <v>141</v>
      </c>
      <c r="G13" s="2132" t="s">
        <v>104</v>
      </c>
      <c r="H13" s="2132" t="s">
        <v>142</v>
      </c>
      <c r="I13" s="2132" t="s">
        <v>143</v>
      </c>
      <c r="J13" s="2131" t="s">
        <v>1</v>
      </c>
      <c r="K13" s="2132" t="s">
        <v>2</v>
      </c>
      <c r="L13" s="2132" t="s">
        <v>1129</v>
      </c>
      <c r="M13" s="2131" t="s">
        <v>3</v>
      </c>
      <c r="N13" s="2132" t="s">
        <v>4</v>
      </c>
      <c r="O13" s="2133" t="s">
        <v>142</v>
      </c>
      <c r="P13" s="1352" t="s">
        <v>144</v>
      </c>
      <c r="Q13" s="1352" t="s">
        <v>144</v>
      </c>
      <c r="R13" s="1352" t="s">
        <v>145</v>
      </c>
      <c r="S13" s="1352" t="s">
        <v>144</v>
      </c>
      <c r="T13" s="1353">
        <v>2012</v>
      </c>
      <c r="U13" s="1352">
        <v>2013</v>
      </c>
      <c r="V13" s="1352">
        <v>2014</v>
      </c>
      <c r="W13" s="1352">
        <v>2015</v>
      </c>
      <c r="X13" s="1352" t="s">
        <v>146</v>
      </c>
      <c r="Y13" s="1352" t="s">
        <v>147</v>
      </c>
    </row>
    <row r="14" spans="1:25" ht="32.25" customHeight="1">
      <c r="A14" s="1008"/>
      <c r="B14" s="2154"/>
      <c r="C14" s="1619"/>
      <c r="D14" s="2132"/>
      <c r="E14" s="2131"/>
      <c r="F14" s="2153"/>
      <c r="G14" s="2132"/>
      <c r="H14" s="2132"/>
      <c r="I14" s="2132"/>
      <c r="J14" s="2131"/>
      <c r="K14" s="2132"/>
      <c r="L14" s="2132"/>
      <c r="M14" s="2131"/>
      <c r="N14" s="2132"/>
      <c r="O14" s="2134"/>
      <c r="P14" s="1357">
        <v>2012</v>
      </c>
      <c r="Q14" s="1357">
        <v>2013</v>
      </c>
      <c r="R14" s="1357">
        <v>2014</v>
      </c>
      <c r="S14" s="1354">
        <v>2015</v>
      </c>
      <c r="T14" s="1355"/>
      <c r="U14" s="1356"/>
      <c r="V14" s="1356"/>
      <c r="W14" s="1356"/>
      <c r="X14" s="1356"/>
      <c r="Y14" s="1356"/>
    </row>
    <row r="15" spans="1:58" s="10" customFormat="1" ht="65.25" customHeight="1">
      <c r="A15" s="1004"/>
      <c r="B15" s="2159" t="s">
        <v>138</v>
      </c>
      <c r="C15" s="2135">
        <v>10.92</v>
      </c>
      <c r="D15" s="2165" t="s">
        <v>794</v>
      </c>
      <c r="E15" s="2139">
        <v>40</v>
      </c>
      <c r="F15" s="2145">
        <v>1</v>
      </c>
      <c r="G15" s="2155" t="s">
        <v>139</v>
      </c>
      <c r="H15" s="2162"/>
      <c r="I15" s="2188">
        <v>1</v>
      </c>
      <c r="J15" s="2150" t="s">
        <v>795</v>
      </c>
      <c r="K15" s="390" t="s">
        <v>796</v>
      </c>
      <c r="L15" s="391">
        <v>2</v>
      </c>
      <c r="M15" s="391">
        <v>200</v>
      </c>
      <c r="N15" s="304" t="s">
        <v>1088</v>
      </c>
      <c r="O15" s="433">
        <v>30</v>
      </c>
      <c r="P15" s="310">
        <f>O15+10</f>
        <v>40</v>
      </c>
      <c r="Q15" s="308">
        <v>60</v>
      </c>
      <c r="R15" s="308">
        <f>Q15+50</f>
        <v>110</v>
      </c>
      <c r="S15" s="308">
        <f>R15+120</f>
        <v>230</v>
      </c>
      <c r="T15" s="2200">
        <v>4210225296</v>
      </c>
      <c r="U15" s="2197">
        <v>4336532055</v>
      </c>
      <c r="V15" s="2197">
        <v>4466628017</v>
      </c>
      <c r="W15" s="2197">
        <v>4600626857</v>
      </c>
      <c r="X15" s="2197">
        <f>SUM(T15:W15)</f>
        <v>17614012225</v>
      </c>
      <c r="Y15" s="304" t="s">
        <v>1089</v>
      </c>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0" customFormat="1" ht="81">
      <c r="A16" s="1004"/>
      <c r="B16" s="2160"/>
      <c r="C16" s="2136"/>
      <c r="D16" s="2166"/>
      <c r="E16" s="2140"/>
      <c r="F16" s="2146"/>
      <c r="G16" s="2156"/>
      <c r="H16" s="2163"/>
      <c r="I16" s="2189"/>
      <c r="J16" s="2151"/>
      <c r="K16" s="390" t="s">
        <v>797</v>
      </c>
      <c r="L16" s="391">
        <v>2</v>
      </c>
      <c r="M16" s="305">
        <v>1</v>
      </c>
      <c r="N16" s="304" t="s">
        <v>1143</v>
      </c>
      <c r="O16" s="304">
        <v>40</v>
      </c>
      <c r="P16" s="308">
        <f>O16+10</f>
        <v>50</v>
      </c>
      <c r="Q16" s="308">
        <v>70</v>
      </c>
      <c r="R16" s="308">
        <f>Q16+20</f>
        <v>90</v>
      </c>
      <c r="S16" s="308">
        <f>R16+10</f>
        <v>100</v>
      </c>
      <c r="T16" s="2201"/>
      <c r="U16" s="2198"/>
      <c r="V16" s="2198"/>
      <c r="W16" s="2198"/>
      <c r="X16" s="2198"/>
      <c r="Y16" s="307" t="s">
        <v>1089</v>
      </c>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0" customFormat="1" ht="63">
      <c r="A17" s="1004"/>
      <c r="B17" s="2160"/>
      <c r="C17" s="2136"/>
      <c r="D17" s="2166"/>
      <c r="E17" s="2140"/>
      <c r="F17" s="2146"/>
      <c r="G17" s="2156"/>
      <c r="H17" s="2163"/>
      <c r="I17" s="2189"/>
      <c r="J17" s="2151"/>
      <c r="K17" s="390" t="s">
        <v>798</v>
      </c>
      <c r="L17" s="391"/>
      <c r="M17" s="304" t="s">
        <v>911</v>
      </c>
      <c r="N17" s="304" t="s">
        <v>1123</v>
      </c>
      <c r="O17" s="304">
        <v>50</v>
      </c>
      <c r="P17" s="308">
        <v>50</v>
      </c>
      <c r="Q17" s="308">
        <f>P17+20</f>
        <v>70</v>
      </c>
      <c r="R17" s="308">
        <f>Q17+10</f>
        <v>80</v>
      </c>
      <c r="S17" s="308">
        <f>R17+20</f>
        <v>100</v>
      </c>
      <c r="T17" s="2201"/>
      <c r="U17" s="2198"/>
      <c r="V17" s="2198"/>
      <c r="W17" s="2198"/>
      <c r="X17" s="2198"/>
      <c r="Y17" s="304" t="s">
        <v>1085</v>
      </c>
      <c r="Z17" s="13"/>
      <c r="AA17" s="388"/>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s="10" customFormat="1" ht="70.5" customHeight="1">
      <c r="A18" s="1004"/>
      <c r="B18" s="2160"/>
      <c r="C18" s="2136"/>
      <c r="D18" s="2166"/>
      <c r="E18" s="2140"/>
      <c r="F18" s="2146"/>
      <c r="G18" s="2156"/>
      <c r="H18" s="2163"/>
      <c r="I18" s="2189"/>
      <c r="J18" s="2151"/>
      <c r="K18" s="2192" t="s">
        <v>1141</v>
      </c>
      <c r="L18" s="304">
        <v>4</v>
      </c>
      <c r="M18" s="304" t="s">
        <v>911</v>
      </c>
      <c r="N18" s="304" t="s">
        <v>1106</v>
      </c>
      <c r="O18" s="304">
        <v>10</v>
      </c>
      <c r="P18" s="308">
        <v>50</v>
      </c>
      <c r="Q18" s="308">
        <v>70</v>
      </c>
      <c r="R18" s="308">
        <v>90</v>
      </c>
      <c r="S18" s="308">
        <v>100</v>
      </c>
      <c r="T18" s="2201"/>
      <c r="U18" s="2198"/>
      <c r="V18" s="2198"/>
      <c r="W18" s="2198"/>
      <c r="X18" s="2198"/>
      <c r="Y18" s="308" t="s">
        <v>1085</v>
      </c>
      <c r="Z18" s="13"/>
      <c r="AA18" s="387"/>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s="10" customFormat="1" ht="63" customHeight="1">
      <c r="A19" s="1004"/>
      <c r="B19" s="2160"/>
      <c r="C19" s="2136"/>
      <c r="D19" s="2166"/>
      <c r="E19" s="2140"/>
      <c r="F19" s="2146"/>
      <c r="G19" s="2156"/>
      <c r="H19" s="2163"/>
      <c r="I19" s="2189"/>
      <c r="J19" s="2151"/>
      <c r="K19" s="2193"/>
      <c r="L19" s="304">
        <v>3</v>
      </c>
      <c r="M19" s="304">
        <v>1</v>
      </c>
      <c r="N19" s="304" t="s">
        <v>1090</v>
      </c>
      <c r="O19" s="304">
        <v>0</v>
      </c>
      <c r="P19" s="308">
        <v>0</v>
      </c>
      <c r="Q19" s="308">
        <v>0.5</v>
      </c>
      <c r="R19" s="308">
        <f>Q19+0.25</f>
        <v>0.75</v>
      </c>
      <c r="S19" s="304">
        <f>R19+0.25</f>
        <v>1</v>
      </c>
      <c r="T19" s="2201"/>
      <c r="U19" s="2198"/>
      <c r="V19" s="2198"/>
      <c r="W19" s="2198"/>
      <c r="X19" s="2198"/>
      <c r="Y19" s="308" t="s">
        <v>1085</v>
      </c>
      <c r="Z19" s="13"/>
      <c r="AA19" s="387"/>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58" s="10" customFormat="1" ht="118.5" customHeight="1">
      <c r="A20" s="1004"/>
      <c r="B20" s="2160"/>
      <c r="C20" s="2136"/>
      <c r="D20" s="2166"/>
      <c r="E20" s="2140"/>
      <c r="F20" s="2146"/>
      <c r="G20" s="2156"/>
      <c r="H20" s="2164"/>
      <c r="I20" s="2189"/>
      <c r="J20" s="2152"/>
      <c r="K20" s="318" t="s">
        <v>1142</v>
      </c>
      <c r="L20" s="318">
        <v>4</v>
      </c>
      <c r="M20" s="318">
        <v>1</v>
      </c>
      <c r="N20" s="318" t="s">
        <v>1124</v>
      </c>
      <c r="O20" s="318">
        <v>15</v>
      </c>
      <c r="P20" s="311">
        <v>25</v>
      </c>
      <c r="Q20" s="311">
        <v>50</v>
      </c>
      <c r="R20" s="311">
        <v>70</v>
      </c>
      <c r="S20" s="306">
        <v>80</v>
      </c>
      <c r="T20" s="2202"/>
      <c r="U20" s="2199"/>
      <c r="V20" s="2199"/>
      <c r="W20" s="2199"/>
      <c r="X20" s="2199"/>
      <c r="Y20" s="306" t="s">
        <v>1085</v>
      </c>
      <c r="Z20" s="13"/>
      <c r="AA20" s="387"/>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1:58" s="10" customFormat="1" ht="19.5" customHeight="1">
      <c r="A21" s="1004"/>
      <c r="B21" s="2160"/>
      <c r="C21" s="2136"/>
      <c r="D21" s="2166"/>
      <c r="E21" s="2140"/>
      <c r="F21" s="2146"/>
      <c r="G21" s="2156"/>
      <c r="H21" s="313"/>
      <c r="I21" s="2189"/>
      <c r="J21" s="392"/>
      <c r="K21" s="318"/>
      <c r="L21" s="318">
        <f>SUM(L15:L20)</f>
        <v>15</v>
      </c>
      <c r="M21" s="318"/>
      <c r="N21" s="393" t="s">
        <v>1135</v>
      </c>
      <c r="O21" s="318"/>
      <c r="P21" s="311"/>
      <c r="Q21" s="311"/>
      <c r="R21" s="311"/>
      <c r="S21" s="312"/>
      <c r="T21" s="356">
        <f>SUM(T15)</f>
        <v>4210225296</v>
      </c>
      <c r="U21" s="356">
        <f>SUM(U15)</f>
        <v>4336532055</v>
      </c>
      <c r="V21" s="356">
        <f>SUM(V15)</f>
        <v>4466628017</v>
      </c>
      <c r="W21" s="356">
        <f>SUM(W15)</f>
        <v>4600626857</v>
      </c>
      <c r="X21" s="356">
        <f>SUM(X15)</f>
        <v>17614012225</v>
      </c>
      <c r="Y21" s="312"/>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1:58" s="10" customFormat="1" ht="81" customHeight="1">
      <c r="A22" s="1004"/>
      <c r="B22" s="2160"/>
      <c r="C22" s="2136"/>
      <c r="D22" s="2166"/>
      <c r="E22" s="2140"/>
      <c r="F22" s="2146"/>
      <c r="G22" s="2156"/>
      <c r="H22" s="2148"/>
      <c r="I22" s="2189"/>
      <c r="J22" s="2191" t="s">
        <v>799</v>
      </c>
      <c r="K22" s="394" t="s">
        <v>800</v>
      </c>
      <c r="L22" s="394">
        <v>10</v>
      </c>
      <c r="M22" s="395">
        <v>1</v>
      </c>
      <c r="N22" s="394" t="s">
        <v>803</v>
      </c>
      <c r="O22" s="407" t="s">
        <v>12</v>
      </c>
      <c r="P22" s="326"/>
      <c r="Q22" s="326"/>
      <c r="R22" s="326"/>
      <c r="S22" s="326"/>
      <c r="T22" s="2203">
        <v>103972855479</v>
      </c>
      <c r="U22" s="2203">
        <v>107092041143</v>
      </c>
      <c r="V22" s="2203">
        <v>110304802378</v>
      </c>
      <c r="W22" s="2203">
        <v>113613946449</v>
      </c>
      <c r="X22" s="2203">
        <f>SUM(T22:W22)</f>
        <v>434983645449</v>
      </c>
      <c r="Y22" s="325" t="s">
        <v>1091</v>
      </c>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row>
    <row r="23" spans="1:58" s="10" customFormat="1" ht="67.5" customHeight="1">
      <c r="A23" s="1004"/>
      <c r="B23" s="2160"/>
      <c r="C23" s="2136"/>
      <c r="D23" s="2166"/>
      <c r="E23" s="2140"/>
      <c r="F23" s="2146"/>
      <c r="G23" s="2156"/>
      <c r="H23" s="2149"/>
      <c r="I23" s="2189"/>
      <c r="J23" s="2191"/>
      <c r="K23" s="394" t="s">
        <v>801</v>
      </c>
      <c r="L23" s="394">
        <v>8</v>
      </c>
      <c r="M23" s="396">
        <v>1</v>
      </c>
      <c r="N23" s="397" t="s">
        <v>804</v>
      </c>
      <c r="O23" s="405" t="s">
        <v>806</v>
      </c>
      <c r="P23" s="327">
        <v>0.25</v>
      </c>
      <c r="Q23" s="327">
        <v>0.25</v>
      </c>
      <c r="R23" s="327">
        <v>0.25</v>
      </c>
      <c r="S23" s="327">
        <v>0.25</v>
      </c>
      <c r="T23" s="2204"/>
      <c r="U23" s="2204"/>
      <c r="V23" s="2204"/>
      <c r="W23" s="2204"/>
      <c r="X23" s="2204"/>
      <c r="Y23" s="325" t="s">
        <v>1091</v>
      </c>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pans="1:58" s="10" customFormat="1" ht="81" customHeight="1">
      <c r="A24" s="1004"/>
      <c r="B24" s="2160"/>
      <c r="C24" s="2136"/>
      <c r="D24" s="2167"/>
      <c r="E24" s="2141"/>
      <c r="F24" s="2146"/>
      <c r="G24" s="2156"/>
      <c r="H24" s="2149"/>
      <c r="I24" s="2189"/>
      <c r="J24" s="2191"/>
      <c r="K24" s="394" t="s">
        <v>802</v>
      </c>
      <c r="L24" s="394">
        <v>7</v>
      </c>
      <c r="M24" s="398">
        <v>1</v>
      </c>
      <c r="N24" s="397" t="s">
        <v>805</v>
      </c>
      <c r="O24" s="431" t="s">
        <v>807</v>
      </c>
      <c r="P24" s="324"/>
      <c r="Q24" s="324"/>
      <c r="R24" s="324"/>
      <c r="S24" s="324"/>
      <c r="T24" s="2205"/>
      <c r="U24" s="2205"/>
      <c r="V24" s="2205"/>
      <c r="W24" s="2205"/>
      <c r="X24" s="2205"/>
      <c r="Y24" s="325" t="s">
        <v>1091</v>
      </c>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row>
    <row r="25" spans="1:58" s="10" customFormat="1" ht="27" customHeight="1">
      <c r="A25" s="1004"/>
      <c r="B25" s="2160"/>
      <c r="C25" s="2136"/>
      <c r="D25" s="364" t="s">
        <v>1154</v>
      </c>
      <c r="E25" s="360"/>
      <c r="F25" s="2146"/>
      <c r="G25" s="2156"/>
      <c r="H25" s="361"/>
      <c r="I25" s="2189"/>
      <c r="J25" s="399" t="s">
        <v>1167</v>
      </c>
      <c r="K25" s="400"/>
      <c r="L25" s="383">
        <f>L21+L22+L23+L24</f>
        <v>40</v>
      </c>
      <c r="M25" s="401"/>
      <c r="N25" s="481" t="s">
        <v>1134</v>
      </c>
      <c r="O25" s="474"/>
      <c r="P25" s="475"/>
      <c r="Q25" s="475"/>
      <c r="R25" s="475"/>
      <c r="S25" s="475"/>
      <c r="T25" s="476">
        <f>SUM(T22)</f>
        <v>103972855479</v>
      </c>
      <c r="U25" s="476">
        <f>SUM(U22)</f>
        <v>107092041143</v>
      </c>
      <c r="V25" s="476">
        <f>SUM(V22)</f>
        <v>110304802378</v>
      </c>
      <c r="W25" s="476">
        <f>SUM(W22)</f>
        <v>113613946449</v>
      </c>
      <c r="X25" s="476">
        <f>SUM(X22)</f>
        <v>434983645449</v>
      </c>
      <c r="Y25" s="36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row>
    <row r="26" spans="1:58" s="10" customFormat="1" ht="99.75" customHeight="1">
      <c r="A26" s="1004"/>
      <c r="B26" s="2160"/>
      <c r="C26" s="2136"/>
      <c r="D26" s="2174" t="s">
        <v>808</v>
      </c>
      <c r="E26" s="2139">
        <v>40</v>
      </c>
      <c r="F26" s="2146"/>
      <c r="G26" s="2156"/>
      <c r="H26" s="2148"/>
      <c r="I26" s="2189"/>
      <c r="J26" s="2180" t="s">
        <v>809</v>
      </c>
      <c r="K26" s="394" t="s">
        <v>1153</v>
      </c>
      <c r="L26" s="402">
        <v>4</v>
      </c>
      <c r="M26" s="403">
        <v>1</v>
      </c>
      <c r="N26" s="403" t="s">
        <v>1145</v>
      </c>
      <c r="O26" s="432"/>
      <c r="P26" s="319">
        <v>1</v>
      </c>
      <c r="Q26" s="321">
        <v>2</v>
      </c>
      <c r="R26" s="321">
        <v>1</v>
      </c>
      <c r="S26" s="321">
        <v>1</v>
      </c>
      <c r="T26" s="2203">
        <v>1760352526</v>
      </c>
      <c r="U26" s="2203">
        <v>600000000</v>
      </c>
      <c r="V26" s="2203">
        <v>600000000</v>
      </c>
      <c r="W26" s="2203">
        <v>600000000</v>
      </c>
      <c r="X26" s="2203">
        <f>SUM(T26:W26)</f>
        <v>3560352526</v>
      </c>
      <c r="Y26" s="325" t="s">
        <v>1091</v>
      </c>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row>
    <row r="27" spans="1:58" s="10" customFormat="1" ht="96.75" customHeight="1">
      <c r="A27" s="1004"/>
      <c r="B27" s="2160"/>
      <c r="C27" s="2136"/>
      <c r="D27" s="2175"/>
      <c r="E27" s="2140"/>
      <c r="F27" s="2146"/>
      <c r="G27" s="2156"/>
      <c r="H27" s="2149"/>
      <c r="I27" s="2189"/>
      <c r="J27" s="2181"/>
      <c r="K27" s="2180" t="s">
        <v>1150</v>
      </c>
      <c r="L27" s="2194">
        <v>4</v>
      </c>
      <c r="M27" s="403">
        <v>1</v>
      </c>
      <c r="N27" s="403" t="s">
        <v>1146</v>
      </c>
      <c r="O27" s="407" t="s">
        <v>12</v>
      </c>
      <c r="P27" s="320"/>
      <c r="Q27" s="320"/>
      <c r="R27" s="320"/>
      <c r="S27" s="320"/>
      <c r="T27" s="2204"/>
      <c r="U27" s="2204"/>
      <c r="V27" s="2204"/>
      <c r="W27" s="2204"/>
      <c r="X27" s="2204"/>
      <c r="Y27" s="325" t="s">
        <v>1091</v>
      </c>
      <c r="Z27" s="13"/>
      <c r="AA27" s="387"/>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1:58" s="10" customFormat="1" ht="55.5" customHeight="1">
      <c r="A28" s="1004"/>
      <c r="B28" s="2160"/>
      <c r="C28" s="2136"/>
      <c r="D28" s="2175"/>
      <c r="E28" s="2140"/>
      <c r="F28" s="2146"/>
      <c r="G28" s="2156"/>
      <c r="H28" s="2149"/>
      <c r="I28" s="2189"/>
      <c r="J28" s="2181"/>
      <c r="K28" s="2181"/>
      <c r="L28" s="2195"/>
      <c r="M28" s="403">
        <v>1</v>
      </c>
      <c r="N28" s="404" t="s">
        <v>813</v>
      </c>
      <c r="O28" s="407" t="s">
        <v>12</v>
      </c>
      <c r="P28" s="320"/>
      <c r="Q28" s="320"/>
      <c r="R28" s="320"/>
      <c r="S28" s="320"/>
      <c r="T28" s="2204"/>
      <c r="U28" s="2204"/>
      <c r="V28" s="2204"/>
      <c r="W28" s="2204"/>
      <c r="X28" s="2204"/>
      <c r="Y28" s="325" t="s">
        <v>1091</v>
      </c>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row>
    <row r="29" spans="1:58" s="10" customFormat="1" ht="104.25" customHeight="1">
      <c r="A29" s="1004"/>
      <c r="B29" s="2160"/>
      <c r="C29" s="2136"/>
      <c r="D29" s="2175"/>
      <c r="E29" s="2140"/>
      <c r="F29" s="2146"/>
      <c r="G29" s="2156"/>
      <c r="H29" s="2149"/>
      <c r="I29" s="2189"/>
      <c r="J29" s="2181"/>
      <c r="K29" s="2182"/>
      <c r="L29" s="2196"/>
      <c r="M29" s="403">
        <v>9</v>
      </c>
      <c r="N29" s="404" t="s">
        <v>1125</v>
      </c>
      <c r="O29" s="394">
        <v>3</v>
      </c>
      <c r="P29" s="320">
        <v>9</v>
      </c>
      <c r="Q29" s="320">
        <v>9</v>
      </c>
      <c r="R29" s="320">
        <v>9</v>
      </c>
      <c r="S29" s="320">
        <v>9</v>
      </c>
      <c r="T29" s="2204"/>
      <c r="U29" s="2204"/>
      <c r="V29" s="2204"/>
      <c r="W29" s="2204"/>
      <c r="X29" s="2204"/>
      <c r="Y29" s="325" t="s">
        <v>1091</v>
      </c>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row>
    <row r="30" spans="1:58" s="10" customFormat="1" ht="78.75">
      <c r="A30" s="1004"/>
      <c r="B30" s="2160"/>
      <c r="C30" s="2136"/>
      <c r="D30" s="2175"/>
      <c r="E30" s="2140"/>
      <c r="F30" s="2146"/>
      <c r="G30" s="2156"/>
      <c r="H30" s="2149"/>
      <c r="I30" s="2189"/>
      <c r="J30" s="2181"/>
      <c r="K30" s="394" t="s">
        <v>1151</v>
      </c>
      <c r="L30" s="402">
        <v>4</v>
      </c>
      <c r="M30" s="403">
        <v>1</v>
      </c>
      <c r="N30" s="394" t="s">
        <v>1147</v>
      </c>
      <c r="O30" s="394" t="s">
        <v>815</v>
      </c>
      <c r="P30" s="320">
        <v>1</v>
      </c>
      <c r="Q30" s="320">
        <v>1</v>
      </c>
      <c r="R30" s="320">
        <v>1</v>
      </c>
      <c r="S30" s="320">
        <v>1</v>
      </c>
      <c r="T30" s="2204"/>
      <c r="U30" s="2204"/>
      <c r="V30" s="2204"/>
      <c r="W30" s="2204"/>
      <c r="X30" s="2204"/>
      <c r="Y30" s="325" t="s">
        <v>1091</v>
      </c>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row>
    <row r="31" spans="1:58" s="10" customFormat="1" ht="111.75" customHeight="1">
      <c r="A31" s="1004"/>
      <c r="B31" s="2160"/>
      <c r="C31" s="2136"/>
      <c r="D31" s="2175"/>
      <c r="E31" s="2140"/>
      <c r="F31" s="2146"/>
      <c r="G31" s="2156"/>
      <c r="H31" s="2149"/>
      <c r="I31" s="2189"/>
      <c r="J31" s="2181"/>
      <c r="K31" s="405" t="s">
        <v>1144</v>
      </c>
      <c r="L31" s="402">
        <v>4</v>
      </c>
      <c r="M31" s="406">
        <v>1</v>
      </c>
      <c r="N31" s="394" t="s">
        <v>1148</v>
      </c>
      <c r="O31" s="394" t="s">
        <v>815</v>
      </c>
      <c r="P31" s="320"/>
      <c r="Q31" s="320"/>
      <c r="R31" s="320"/>
      <c r="S31" s="320"/>
      <c r="T31" s="2204"/>
      <c r="U31" s="2204"/>
      <c r="V31" s="2204"/>
      <c r="W31" s="2204"/>
      <c r="X31" s="2204"/>
      <c r="Y31" s="325" t="s">
        <v>1091</v>
      </c>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row>
    <row r="32" spans="1:58" s="10" customFormat="1" ht="79.5">
      <c r="A32" s="1004"/>
      <c r="B32" s="2160"/>
      <c r="C32" s="2136"/>
      <c r="D32" s="2175"/>
      <c r="E32" s="2140"/>
      <c r="F32" s="2147"/>
      <c r="G32" s="2157"/>
      <c r="H32" s="2158"/>
      <c r="I32" s="2190"/>
      <c r="J32" s="2182"/>
      <c r="K32" s="407" t="s">
        <v>811</v>
      </c>
      <c r="L32" s="408">
        <v>4</v>
      </c>
      <c r="M32" s="403">
        <v>1</v>
      </c>
      <c r="N32" s="405" t="s">
        <v>1149</v>
      </c>
      <c r="O32" s="394"/>
      <c r="P32" s="320"/>
      <c r="Q32" s="320"/>
      <c r="R32" s="320"/>
      <c r="S32" s="320"/>
      <c r="T32" s="2205"/>
      <c r="U32" s="2205"/>
      <c r="V32" s="2205"/>
      <c r="W32" s="2205"/>
      <c r="X32" s="2205"/>
      <c r="Y32" s="325" t="s">
        <v>1091</v>
      </c>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row>
    <row r="33" spans="1:58" s="10" customFormat="1" ht="33.75">
      <c r="A33" s="1004"/>
      <c r="B33" s="2160"/>
      <c r="C33" s="2136"/>
      <c r="D33" s="2175"/>
      <c r="E33" s="2140"/>
      <c r="F33" s="375"/>
      <c r="G33" s="373"/>
      <c r="H33" s="374"/>
      <c r="I33" s="375"/>
      <c r="J33" s="409" t="s">
        <v>1167</v>
      </c>
      <c r="K33" s="410"/>
      <c r="L33" s="383">
        <f>SUM(L26:L32)</f>
        <v>20</v>
      </c>
      <c r="M33" s="411"/>
      <c r="N33" s="412" t="s">
        <v>1134</v>
      </c>
      <c r="O33" s="477"/>
      <c r="P33" s="478"/>
      <c r="Q33" s="478"/>
      <c r="R33" s="478"/>
      <c r="S33" s="478"/>
      <c r="T33" s="476">
        <f>SUM(T26:T32)</f>
        <v>1760352526</v>
      </c>
      <c r="U33" s="476">
        <f>SUM(U26:U32)</f>
        <v>600000000</v>
      </c>
      <c r="V33" s="476">
        <f>SUM(V26:V32)</f>
        <v>600000000</v>
      </c>
      <c r="W33" s="476">
        <f>SUM(W26:W32)</f>
        <v>600000000</v>
      </c>
      <c r="X33" s="476">
        <f>SUM(T33:W33)</f>
        <v>3560352526</v>
      </c>
      <c r="Y33" s="36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row>
    <row r="34" spans="1:58" s="10" customFormat="1" ht="134.25" customHeight="1">
      <c r="A34" s="1004"/>
      <c r="B34" s="2160"/>
      <c r="C34" s="2136"/>
      <c r="D34" s="2175"/>
      <c r="E34" s="2140"/>
      <c r="F34" s="379">
        <v>1</v>
      </c>
      <c r="G34" s="380" t="s">
        <v>1093</v>
      </c>
      <c r="H34" s="380">
        <v>0</v>
      </c>
      <c r="I34" s="379">
        <v>1</v>
      </c>
      <c r="J34" s="380" t="s">
        <v>812</v>
      </c>
      <c r="K34" s="380" t="s">
        <v>1094</v>
      </c>
      <c r="L34" s="380">
        <v>5</v>
      </c>
      <c r="M34" s="380">
        <v>1</v>
      </c>
      <c r="N34" s="380" t="s">
        <v>814</v>
      </c>
      <c r="O34" s="380">
        <v>0</v>
      </c>
      <c r="P34" s="380">
        <v>0.25</v>
      </c>
      <c r="Q34" s="380">
        <v>0.5</v>
      </c>
      <c r="R34" s="380">
        <v>0.75</v>
      </c>
      <c r="S34" s="380">
        <v>1</v>
      </c>
      <c r="T34" s="381">
        <v>50000000</v>
      </c>
      <c r="U34" s="381">
        <v>450000000</v>
      </c>
      <c r="V34" s="381">
        <v>450000000</v>
      </c>
      <c r="W34" s="381">
        <v>450000000</v>
      </c>
      <c r="X34" s="381">
        <f>SUM(T34:W34)</f>
        <v>1400000000</v>
      </c>
      <c r="Y34" s="380" t="s">
        <v>1095</v>
      </c>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row>
    <row r="35" spans="1:58" s="10" customFormat="1" ht="30" customHeight="1">
      <c r="A35" s="1004"/>
      <c r="B35" s="2160"/>
      <c r="C35" s="2136"/>
      <c r="D35" s="2175"/>
      <c r="E35" s="2140"/>
      <c r="F35" s="354"/>
      <c r="G35" s="355"/>
      <c r="H35" s="355"/>
      <c r="I35" s="354"/>
      <c r="J35" s="355" t="s">
        <v>1167</v>
      </c>
      <c r="K35" s="316"/>
      <c r="L35" s="384">
        <f>SUM(L34)</f>
        <v>5</v>
      </c>
      <c r="M35" s="316"/>
      <c r="N35" s="482" t="s">
        <v>1132</v>
      </c>
      <c r="O35" s="316"/>
      <c r="P35" s="316"/>
      <c r="Q35" s="316"/>
      <c r="R35" s="316"/>
      <c r="S35" s="316"/>
      <c r="T35" s="479">
        <f>SUM(T34)</f>
        <v>50000000</v>
      </c>
      <c r="U35" s="480">
        <f>SUM(U34)</f>
        <v>450000000</v>
      </c>
      <c r="V35" s="480">
        <f>SUM(V34)</f>
        <v>450000000</v>
      </c>
      <c r="W35" s="480">
        <f>SUM(W34)</f>
        <v>450000000</v>
      </c>
      <c r="X35" s="480">
        <f>SUM(X34)</f>
        <v>1400000000</v>
      </c>
      <c r="Y35" s="316"/>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row>
    <row r="36" spans="1:58" s="10" customFormat="1" ht="85.5" customHeight="1">
      <c r="A36" s="1004"/>
      <c r="B36" s="2160"/>
      <c r="C36" s="2136"/>
      <c r="D36" s="2175"/>
      <c r="E36" s="2140"/>
      <c r="F36" s="2183">
        <v>1</v>
      </c>
      <c r="G36" s="2177" t="s">
        <v>1116</v>
      </c>
      <c r="H36" s="322"/>
      <c r="I36" s="2183">
        <v>1</v>
      </c>
      <c r="J36" s="2171" t="s">
        <v>810</v>
      </c>
      <c r="K36" s="413" t="s">
        <v>1160</v>
      </c>
      <c r="L36" s="987">
        <v>1</v>
      </c>
      <c r="M36" s="988">
        <v>4</v>
      </c>
      <c r="N36" s="413" t="s">
        <v>1152</v>
      </c>
      <c r="O36" s="989">
        <v>0</v>
      </c>
      <c r="P36" s="328">
        <v>1</v>
      </c>
      <c r="Q36" s="328">
        <v>2</v>
      </c>
      <c r="R36" s="328">
        <v>3</v>
      </c>
      <c r="S36" s="328">
        <v>4</v>
      </c>
      <c r="T36" s="345">
        <v>90000000</v>
      </c>
      <c r="U36" s="345">
        <v>40000000</v>
      </c>
      <c r="V36" s="345">
        <v>40000000</v>
      </c>
      <c r="W36" s="345">
        <v>40000000</v>
      </c>
      <c r="X36" s="346">
        <f>SUM(T36:W36)</f>
        <v>210000000</v>
      </c>
      <c r="Y36" s="329" t="s">
        <v>1104</v>
      </c>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row>
    <row r="37" spans="1:58" s="972" customFormat="1" ht="64.5" customHeight="1">
      <c r="A37" s="1004"/>
      <c r="B37" s="2160"/>
      <c r="C37" s="2136"/>
      <c r="D37" s="2175"/>
      <c r="E37" s="2140"/>
      <c r="F37" s="2184"/>
      <c r="G37" s="2178"/>
      <c r="H37" s="330"/>
      <c r="I37" s="2184"/>
      <c r="J37" s="2172"/>
      <c r="K37" s="414" t="s">
        <v>1398</v>
      </c>
      <c r="L37" s="990">
        <v>1</v>
      </c>
      <c r="M37" s="988">
        <v>3</v>
      </c>
      <c r="N37" s="413" t="s">
        <v>1399</v>
      </c>
      <c r="O37" s="989">
        <v>0</v>
      </c>
      <c r="P37" s="328">
        <v>0</v>
      </c>
      <c r="Q37" s="328">
        <v>1</v>
      </c>
      <c r="R37" s="328">
        <f>Q37+1</f>
        <v>2</v>
      </c>
      <c r="S37" s="328">
        <f>R37+1</f>
        <v>3</v>
      </c>
      <c r="T37" s="345">
        <v>0</v>
      </c>
      <c r="U37" s="345">
        <v>20000000</v>
      </c>
      <c r="V37" s="345">
        <v>20000000</v>
      </c>
      <c r="W37" s="345">
        <v>20000000</v>
      </c>
      <c r="X37" s="346">
        <v>60000000</v>
      </c>
      <c r="Y37" s="329" t="s">
        <v>1400</v>
      </c>
      <c r="Z37" s="977"/>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row>
    <row r="38" spans="1:58" s="10" customFormat="1" ht="57.75" customHeight="1">
      <c r="A38" s="1004"/>
      <c r="B38" s="2160"/>
      <c r="C38" s="2136"/>
      <c r="D38" s="2175"/>
      <c r="E38" s="2140"/>
      <c r="F38" s="2184"/>
      <c r="G38" s="2178"/>
      <c r="H38" s="330"/>
      <c r="I38" s="2184"/>
      <c r="J38" s="2172"/>
      <c r="K38" s="2171" t="s">
        <v>816</v>
      </c>
      <c r="L38" s="2168">
        <v>1</v>
      </c>
      <c r="M38" s="414">
        <v>400</v>
      </c>
      <c r="N38" s="414" t="s">
        <v>1113</v>
      </c>
      <c r="O38" s="331">
        <v>246</v>
      </c>
      <c r="P38" s="323">
        <v>346</v>
      </c>
      <c r="Q38" s="323">
        <v>446</v>
      </c>
      <c r="R38" s="323">
        <v>546</v>
      </c>
      <c r="S38" s="323">
        <v>646</v>
      </c>
      <c r="T38" s="347">
        <v>0</v>
      </c>
      <c r="U38" s="347">
        <v>0</v>
      </c>
      <c r="V38" s="347">
        <v>0</v>
      </c>
      <c r="W38" s="347">
        <v>0</v>
      </c>
      <c r="X38" s="346">
        <v>0</v>
      </c>
      <c r="Y38" s="332" t="s">
        <v>1096</v>
      </c>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row>
    <row r="39" spans="1:58" s="10" customFormat="1" ht="132.75" customHeight="1">
      <c r="A39" s="1004"/>
      <c r="B39" s="2160"/>
      <c r="C39" s="2136"/>
      <c r="D39" s="2175"/>
      <c r="E39" s="2140"/>
      <c r="F39" s="2184"/>
      <c r="G39" s="2178"/>
      <c r="H39" s="330"/>
      <c r="I39" s="2184"/>
      <c r="J39" s="2172"/>
      <c r="K39" s="2172"/>
      <c r="L39" s="2169"/>
      <c r="M39" s="414">
        <v>4</v>
      </c>
      <c r="N39" s="414" t="s">
        <v>1097</v>
      </c>
      <c r="O39" s="331">
        <v>2</v>
      </c>
      <c r="P39" s="323">
        <v>3</v>
      </c>
      <c r="Q39" s="323">
        <v>4</v>
      </c>
      <c r="R39" s="323">
        <v>5</v>
      </c>
      <c r="S39" s="323">
        <v>6</v>
      </c>
      <c r="T39" s="991">
        <v>10000000</v>
      </c>
      <c r="U39" s="991">
        <v>10000000</v>
      </c>
      <c r="V39" s="991">
        <v>10000000</v>
      </c>
      <c r="W39" s="991">
        <v>10000000</v>
      </c>
      <c r="X39" s="346">
        <f>SUM(T39:W39)</f>
        <v>40000000</v>
      </c>
      <c r="Y39" s="332" t="s">
        <v>1096</v>
      </c>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row>
    <row r="40" spans="1:58" s="10" customFormat="1" ht="133.5" customHeight="1">
      <c r="A40" s="1004"/>
      <c r="B40" s="2160"/>
      <c r="C40" s="2136"/>
      <c r="D40" s="2175"/>
      <c r="E40" s="2140"/>
      <c r="F40" s="2184"/>
      <c r="G40" s="2178"/>
      <c r="H40" s="330"/>
      <c r="I40" s="2184"/>
      <c r="J40" s="2172"/>
      <c r="K40" s="2172"/>
      <c r="L40" s="2170"/>
      <c r="M40" s="414">
        <v>8</v>
      </c>
      <c r="N40" s="414" t="s">
        <v>1098</v>
      </c>
      <c r="O40" s="331">
        <v>8</v>
      </c>
      <c r="P40" s="323">
        <v>10</v>
      </c>
      <c r="Q40" s="323">
        <v>12</v>
      </c>
      <c r="R40" s="323">
        <v>14</v>
      </c>
      <c r="S40" s="323">
        <v>16</v>
      </c>
      <c r="T40" s="345">
        <v>0</v>
      </c>
      <c r="U40" s="345">
        <v>0</v>
      </c>
      <c r="V40" s="345">
        <v>0</v>
      </c>
      <c r="W40" s="345">
        <v>0</v>
      </c>
      <c r="X40" s="346">
        <v>0</v>
      </c>
      <c r="Y40" s="332" t="s">
        <v>1096</v>
      </c>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row>
    <row r="41" spans="1:58" s="10" customFormat="1" ht="68.25">
      <c r="A41" s="1004"/>
      <c r="B41" s="2160"/>
      <c r="C41" s="2136"/>
      <c r="D41" s="2175"/>
      <c r="E41" s="2140"/>
      <c r="F41" s="2184"/>
      <c r="G41" s="2178"/>
      <c r="H41" s="330"/>
      <c r="I41" s="2184"/>
      <c r="J41" s="2172"/>
      <c r="K41" s="414" t="s">
        <v>817</v>
      </c>
      <c r="L41" s="415">
        <v>1.34</v>
      </c>
      <c r="M41" s="414">
        <v>1</v>
      </c>
      <c r="N41" s="413" t="s">
        <v>819</v>
      </c>
      <c r="O41" s="331">
        <v>1</v>
      </c>
      <c r="P41" s="328" t="s">
        <v>1099</v>
      </c>
      <c r="Q41" s="328" t="s">
        <v>1100</v>
      </c>
      <c r="R41" s="328" t="s">
        <v>1101</v>
      </c>
      <c r="S41" s="328" t="s">
        <v>1102</v>
      </c>
      <c r="T41" s="351">
        <v>0</v>
      </c>
      <c r="U41" s="351">
        <v>0</v>
      </c>
      <c r="V41" s="351">
        <v>0</v>
      </c>
      <c r="W41" s="351">
        <v>0</v>
      </c>
      <c r="X41" s="351">
        <v>0</v>
      </c>
      <c r="Y41" s="329" t="s">
        <v>1104</v>
      </c>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row>
    <row r="42" spans="1:58" s="10" customFormat="1" ht="68.25">
      <c r="A42" s="1004"/>
      <c r="B42" s="2160"/>
      <c r="C42" s="2136"/>
      <c r="D42" s="2175"/>
      <c r="E42" s="2140"/>
      <c r="F42" s="2184"/>
      <c r="G42" s="2178"/>
      <c r="H42" s="330"/>
      <c r="I42" s="2184"/>
      <c r="J42" s="2172"/>
      <c r="K42" s="413" t="s">
        <v>1133</v>
      </c>
      <c r="L42" s="415">
        <v>1.34</v>
      </c>
      <c r="M42" s="414">
        <v>1</v>
      </c>
      <c r="N42" s="414" t="s">
        <v>1103</v>
      </c>
      <c r="O42" s="331">
        <v>1</v>
      </c>
      <c r="P42" s="328">
        <v>1</v>
      </c>
      <c r="Q42" s="328" t="s">
        <v>1100</v>
      </c>
      <c r="R42" s="328" t="s">
        <v>1102</v>
      </c>
      <c r="S42" s="328" t="s">
        <v>1102</v>
      </c>
      <c r="T42" s="939"/>
      <c r="U42" s="347">
        <v>50000000</v>
      </c>
      <c r="V42" s="347">
        <v>50000000</v>
      </c>
      <c r="W42" s="347">
        <v>50000000</v>
      </c>
      <c r="X42" s="347">
        <f>SUM(T42:W42)</f>
        <v>150000000</v>
      </c>
      <c r="Y42" s="329" t="s">
        <v>1104</v>
      </c>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row>
    <row r="43" spans="1:58" s="10" customFormat="1" ht="57">
      <c r="A43" s="1004"/>
      <c r="B43" s="2160"/>
      <c r="C43" s="2136"/>
      <c r="D43" s="2175"/>
      <c r="E43" s="2140"/>
      <c r="F43" s="2184"/>
      <c r="G43" s="2178"/>
      <c r="H43" s="330"/>
      <c r="I43" s="2184"/>
      <c r="J43" s="2172"/>
      <c r="K43" s="413" t="s">
        <v>818</v>
      </c>
      <c r="L43" s="415">
        <v>1.36</v>
      </c>
      <c r="M43" s="414">
        <v>15</v>
      </c>
      <c r="N43" s="413" t="s">
        <v>820</v>
      </c>
      <c r="O43" s="331">
        <v>15</v>
      </c>
      <c r="P43" s="328">
        <v>15</v>
      </c>
      <c r="Q43" s="328">
        <v>20</v>
      </c>
      <c r="R43" s="328">
        <v>25</v>
      </c>
      <c r="S43" s="328">
        <v>30</v>
      </c>
      <c r="T43" s="940"/>
      <c r="U43" s="349">
        <v>100000000</v>
      </c>
      <c r="V43" s="349">
        <v>100000000</v>
      </c>
      <c r="W43" s="349">
        <v>100000000</v>
      </c>
      <c r="X43" s="349">
        <f>SUM(T43:W43)</f>
        <v>300000000</v>
      </c>
      <c r="Y43" s="329" t="s">
        <v>1104</v>
      </c>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row>
    <row r="44" spans="1:58" s="10" customFormat="1" ht="108.75" customHeight="1">
      <c r="A44" s="1004"/>
      <c r="B44" s="2160"/>
      <c r="C44" s="2136"/>
      <c r="D44" s="2175"/>
      <c r="E44" s="2140"/>
      <c r="F44" s="2184"/>
      <c r="G44" s="2179"/>
      <c r="H44" s="335"/>
      <c r="I44" s="2185"/>
      <c r="J44" s="2172"/>
      <c r="K44" s="413" t="s">
        <v>1131</v>
      </c>
      <c r="L44" s="415">
        <v>1.37</v>
      </c>
      <c r="M44" s="414">
        <v>1</v>
      </c>
      <c r="N44" s="414" t="s">
        <v>1105</v>
      </c>
      <c r="O44" s="331">
        <v>0</v>
      </c>
      <c r="P44" s="328">
        <f>1/4</f>
        <v>0.25</v>
      </c>
      <c r="Q44" s="328">
        <f>P44+0.25</f>
        <v>0.5</v>
      </c>
      <c r="R44" s="328">
        <f>Q44+0.25</f>
        <v>0.75</v>
      </c>
      <c r="S44" s="328">
        <f>R44+0.25</f>
        <v>1</v>
      </c>
      <c r="T44" s="345">
        <v>70000000</v>
      </c>
      <c r="U44" s="345">
        <v>30000000</v>
      </c>
      <c r="V44" s="345">
        <v>30000000</v>
      </c>
      <c r="W44" s="345">
        <v>30000000</v>
      </c>
      <c r="X44" s="345">
        <f>SUM(U44:W44)</f>
        <v>90000000</v>
      </c>
      <c r="Y44" s="329" t="s">
        <v>1104</v>
      </c>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row>
    <row r="45" spans="1:58" s="10" customFormat="1" ht="7.5" customHeight="1" hidden="1">
      <c r="A45" s="1004"/>
      <c r="B45" s="2160"/>
      <c r="C45" s="2136"/>
      <c r="D45" s="2175"/>
      <c r="E45" s="2140"/>
      <c r="F45" s="2184"/>
      <c r="G45" s="336"/>
      <c r="H45" s="337"/>
      <c r="I45" s="338"/>
      <c r="J45" s="2172"/>
      <c r="K45" s="416"/>
      <c r="L45" s="417"/>
      <c r="M45" s="414"/>
      <c r="N45" s="414"/>
      <c r="O45" s="333"/>
      <c r="P45" s="334"/>
      <c r="Q45" s="334"/>
      <c r="R45" s="334"/>
      <c r="S45" s="334"/>
      <c r="T45" s="349"/>
      <c r="U45" s="349"/>
      <c r="V45" s="349"/>
      <c r="W45" s="349"/>
      <c r="X45" s="349"/>
      <c r="Y45" s="329"/>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row>
    <row r="46" spans="1:58" s="10" customFormat="1" ht="106.5" customHeight="1">
      <c r="A46" s="1004"/>
      <c r="B46" s="2160"/>
      <c r="C46" s="2136"/>
      <c r="D46" s="2175"/>
      <c r="E46" s="2140"/>
      <c r="F46" s="2184"/>
      <c r="G46" s="315" t="s">
        <v>1121</v>
      </c>
      <c r="H46" s="314">
        <v>0</v>
      </c>
      <c r="I46" s="344">
        <v>1</v>
      </c>
      <c r="J46" s="2172"/>
      <c r="K46" s="418" t="s">
        <v>1130</v>
      </c>
      <c r="L46" s="415">
        <v>1.35</v>
      </c>
      <c r="M46" s="414">
        <v>1</v>
      </c>
      <c r="N46" s="414" t="s">
        <v>1120</v>
      </c>
      <c r="O46" s="331">
        <v>0</v>
      </c>
      <c r="P46" s="328">
        <v>1</v>
      </c>
      <c r="Q46" s="328"/>
      <c r="R46" s="328"/>
      <c r="S46" s="328">
        <v>1</v>
      </c>
      <c r="T46" s="350"/>
      <c r="U46" s="350">
        <v>0</v>
      </c>
      <c r="V46" s="350">
        <v>0</v>
      </c>
      <c r="W46" s="350">
        <v>0</v>
      </c>
      <c r="X46" s="350">
        <v>0</v>
      </c>
      <c r="Y46" s="329" t="s">
        <v>1110</v>
      </c>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row>
    <row r="47" spans="1:58" s="10" customFormat="1" ht="93.75" customHeight="1">
      <c r="A47" s="1004"/>
      <c r="B47" s="2160"/>
      <c r="C47" s="2136"/>
      <c r="D47" s="2175"/>
      <c r="E47" s="2140"/>
      <c r="F47" s="2184"/>
      <c r="G47" s="2177" t="s">
        <v>1122</v>
      </c>
      <c r="H47" s="2177">
        <v>0</v>
      </c>
      <c r="I47" s="2184" t="s">
        <v>1092</v>
      </c>
      <c r="J47" s="2172"/>
      <c r="K47" s="419" t="s">
        <v>1136</v>
      </c>
      <c r="L47" s="415">
        <v>1.34</v>
      </c>
      <c r="M47" s="414">
        <v>1</v>
      </c>
      <c r="N47" s="413" t="s">
        <v>1107</v>
      </c>
      <c r="O47" s="331">
        <v>0</v>
      </c>
      <c r="P47" s="323">
        <f>1/4</f>
        <v>0.25</v>
      </c>
      <c r="Q47" s="323">
        <f>P47+0.25</f>
        <v>0.5</v>
      </c>
      <c r="R47" s="323">
        <f>Q47+0.25</f>
        <v>0.75</v>
      </c>
      <c r="S47" s="323">
        <f>R47+0.25</f>
        <v>1</v>
      </c>
      <c r="T47" s="350">
        <v>0</v>
      </c>
      <c r="U47" s="350">
        <v>0</v>
      </c>
      <c r="V47" s="350">
        <v>0</v>
      </c>
      <c r="W47" s="350">
        <v>0</v>
      </c>
      <c r="X47" s="350">
        <v>0</v>
      </c>
      <c r="Y47" s="329" t="s">
        <v>1111</v>
      </c>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row>
    <row r="48" spans="1:58" s="10" customFormat="1" ht="90" customHeight="1">
      <c r="A48" s="1004"/>
      <c r="B48" s="2160"/>
      <c r="C48" s="2136"/>
      <c r="D48" s="2175"/>
      <c r="E48" s="2140"/>
      <c r="F48" s="2184"/>
      <c r="G48" s="2178"/>
      <c r="H48" s="2178"/>
      <c r="I48" s="2184"/>
      <c r="J48" s="2172"/>
      <c r="K48" s="414" t="s">
        <v>1137</v>
      </c>
      <c r="L48" s="415">
        <v>1.3</v>
      </c>
      <c r="M48" s="420">
        <v>300000000000</v>
      </c>
      <c r="N48" s="416" t="s">
        <v>821</v>
      </c>
      <c r="O48" s="314">
        <v>0</v>
      </c>
      <c r="P48" s="386" t="s">
        <v>1155</v>
      </c>
      <c r="Q48" s="386" t="s">
        <v>1156</v>
      </c>
      <c r="R48" s="386" t="s">
        <v>1157</v>
      </c>
      <c r="S48" s="386" t="s">
        <v>1158</v>
      </c>
      <c r="T48" s="350">
        <v>0</v>
      </c>
      <c r="U48" s="350">
        <v>0</v>
      </c>
      <c r="V48" s="350">
        <v>0</v>
      </c>
      <c r="W48" s="350">
        <v>0</v>
      </c>
      <c r="X48" s="350">
        <v>0</v>
      </c>
      <c r="Y48" s="329" t="s">
        <v>1111</v>
      </c>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row>
    <row r="49" spans="1:58" s="10" customFormat="1" ht="81.75" customHeight="1">
      <c r="A49" s="1004"/>
      <c r="B49" s="2160"/>
      <c r="C49" s="2136"/>
      <c r="D49" s="2175"/>
      <c r="E49" s="2140"/>
      <c r="F49" s="2184"/>
      <c r="G49" s="2178"/>
      <c r="H49" s="2178"/>
      <c r="I49" s="2184"/>
      <c r="J49" s="2172"/>
      <c r="K49" s="419" t="s">
        <v>1138</v>
      </c>
      <c r="L49" s="415">
        <v>1.3</v>
      </c>
      <c r="M49" s="421">
        <v>15</v>
      </c>
      <c r="N49" s="413" t="s">
        <v>1112</v>
      </c>
      <c r="O49" s="315">
        <v>0</v>
      </c>
      <c r="P49" s="323">
        <v>4</v>
      </c>
      <c r="Q49" s="323">
        <f>P49+4</f>
        <v>8</v>
      </c>
      <c r="R49" s="323">
        <f>Q49+4</f>
        <v>12</v>
      </c>
      <c r="S49" s="323">
        <f>R49+4</f>
        <v>16</v>
      </c>
      <c r="T49" s="348"/>
      <c r="U49" s="348"/>
      <c r="V49" s="348"/>
      <c r="W49" s="348"/>
      <c r="X49" s="348"/>
      <c r="Y49" s="329" t="s">
        <v>1111</v>
      </c>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row>
    <row r="50" spans="1:58" s="10" customFormat="1" ht="138" customHeight="1">
      <c r="A50" s="1004"/>
      <c r="B50" s="2160"/>
      <c r="C50" s="2136"/>
      <c r="D50" s="2175"/>
      <c r="E50" s="2140"/>
      <c r="F50" s="2184"/>
      <c r="G50" s="2179"/>
      <c r="H50" s="2178"/>
      <c r="I50" s="2184"/>
      <c r="J50" s="2172"/>
      <c r="K50" s="414" t="s">
        <v>1140</v>
      </c>
      <c r="L50" s="415">
        <v>1.3</v>
      </c>
      <c r="M50" s="422">
        <v>4</v>
      </c>
      <c r="N50" s="414" t="s">
        <v>1139</v>
      </c>
      <c r="O50" s="331">
        <v>1</v>
      </c>
      <c r="P50" s="328">
        <v>2</v>
      </c>
      <c r="Q50" s="328">
        <v>3</v>
      </c>
      <c r="R50" s="328">
        <v>4</v>
      </c>
      <c r="S50" s="328">
        <v>5</v>
      </c>
      <c r="T50" s="351">
        <v>0</v>
      </c>
      <c r="U50" s="351">
        <v>0</v>
      </c>
      <c r="V50" s="351">
        <v>0</v>
      </c>
      <c r="W50" s="351">
        <v>0</v>
      </c>
      <c r="X50" s="351">
        <v>0</v>
      </c>
      <c r="Y50" s="329" t="s">
        <v>1111</v>
      </c>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58" s="10" customFormat="1" ht="14.25" customHeight="1">
      <c r="A51" s="1004"/>
      <c r="B51" s="2160"/>
      <c r="C51" s="2136"/>
      <c r="D51" s="2175"/>
      <c r="E51" s="2140"/>
      <c r="F51" s="340"/>
      <c r="G51" s="331"/>
      <c r="H51" s="331"/>
      <c r="I51" s="2184"/>
      <c r="J51" s="2172"/>
      <c r="K51" s="400"/>
      <c r="L51" s="483">
        <f>SUM(L36:L50)</f>
        <v>15.000000000000002</v>
      </c>
      <c r="M51" s="484"/>
      <c r="N51" s="485" t="s">
        <v>1109</v>
      </c>
      <c r="O51" s="486"/>
      <c r="P51" s="362"/>
      <c r="Q51" s="362"/>
      <c r="R51" s="362"/>
      <c r="S51" s="362"/>
      <c r="T51" s="487">
        <f>SUM(T36:T49)</f>
        <v>170000000</v>
      </c>
      <c r="U51" s="487">
        <f>SUM(U36:U49)</f>
        <v>250000000</v>
      </c>
      <c r="V51" s="487">
        <f>SUM(V36:V49)</f>
        <v>250000000</v>
      </c>
      <c r="W51" s="487">
        <f>SUM(W36:W49)</f>
        <v>250000000</v>
      </c>
      <c r="X51" s="487">
        <f>SUM(T51:W51)</f>
        <v>920000000</v>
      </c>
      <c r="Y51" s="371"/>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row>
    <row r="52" spans="1:58" s="10" customFormat="1" ht="3.75" customHeight="1" hidden="1">
      <c r="A52" s="1004"/>
      <c r="B52" s="2160"/>
      <c r="C52" s="2136"/>
      <c r="D52" s="2176"/>
      <c r="E52" s="2140"/>
      <c r="F52" s="330"/>
      <c r="G52" s="336"/>
      <c r="H52" s="337"/>
      <c r="I52" s="338"/>
      <c r="J52" s="2173"/>
      <c r="K52" s="423"/>
      <c r="L52" s="424"/>
      <c r="M52" s="425"/>
      <c r="N52" s="413"/>
      <c r="O52" s="341"/>
      <c r="P52" s="339"/>
      <c r="Q52" s="339"/>
      <c r="R52" s="339"/>
      <c r="S52" s="339"/>
      <c r="T52" s="348"/>
      <c r="U52" s="348"/>
      <c r="V52" s="348"/>
      <c r="W52" s="348"/>
      <c r="X52" s="348"/>
      <c r="Y52" s="339"/>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row>
    <row r="53" spans="1:58" s="10" customFormat="1" ht="24" customHeight="1">
      <c r="A53" s="1004"/>
      <c r="B53" s="2160"/>
      <c r="C53" s="2136"/>
      <c r="D53" s="366" t="s">
        <v>1154</v>
      </c>
      <c r="E53" s="365"/>
      <c r="F53" s="367"/>
      <c r="G53" s="385"/>
      <c r="H53" s="368"/>
      <c r="I53" s="369"/>
      <c r="J53" s="400" t="s">
        <v>1167</v>
      </c>
      <c r="K53" s="426"/>
      <c r="L53" s="427">
        <f>L51+L33+L35</f>
        <v>40</v>
      </c>
      <c r="M53" s="428"/>
      <c r="N53" s="410"/>
      <c r="O53" s="370"/>
      <c r="P53" s="371"/>
      <c r="Q53" s="371"/>
      <c r="R53" s="371"/>
      <c r="S53" s="371"/>
      <c r="T53" s="372"/>
      <c r="U53" s="372"/>
      <c r="V53" s="372"/>
      <c r="W53" s="372"/>
      <c r="X53" s="372"/>
      <c r="Y53" s="371"/>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row>
    <row r="54" spans="1:58" s="10" customFormat="1" ht="63" customHeight="1">
      <c r="A54" s="1004"/>
      <c r="B54" s="2160"/>
      <c r="C54" s="2136"/>
      <c r="D54" s="2142" t="s">
        <v>822</v>
      </c>
      <c r="E54" s="2143">
        <v>20</v>
      </c>
      <c r="F54" s="2143" t="s">
        <v>1092</v>
      </c>
      <c r="G54" s="2143" t="s">
        <v>1114</v>
      </c>
      <c r="H54" s="2163"/>
      <c r="I54" s="2186" t="s">
        <v>1092</v>
      </c>
      <c r="J54" s="2138" t="s">
        <v>823</v>
      </c>
      <c r="K54" s="304" t="s">
        <v>1083</v>
      </c>
      <c r="L54" s="304">
        <v>7</v>
      </c>
      <c r="M54" s="304" t="s">
        <v>1117</v>
      </c>
      <c r="N54" s="304" t="s">
        <v>1084</v>
      </c>
      <c r="O54" s="304">
        <v>10</v>
      </c>
      <c r="P54" s="304">
        <v>30</v>
      </c>
      <c r="Q54" s="304">
        <v>50</v>
      </c>
      <c r="R54" s="357">
        <v>70</v>
      </c>
      <c r="S54" s="304">
        <v>90</v>
      </c>
      <c r="T54" s="2206">
        <v>100000000</v>
      </c>
      <c r="U54" s="2206">
        <v>150000000</v>
      </c>
      <c r="V54" s="2206">
        <v>150000000</v>
      </c>
      <c r="W54" s="2206">
        <v>150000000</v>
      </c>
      <c r="X54" s="2206">
        <f>SUM(T54:W54)</f>
        <v>550000000</v>
      </c>
      <c r="Y54" s="304" t="s">
        <v>1119</v>
      </c>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row>
    <row r="55" spans="1:58" s="10" customFormat="1" ht="40.5" customHeight="1">
      <c r="A55" s="1004"/>
      <c r="B55" s="2160"/>
      <c r="C55" s="2136"/>
      <c r="D55" s="2143"/>
      <c r="E55" s="2143"/>
      <c r="F55" s="2143"/>
      <c r="G55" s="2143"/>
      <c r="H55" s="2163"/>
      <c r="I55" s="2186"/>
      <c r="J55" s="2138"/>
      <c r="K55" s="304" t="s">
        <v>1086</v>
      </c>
      <c r="L55" s="304">
        <v>8</v>
      </c>
      <c r="M55" s="305" t="s">
        <v>1118</v>
      </c>
      <c r="N55" s="304" t="s">
        <v>1087</v>
      </c>
      <c r="O55" s="304">
        <v>10</v>
      </c>
      <c r="P55" s="304">
        <v>30</v>
      </c>
      <c r="Q55" s="304">
        <v>50</v>
      </c>
      <c r="R55" s="357">
        <v>70</v>
      </c>
      <c r="S55" s="304">
        <v>90</v>
      </c>
      <c r="T55" s="2207"/>
      <c r="U55" s="2207"/>
      <c r="V55" s="2207"/>
      <c r="W55" s="2207"/>
      <c r="X55" s="2207"/>
      <c r="Y55" s="304" t="s">
        <v>1119</v>
      </c>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row>
    <row r="56" spans="1:58" s="10" customFormat="1" ht="67.5" customHeight="1">
      <c r="A56" s="992"/>
      <c r="B56" s="2161"/>
      <c r="C56" s="2137"/>
      <c r="D56" s="2144"/>
      <c r="E56" s="2144"/>
      <c r="F56" s="2144"/>
      <c r="G56" s="2144"/>
      <c r="H56" s="2164"/>
      <c r="I56" s="2187"/>
      <c r="J56" s="2138"/>
      <c r="K56" s="391" t="s">
        <v>824</v>
      </c>
      <c r="L56" s="390">
        <v>5</v>
      </c>
      <c r="M56" s="391">
        <v>8</v>
      </c>
      <c r="N56" s="391" t="s">
        <v>825</v>
      </c>
      <c r="O56" s="309">
        <v>0</v>
      </c>
      <c r="P56" s="358">
        <v>2</v>
      </c>
      <c r="Q56" s="358">
        <v>4</v>
      </c>
      <c r="R56" s="358">
        <v>6</v>
      </c>
      <c r="S56" s="358">
        <v>8</v>
      </c>
      <c r="T56" s="359">
        <v>0</v>
      </c>
      <c r="U56" s="359">
        <v>0</v>
      </c>
      <c r="V56" s="359">
        <v>0</v>
      </c>
      <c r="W56" s="359">
        <v>0</v>
      </c>
      <c r="X56" s="359">
        <v>0</v>
      </c>
      <c r="Y56" s="304" t="s">
        <v>1108</v>
      </c>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row>
    <row r="57" spans="1:58" s="10" customFormat="1" ht="36" customHeight="1">
      <c r="A57" s="992"/>
      <c r="B57" s="317"/>
      <c r="C57" s="343"/>
      <c r="D57" s="373" t="s">
        <v>1154</v>
      </c>
      <c r="E57" s="373"/>
      <c r="F57" s="373"/>
      <c r="G57" s="373"/>
      <c r="H57" s="374"/>
      <c r="I57" s="375"/>
      <c r="J57" s="409" t="s">
        <v>1167</v>
      </c>
      <c r="K57" s="400"/>
      <c r="L57" s="429">
        <f>SUM(L54:L56)</f>
        <v>20</v>
      </c>
      <c r="M57" s="409"/>
      <c r="N57" s="430" t="s">
        <v>1170</v>
      </c>
      <c r="O57" s="373"/>
      <c r="P57" s="377"/>
      <c r="Q57" s="377"/>
      <c r="R57" s="377"/>
      <c r="S57" s="377"/>
      <c r="T57" s="389">
        <f>T54</f>
        <v>100000000</v>
      </c>
      <c r="U57" s="389">
        <f>U54</f>
        <v>150000000</v>
      </c>
      <c r="V57" s="389">
        <f>V54</f>
        <v>150000000</v>
      </c>
      <c r="W57" s="389">
        <f>W54</f>
        <v>150000000</v>
      </c>
      <c r="X57" s="389">
        <f>X54</f>
        <v>550000000</v>
      </c>
      <c r="Y57" s="378"/>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row>
    <row r="58" spans="1:58" s="10" customFormat="1" ht="36" customHeight="1">
      <c r="A58" s="992"/>
      <c r="B58" s="317"/>
      <c r="C58" s="343"/>
      <c r="D58" s="373"/>
      <c r="E58" s="373"/>
      <c r="F58" s="373"/>
      <c r="G58" s="373"/>
      <c r="H58" s="374"/>
      <c r="I58" s="375"/>
      <c r="J58" s="373"/>
      <c r="K58" s="365"/>
      <c r="L58" s="382"/>
      <c r="M58" s="373"/>
      <c r="N58" s="376" t="s">
        <v>1168</v>
      </c>
      <c r="O58" s="373"/>
      <c r="P58" s="377"/>
      <c r="Q58" s="377"/>
      <c r="R58" s="377"/>
      <c r="S58" s="377"/>
      <c r="T58" s="389">
        <f>T57+T21</f>
        <v>4310225296</v>
      </c>
      <c r="U58" s="389">
        <f>U57+U21</f>
        <v>4486532055</v>
      </c>
      <c r="V58" s="389">
        <f>V57+V21</f>
        <v>4616628017</v>
      </c>
      <c r="W58" s="389">
        <f>W57+W21</f>
        <v>4750626857</v>
      </c>
      <c r="X58" s="389">
        <f>X57+X21</f>
        <v>18164012225</v>
      </c>
      <c r="Y58" s="378"/>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row>
    <row r="59" spans="1:58" s="10" customFormat="1" ht="15">
      <c r="A59" s="992"/>
      <c r="B59" s="342" t="s">
        <v>1126</v>
      </c>
      <c r="C59" s="35"/>
      <c r="D59" s="17"/>
      <c r="E59" s="697">
        <f>SUM(E15:E56)</f>
        <v>100</v>
      </c>
      <c r="F59" s="36"/>
      <c r="G59" s="36"/>
      <c r="H59" s="36"/>
      <c r="I59" s="36"/>
      <c r="J59" s="17"/>
      <c r="K59" s="18"/>
      <c r="L59" s="697">
        <f>L57+L53+L25</f>
        <v>100</v>
      </c>
      <c r="M59" s="38"/>
      <c r="N59" s="698" t="s">
        <v>1126</v>
      </c>
      <c r="O59" s="37"/>
      <c r="P59" s="35"/>
      <c r="Q59" s="35"/>
      <c r="R59" s="35"/>
      <c r="S59" s="35"/>
      <c r="T59" s="699">
        <f>T58+T51+T35+T33+T25</f>
        <v>110263433301</v>
      </c>
      <c r="U59" s="699">
        <f>U58+U51+U35+U33+U25</f>
        <v>112878573198</v>
      </c>
      <c r="V59" s="699">
        <f>V58+V51+V35+V33+V25</f>
        <v>116221430395</v>
      </c>
      <c r="W59" s="699">
        <f>W58+W51+W35+W33+W25</f>
        <v>119664573306</v>
      </c>
      <c r="X59" s="699">
        <f>X58+X51+X35+X33+X25</f>
        <v>459028010200</v>
      </c>
      <c r="Y59" s="35"/>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row>
    <row r="60" ht="15">
      <c r="B60" t="s">
        <v>1159</v>
      </c>
    </row>
    <row r="61" ht="15">
      <c r="B61" t="s">
        <v>1165</v>
      </c>
    </row>
    <row r="62" ht="15">
      <c r="B62" t="s">
        <v>1166</v>
      </c>
    </row>
    <row r="64" ht="15">
      <c r="B64" t="s">
        <v>1163</v>
      </c>
    </row>
    <row r="65" ht="15">
      <c r="B65" t="s">
        <v>1164</v>
      </c>
    </row>
    <row r="66" ht="15">
      <c r="B66" t="s">
        <v>1162</v>
      </c>
    </row>
    <row r="68" ht="15">
      <c r="B68" s="577"/>
    </row>
    <row r="69" ht="15">
      <c r="B69" s="577"/>
    </row>
    <row r="70" ht="15">
      <c r="B70" s="577"/>
    </row>
    <row r="71" ht="15">
      <c r="B71" s="577"/>
    </row>
  </sheetData>
  <sheetProtection/>
  <mergeCells count="85">
    <mergeCell ref="T54:T55"/>
    <mergeCell ref="U54:U55"/>
    <mergeCell ref="V54:V55"/>
    <mergeCell ref="W54:W55"/>
    <mergeCell ref="X54:X55"/>
    <mergeCell ref="W26:W32"/>
    <mergeCell ref="X26:X32"/>
    <mergeCell ref="T22:T24"/>
    <mergeCell ref="U22:U24"/>
    <mergeCell ref="V22:V24"/>
    <mergeCell ref="W22:W24"/>
    <mergeCell ref="X22:X24"/>
    <mergeCell ref="K18:K19"/>
    <mergeCell ref="L27:L29"/>
    <mergeCell ref="X15:X20"/>
    <mergeCell ref="T15:T20"/>
    <mergeCell ref="U15:U20"/>
    <mergeCell ref="V15:V20"/>
    <mergeCell ref="W15:W20"/>
    <mergeCell ref="T26:T32"/>
    <mergeCell ref="U26:U32"/>
    <mergeCell ref="V26:V32"/>
    <mergeCell ref="K27:K29"/>
    <mergeCell ref="I36:I44"/>
    <mergeCell ref="I54:I56"/>
    <mergeCell ref="F36:F50"/>
    <mergeCell ref="H47:H50"/>
    <mergeCell ref="G47:G50"/>
    <mergeCell ref="I47:I51"/>
    <mergeCell ref="G54:G56"/>
    <mergeCell ref="I15:I32"/>
    <mergeCell ref="J22:J24"/>
    <mergeCell ref="H13:H14"/>
    <mergeCell ref="H15:H20"/>
    <mergeCell ref="D15:D24"/>
    <mergeCell ref="F54:F56"/>
    <mergeCell ref="H54:H56"/>
    <mergeCell ref="L38:L40"/>
    <mergeCell ref="J36:J52"/>
    <mergeCell ref="K38:K40"/>
    <mergeCell ref="D26:D52"/>
    <mergeCell ref="G36:G44"/>
    <mergeCell ref="F13:F14"/>
    <mergeCell ref="C13:C14"/>
    <mergeCell ref="D13:D14"/>
    <mergeCell ref="E13:E14"/>
    <mergeCell ref="B13:B14"/>
    <mergeCell ref="G15:G32"/>
    <mergeCell ref="B15:B56"/>
    <mergeCell ref="G13:G14"/>
    <mergeCell ref="E26:E52"/>
    <mergeCell ref="C15:C56"/>
    <mergeCell ref="J54:J56"/>
    <mergeCell ref="E15:E24"/>
    <mergeCell ref="D54:D56"/>
    <mergeCell ref="F15:F32"/>
    <mergeCell ref="H22:H24"/>
    <mergeCell ref="J15:J20"/>
    <mergeCell ref="E54:E56"/>
    <mergeCell ref="H26:H32"/>
    <mergeCell ref="J26:J32"/>
    <mergeCell ref="K13:K14"/>
    <mergeCell ref="N13:N14"/>
    <mergeCell ref="O13:O14"/>
    <mergeCell ref="I13:I14"/>
    <mergeCell ref="L13:L14"/>
    <mergeCell ref="J13:J14"/>
    <mergeCell ref="M13:M14"/>
    <mergeCell ref="T2:Y4"/>
    <mergeCell ref="H5:S5"/>
    <mergeCell ref="T5:Y5"/>
    <mergeCell ref="H2:S4"/>
    <mergeCell ref="J8:M8"/>
    <mergeCell ref="N8:X8"/>
    <mergeCell ref="H6:S6"/>
    <mergeCell ref="T6:Y6"/>
    <mergeCell ref="J12:O12"/>
    <mergeCell ref="B2:G6"/>
    <mergeCell ref="D8:I8"/>
    <mergeCell ref="F12:I12"/>
    <mergeCell ref="N9:X9"/>
    <mergeCell ref="D9:M9"/>
    <mergeCell ref="T12:X12"/>
    <mergeCell ref="P12:S12"/>
    <mergeCell ref="B11:X11"/>
  </mergeCells>
  <printOptions/>
  <pageMargins left="1.48" right="0.7086614173228347" top="0.7480314960629921" bottom="0.7480314960629921" header="0.31496062992125984" footer="0.31496062992125984"/>
  <pageSetup horizontalDpi="600" verticalDpi="600" orientation="landscape" paperSize="5" scale="55"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2:Y45"/>
  <sheetViews>
    <sheetView showGridLines="0" showRowColHeaders="0" zoomScalePageLayoutView="0" workbookViewId="0" topLeftCell="A1">
      <selection activeCell="C12" sqref="C12"/>
    </sheetView>
  </sheetViews>
  <sheetFormatPr defaultColWidth="11.421875" defaultRowHeight="15"/>
  <cols>
    <col min="1" max="1" width="3.57421875" style="0" customWidth="1"/>
    <col min="3" max="3" width="13.57421875" style="0" customWidth="1"/>
    <col min="24" max="24" width="13.421875" style="0" customWidth="1"/>
  </cols>
  <sheetData>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ht="15">
      <c r="B7" s="5"/>
      <c r="C7" s="5"/>
      <c r="D7" s="5"/>
      <c r="E7" s="5"/>
      <c r="F7" s="5"/>
      <c r="G7" s="5"/>
      <c r="H7" s="5"/>
      <c r="I7" s="5"/>
      <c r="J7" s="5"/>
      <c r="K7" s="5"/>
      <c r="L7" s="5"/>
      <c r="M7" s="5"/>
      <c r="N7" s="5"/>
      <c r="O7" s="5"/>
      <c r="P7" s="5"/>
      <c r="Q7" s="5"/>
      <c r="R7" s="5"/>
      <c r="S7" s="5"/>
      <c r="T7" s="5"/>
      <c r="U7" s="5"/>
      <c r="V7" s="5"/>
      <c r="W7" s="5"/>
      <c r="X7" s="5"/>
      <c r="Y7" s="996"/>
    </row>
    <row r="8" spans="2:25" ht="15">
      <c r="B8" s="1041" t="s">
        <v>1372</v>
      </c>
      <c r="C8" s="1076"/>
      <c r="D8" s="1034" t="s">
        <v>1374</v>
      </c>
      <c r="E8" s="1035"/>
      <c r="F8" s="1035"/>
      <c r="G8" s="1035"/>
      <c r="H8" s="1035"/>
      <c r="I8" s="1035"/>
      <c r="J8" s="1575"/>
      <c r="K8" s="1575"/>
      <c r="L8" s="1575"/>
      <c r="M8" s="1575"/>
      <c r="N8" s="1575"/>
      <c r="O8" s="1575"/>
      <c r="P8" s="1575"/>
      <c r="Q8" s="1575"/>
      <c r="R8" s="1575"/>
      <c r="S8" s="1575"/>
      <c r="T8" s="1575"/>
      <c r="U8" s="1575"/>
      <c r="V8" s="1575"/>
      <c r="W8" s="1575"/>
      <c r="X8" s="1575"/>
      <c r="Y8" s="1036"/>
    </row>
    <row r="9" spans="2:25" ht="15">
      <c r="B9" s="1041" t="s">
        <v>154</v>
      </c>
      <c r="C9" s="1076"/>
      <c r="D9" s="1034" t="s">
        <v>1375</v>
      </c>
      <c r="E9" s="1035"/>
      <c r="F9" s="1035"/>
      <c r="G9" s="1035"/>
      <c r="H9" s="1035"/>
      <c r="I9" s="1035"/>
      <c r="J9" s="1035"/>
      <c r="K9" s="1035"/>
      <c r="L9" s="1035"/>
      <c r="M9" s="1035"/>
      <c r="N9" s="1575"/>
      <c r="O9" s="1575"/>
      <c r="P9" s="1575"/>
      <c r="Q9" s="1575"/>
      <c r="R9" s="1575"/>
      <c r="S9" s="1575"/>
      <c r="T9" s="1575"/>
      <c r="U9" s="1575"/>
      <c r="V9" s="1575"/>
      <c r="W9" s="1575"/>
      <c r="X9" s="1575"/>
      <c r="Y9" s="1036"/>
    </row>
    <row r="10" spans="2:25" ht="15">
      <c r="B10" s="1041" t="s">
        <v>1387</v>
      </c>
      <c r="C10" s="1076"/>
      <c r="D10" s="1574" t="s">
        <v>1388</v>
      </c>
      <c r="E10" s="1575"/>
      <c r="F10" s="1575"/>
      <c r="G10" s="1575"/>
      <c r="H10" s="1575"/>
      <c r="I10" s="1575"/>
      <c r="J10" s="1575"/>
      <c r="K10" s="1575"/>
      <c r="L10" s="1575"/>
      <c r="M10" s="1575"/>
      <c r="N10" s="1575"/>
      <c r="O10" s="1575"/>
      <c r="P10" s="1575"/>
      <c r="Q10" s="1575"/>
      <c r="R10" s="1575"/>
      <c r="S10" s="1575"/>
      <c r="T10" s="1575"/>
      <c r="U10" s="1575"/>
      <c r="V10" s="1575"/>
      <c r="W10" s="1575"/>
      <c r="X10" s="1575"/>
      <c r="Y10" s="1657"/>
    </row>
    <row r="11" spans="2:25" ht="15.75" thickBot="1">
      <c r="B11" s="5"/>
      <c r="C11" s="5"/>
      <c r="D11" s="5"/>
      <c r="E11" s="5"/>
      <c r="F11" s="5"/>
      <c r="G11" s="5"/>
      <c r="H11" s="5"/>
      <c r="I11" s="5"/>
      <c r="J11" s="5"/>
      <c r="K11" s="5"/>
      <c r="L11" s="5"/>
      <c r="M11" s="5"/>
      <c r="N11" s="4"/>
      <c r="O11" s="4"/>
      <c r="P11" s="4"/>
      <c r="Q11" s="4"/>
      <c r="R11" s="4"/>
      <c r="S11" s="4"/>
      <c r="T11" s="4"/>
      <c r="U11" s="4"/>
      <c r="V11" s="4"/>
      <c r="W11" s="4"/>
      <c r="X11" s="4"/>
      <c r="Y11" s="231"/>
    </row>
    <row r="12" spans="2:25" ht="15">
      <c r="B12" s="968"/>
      <c r="C12" s="968"/>
      <c r="D12" s="2215" t="s">
        <v>828</v>
      </c>
      <c r="E12" s="2216"/>
      <c r="F12" s="2216"/>
      <c r="G12" s="2216"/>
      <c r="H12" s="2216"/>
      <c r="I12" s="2217"/>
      <c r="J12" s="968"/>
      <c r="K12" s="2215" t="s">
        <v>829</v>
      </c>
      <c r="L12" s="2216"/>
      <c r="M12" s="2216"/>
      <c r="N12" s="2216"/>
      <c r="O12" s="2217"/>
      <c r="P12" s="968"/>
      <c r="Q12" s="968"/>
      <c r="R12" s="968"/>
      <c r="S12" s="968"/>
      <c r="T12" s="2215" t="s">
        <v>1338</v>
      </c>
      <c r="U12" s="2216"/>
      <c r="V12" s="2216"/>
      <c r="W12" s="2216"/>
      <c r="X12" s="2217"/>
      <c r="Y12" s="971"/>
    </row>
    <row r="13" spans="2:25" ht="24">
      <c r="B13" s="2224" t="s">
        <v>103</v>
      </c>
      <c r="C13" s="2225" t="s">
        <v>140</v>
      </c>
      <c r="D13" s="1714" t="s">
        <v>0</v>
      </c>
      <c r="E13" s="1715" t="s">
        <v>140</v>
      </c>
      <c r="F13" s="1715" t="s">
        <v>141</v>
      </c>
      <c r="G13" s="1715" t="s">
        <v>104</v>
      </c>
      <c r="H13" s="1715" t="s">
        <v>142</v>
      </c>
      <c r="I13" s="1715" t="s">
        <v>143</v>
      </c>
      <c r="J13" s="1715" t="s">
        <v>1</v>
      </c>
      <c r="K13" s="1715" t="s">
        <v>2</v>
      </c>
      <c r="L13" s="1715" t="s">
        <v>140</v>
      </c>
      <c r="M13" s="1715" t="s">
        <v>3</v>
      </c>
      <c r="N13" s="1715" t="s">
        <v>4</v>
      </c>
      <c r="O13" s="1730" t="s">
        <v>5</v>
      </c>
      <c r="P13" s="1097" t="s">
        <v>144</v>
      </c>
      <c r="Q13" s="1097" t="s">
        <v>144</v>
      </c>
      <c r="R13" s="1097" t="s">
        <v>145</v>
      </c>
      <c r="S13" s="1097" t="s">
        <v>144</v>
      </c>
      <c r="T13" s="2245">
        <v>2012</v>
      </c>
      <c r="U13" s="2245">
        <v>2013</v>
      </c>
      <c r="V13" s="2245">
        <v>2014</v>
      </c>
      <c r="W13" s="2245">
        <v>2015</v>
      </c>
      <c r="X13" s="2245" t="s">
        <v>146</v>
      </c>
      <c r="Y13" s="2245" t="s">
        <v>147</v>
      </c>
    </row>
    <row r="14" spans="2:25" ht="24" customHeight="1">
      <c r="B14" s="2224"/>
      <c r="C14" s="2225"/>
      <c r="D14" s="1714"/>
      <c r="E14" s="1715"/>
      <c r="F14" s="1715"/>
      <c r="G14" s="1715"/>
      <c r="H14" s="1715"/>
      <c r="I14" s="1715"/>
      <c r="J14" s="1715"/>
      <c r="K14" s="1715"/>
      <c r="L14" s="1715"/>
      <c r="M14" s="1715"/>
      <c r="N14" s="1715"/>
      <c r="O14" s="1730"/>
      <c r="P14" s="1351">
        <v>2012</v>
      </c>
      <c r="Q14" s="1351">
        <v>2013</v>
      </c>
      <c r="R14" s="1351">
        <v>2014</v>
      </c>
      <c r="S14" s="1351">
        <v>2015</v>
      </c>
      <c r="T14" s="2246"/>
      <c r="U14" s="2246"/>
      <c r="V14" s="2246"/>
      <c r="W14" s="2246"/>
      <c r="X14" s="2246"/>
      <c r="Y14" s="2246"/>
    </row>
    <row r="15" spans="2:25" ht="90">
      <c r="B15" s="2208" t="s">
        <v>122</v>
      </c>
      <c r="C15" s="1513" t="s">
        <v>979</v>
      </c>
      <c r="D15" s="2165" t="s">
        <v>569</v>
      </c>
      <c r="E15" s="2209">
        <v>30</v>
      </c>
      <c r="F15" s="2212"/>
      <c r="G15" s="2212" t="s">
        <v>980</v>
      </c>
      <c r="H15" s="2221">
        <v>0.06</v>
      </c>
      <c r="I15" s="2221">
        <v>0.1</v>
      </c>
      <c r="J15" s="2165" t="s">
        <v>570</v>
      </c>
      <c r="K15" s="763" t="s">
        <v>981</v>
      </c>
      <c r="L15" s="764">
        <v>4</v>
      </c>
      <c r="M15" s="765">
        <v>4800</v>
      </c>
      <c r="N15" s="764" t="s">
        <v>982</v>
      </c>
      <c r="O15" s="764" t="s">
        <v>575</v>
      </c>
      <c r="P15" s="766">
        <v>1900</v>
      </c>
      <c r="Q15" s="766">
        <v>3100</v>
      </c>
      <c r="R15" s="766">
        <v>4400</v>
      </c>
      <c r="S15" s="766">
        <v>5700</v>
      </c>
      <c r="T15" s="767">
        <v>0</v>
      </c>
      <c r="U15" s="766">
        <v>10000000</v>
      </c>
      <c r="V15" s="766">
        <v>10000000</v>
      </c>
      <c r="W15" s="766">
        <v>10000000</v>
      </c>
      <c r="X15" s="766">
        <v>30000000</v>
      </c>
      <c r="Y15" s="767" t="s">
        <v>983</v>
      </c>
    </row>
    <row r="16" spans="2:25" ht="63.75">
      <c r="B16" s="2208"/>
      <c r="C16" s="1505"/>
      <c r="D16" s="2166"/>
      <c r="E16" s="2210"/>
      <c r="F16" s="2213"/>
      <c r="G16" s="2213"/>
      <c r="H16" s="2222"/>
      <c r="I16" s="2222"/>
      <c r="J16" s="2166"/>
      <c r="K16" s="764" t="s">
        <v>984</v>
      </c>
      <c r="L16" s="764"/>
      <c r="M16" s="765">
        <v>7500</v>
      </c>
      <c r="N16" s="764"/>
      <c r="O16" s="768">
        <v>1500</v>
      </c>
      <c r="P16" s="766"/>
      <c r="Q16" s="766">
        <v>4000</v>
      </c>
      <c r="R16" s="766">
        <v>6500</v>
      </c>
      <c r="S16" s="766">
        <v>9000</v>
      </c>
      <c r="T16" s="767">
        <v>0</v>
      </c>
      <c r="U16" s="766">
        <v>150000000</v>
      </c>
      <c r="V16" s="766">
        <v>150000000</v>
      </c>
      <c r="W16" s="766">
        <v>150000000</v>
      </c>
      <c r="X16" s="766">
        <v>450000000</v>
      </c>
      <c r="Y16" s="767" t="s">
        <v>985</v>
      </c>
    </row>
    <row r="17" spans="2:25" ht="114.75">
      <c r="B17" s="2208"/>
      <c r="C17" s="1505"/>
      <c r="D17" s="2166"/>
      <c r="E17" s="2210"/>
      <c r="F17" s="2213"/>
      <c r="G17" s="2213"/>
      <c r="H17" s="2222"/>
      <c r="I17" s="2222"/>
      <c r="J17" s="2166"/>
      <c r="K17" s="763" t="s">
        <v>986</v>
      </c>
      <c r="L17" s="764">
        <v>4</v>
      </c>
      <c r="M17" s="765">
        <v>7500</v>
      </c>
      <c r="N17" s="764"/>
      <c r="O17" s="768">
        <v>1500</v>
      </c>
      <c r="P17" s="766"/>
      <c r="Q17" s="766">
        <v>4000</v>
      </c>
      <c r="R17" s="766">
        <v>6500</v>
      </c>
      <c r="S17" s="766">
        <v>9000</v>
      </c>
      <c r="T17" s="766">
        <v>353162650</v>
      </c>
      <c r="U17" s="766">
        <v>353162650</v>
      </c>
      <c r="V17" s="766">
        <v>353162650</v>
      </c>
      <c r="W17" s="766">
        <v>353162650</v>
      </c>
      <c r="X17" s="766">
        <v>1412650600</v>
      </c>
      <c r="Y17" s="767" t="s">
        <v>985</v>
      </c>
    </row>
    <row r="18" spans="2:25" ht="56.25">
      <c r="B18" s="2208"/>
      <c r="C18" s="1505"/>
      <c r="D18" s="2166"/>
      <c r="E18" s="2210"/>
      <c r="F18" s="2213"/>
      <c r="G18" s="2213"/>
      <c r="H18" s="2222"/>
      <c r="I18" s="2222"/>
      <c r="J18" s="2166"/>
      <c r="K18" s="769" t="s">
        <v>571</v>
      </c>
      <c r="L18" s="769"/>
      <c r="M18" s="770">
        <v>3</v>
      </c>
      <c r="N18" s="771" t="s">
        <v>987</v>
      </c>
      <c r="O18" s="764">
        <v>0</v>
      </c>
      <c r="P18" s="767"/>
      <c r="Q18" s="767">
        <v>1</v>
      </c>
      <c r="R18" s="767">
        <v>2</v>
      </c>
      <c r="S18" s="767">
        <v>3</v>
      </c>
      <c r="T18" s="767">
        <v>0</v>
      </c>
      <c r="U18" s="766">
        <v>120000000</v>
      </c>
      <c r="V18" s="766">
        <v>120000000</v>
      </c>
      <c r="W18" s="766">
        <v>120000000</v>
      </c>
      <c r="X18" s="766">
        <v>360000000</v>
      </c>
      <c r="Y18" s="767" t="s">
        <v>985</v>
      </c>
    </row>
    <row r="19" spans="2:25" ht="64.5">
      <c r="B19" s="2208"/>
      <c r="C19" s="1505"/>
      <c r="D19" s="2166"/>
      <c r="E19" s="2210"/>
      <c r="F19" s="2213"/>
      <c r="G19" s="2213"/>
      <c r="H19" s="2222"/>
      <c r="I19" s="2222"/>
      <c r="J19" s="2166"/>
      <c r="K19" s="764" t="s">
        <v>572</v>
      </c>
      <c r="L19" s="764">
        <v>10</v>
      </c>
      <c r="M19" s="765">
        <v>30000</v>
      </c>
      <c r="N19" s="772" t="s">
        <v>988</v>
      </c>
      <c r="O19" s="764" t="s">
        <v>989</v>
      </c>
      <c r="P19" s="766">
        <v>12500</v>
      </c>
      <c r="Q19" s="766">
        <v>19500</v>
      </c>
      <c r="R19" s="766">
        <v>27500</v>
      </c>
      <c r="S19" s="766">
        <v>36000</v>
      </c>
      <c r="T19" s="766">
        <v>90000000</v>
      </c>
      <c r="U19" s="766">
        <v>120000000</v>
      </c>
      <c r="V19" s="766">
        <v>140000000</v>
      </c>
      <c r="W19" s="766">
        <v>160000000</v>
      </c>
      <c r="X19" s="766">
        <v>510000000</v>
      </c>
      <c r="Y19" s="767" t="s">
        <v>985</v>
      </c>
    </row>
    <row r="20" spans="2:25" ht="64.5">
      <c r="B20" s="2208"/>
      <c r="C20" s="1505"/>
      <c r="D20" s="2166"/>
      <c r="E20" s="2210"/>
      <c r="F20" s="2213"/>
      <c r="G20" s="2213"/>
      <c r="H20" s="2222"/>
      <c r="I20" s="2222"/>
      <c r="J20" s="2166"/>
      <c r="K20" s="764" t="s">
        <v>990</v>
      </c>
      <c r="L20" s="764">
        <v>4</v>
      </c>
      <c r="M20" s="765">
        <v>1600</v>
      </c>
      <c r="N20" s="772" t="s">
        <v>573</v>
      </c>
      <c r="O20" s="764" t="s">
        <v>991</v>
      </c>
      <c r="P20" s="767">
        <v>600</v>
      </c>
      <c r="Q20" s="766">
        <v>1000</v>
      </c>
      <c r="R20" s="766">
        <v>1450</v>
      </c>
      <c r="S20" s="766">
        <v>1900</v>
      </c>
      <c r="T20" s="766">
        <v>42000000</v>
      </c>
      <c r="U20" s="766">
        <v>45000000</v>
      </c>
      <c r="V20" s="766">
        <v>50000000</v>
      </c>
      <c r="W20" s="766">
        <v>55000000</v>
      </c>
      <c r="X20" s="766">
        <v>192000000</v>
      </c>
      <c r="Y20" s="767" t="s">
        <v>985</v>
      </c>
    </row>
    <row r="21" spans="2:25" ht="102.75">
      <c r="B21" s="2208"/>
      <c r="C21" s="1505"/>
      <c r="D21" s="2167"/>
      <c r="E21" s="2211"/>
      <c r="F21" s="2214"/>
      <c r="G21" s="2214"/>
      <c r="H21" s="2223"/>
      <c r="I21" s="2223"/>
      <c r="J21" s="2167"/>
      <c r="K21" s="764" t="s">
        <v>992</v>
      </c>
      <c r="L21" s="764">
        <v>8</v>
      </c>
      <c r="M21" s="765">
        <v>8000</v>
      </c>
      <c r="N21" s="772" t="s">
        <v>574</v>
      </c>
      <c r="O21" s="764" t="s">
        <v>993</v>
      </c>
      <c r="P21" s="766">
        <v>2300</v>
      </c>
      <c r="Q21" s="766">
        <v>4300</v>
      </c>
      <c r="R21" s="766">
        <v>6500</v>
      </c>
      <c r="S21" s="766">
        <v>8800</v>
      </c>
      <c r="T21" s="766">
        <v>152350746</v>
      </c>
      <c r="U21" s="766">
        <v>175000000</v>
      </c>
      <c r="V21" s="766">
        <v>185000000</v>
      </c>
      <c r="W21" s="766">
        <v>200000000</v>
      </c>
      <c r="X21" s="767">
        <v>712350746</v>
      </c>
      <c r="Y21" s="767" t="s">
        <v>985</v>
      </c>
    </row>
    <row r="22" spans="2:25" ht="15">
      <c r="B22" s="2208"/>
      <c r="C22" s="1505"/>
      <c r="D22" s="755"/>
      <c r="E22" s="773"/>
      <c r="F22" s="774"/>
      <c r="G22" s="774"/>
      <c r="H22" s="775"/>
      <c r="I22" s="775"/>
      <c r="J22" s="754"/>
      <c r="K22" s="851" t="s">
        <v>1337</v>
      </c>
      <c r="L22" s="852">
        <f>SUM(L15:L21)</f>
        <v>30</v>
      </c>
      <c r="M22" s="765"/>
      <c r="N22" s="772"/>
      <c r="O22" s="764"/>
      <c r="P22" s="776"/>
      <c r="Q22" s="776"/>
      <c r="R22" s="776"/>
      <c r="S22" s="776"/>
      <c r="T22" s="776"/>
      <c r="U22" s="776"/>
      <c r="V22" s="776"/>
      <c r="W22" s="776"/>
      <c r="X22" s="777"/>
      <c r="Y22" s="777"/>
    </row>
    <row r="23" spans="2:25" ht="15" customHeight="1">
      <c r="B23" s="2208"/>
      <c r="C23" s="1505"/>
      <c r="D23" s="2218" t="s">
        <v>576</v>
      </c>
      <c r="E23" s="2218">
        <v>40</v>
      </c>
      <c r="F23" s="2218">
        <v>-2</v>
      </c>
      <c r="G23" s="2230" t="s">
        <v>994</v>
      </c>
      <c r="H23" s="2218">
        <v>12</v>
      </c>
      <c r="I23" s="2218">
        <v>10</v>
      </c>
      <c r="J23" s="2218" t="s">
        <v>995</v>
      </c>
      <c r="K23" s="2233" t="s">
        <v>996</v>
      </c>
      <c r="L23" s="2234">
        <v>15</v>
      </c>
      <c r="M23" s="2237">
        <v>40000</v>
      </c>
      <c r="N23" s="2233" t="s">
        <v>997</v>
      </c>
      <c r="O23" s="2237">
        <v>8000</v>
      </c>
      <c r="P23" s="2226">
        <v>16000</v>
      </c>
      <c r="Q23" s="2226">
        <v>26000</v>
      </c>
      <c r="R23" s="2226">
        <v>36500</v>
      </c>
      <c r="S23" s="2226">
        <v>48000</v>
      </c>
      <c r="T23" s="2226">
        <v>748766710</v>
      </c>
      <c r="U23" s="2226">
        <v>750000000</v>
      </c>
      <c r="V23" s="2226">
        <v>760000000</v>
      </c>
      <c r="W23" s="2226">
        <v>780000000</v>
      </c>
      <c r="X23" s="2229">
        <v>3038766710</v>
      </c>
      <c r="Y23" s="2229" t="s">
        <v>985</v>
      </c>
    </row>
    <row r="24" spans="2:25" ht="15">
      <c r="B24" s="2208"/>
      <c r="C24" s="1505"/>
      <c r="D24" s="2219"/>
      <c r="E24" s="2219"/>
      <c r="F24" s="2219"/>
      <c r="G24" s="2231"/>
      <c r="H24" s="2219"/>
      <c r="I24" s="2219"/>
      <c r="J24" s="2219"/>
      <c r="K24" s="2233"/>
      <c r="L24" s="2235"/>
      <c r="M24" s="2233"/>
      <c r="N24" s="2233"/>
      <c r="O24" s="2233"/>
      <c r="P24" s="2227"/>
      <c r="Q24" s="2227"/>
      <c r="R24" s="2227"/>
      <c r="S24" s="2227"/>
      <c r="T24" s="2227"/>
      <c r="U24" s="2227"/>
      <c r="V24" s="2227"/>
      <c r="W24" s="2227"/>
      <c r="X24" s="2227"/>
      <c r="Y24" s="2227"/>
    </row>
    <row r="25" spans="2:25" ht="15">
      <c r="B25" s="2208"/>
      <c r="C25" s="1505"/>
      <c r="D25" s="2219"/>
      <c r="E25" s="2219"/>
      <c r="F25" s="2219"/>
      <c r="G25" s="2231"/>
      <c r="H25" s="2219"/>
      <c r="I25" s="2219"/>
      <c r="J25" s="2219"/>
      <c r="K25" s="2233"/>
      <c r="L25" s="2235"/>
      <c r="M25" s="2233"/>
      <c r="N25" s="2233"/>
      <c r="O25" s="2233"/>
      <c r="P25" s="2227"/>
      <c r="Q25" s="2227"/>
      <c r="R25" s="2227"/>
      <c r="S25" s="2227"/>
      <c r="T25" s="2227"/>
      <c r="U25" s="2227"/>
      <c r="V25" s="2227"/>
      <c r="W25" s="2227"/>
      <c r="X25" s="2227"/>
      <c r="Y25" s="2227"/>
    </row>
    <row r="26" spans="2:25" ht="15">
      <c r="B26" s="2208"/>
      <c r="C26" s="1505"/>
      <c r="D26" s="2219"/>
      <c r="E26" s="2219"/>
      <c r="F26" s="2219"/>
      <c r="G26" s="2231"/>
      <c r="H26" s="2219"/>
      <c r="I26" s="2219"/>
      <c r="J26" s="2219"/>
      <c r="K26" s="2233"/>
      <c r="L26" s="2235"/>
      <c r="M26" s="2233"/>
      <c r="N26" s="2233"/>
      <c r="O26" s="2233"/>
      <c r="P26" s="2227"/>
      <c r="Q26" s="2227"/>
      <c r="R26" s="2227"/>
      <c r="S26" s="2227"/>
      <c r="T26" s="2227"/>
      <c r="U26" s="2227"/>
      <c r="V26" s="2227"/>
      <c r="W26" s="2227"/>
      <c r="X26" s="2227"/>
      <c r="Y26" s="2227"/>
    </row>
    <row r="27" spans="2:25" ht="15">
      <c r="B27" s="2208"/>
      <c r="C27" s="1505"/>
      <c r="D27" s="2219"/>
      <c r="E27" s="2219"/>
      <c r="F27" s="2219"/>
      <c r="G27" s="2231"/>
      <c r="H27" s="2219"/>
      <c r="I27" s="2219"/>
      <c r="J27" s="2219"/>
      <c r="K27" s="2233"/>
      <c r="L27" s="2235"/>
      <c r="M27" s="2233"/>
      <c r="N27" s="2233"/>
      <c r="O27" s="2233"/>
      <c r="P27" s="2227"/>
      <c r="Q27" s="2227"/>
      <c r="R27" s="2227"/>
      <c r="S27" s="2227"/>
      <c r="T27" s="2227"/>
      <c r="U27" s="2227"/>
      <c r="V27" s="2227"/>
      <c r="W27" s="2227"/>
      <c r="X27" s="2227"/>
      <c r="Y27" s="2227"/>
    </row>
    <row r="28" spans="2:25" ht="15">
      <c r="B28" s="2208"/>
      <c r="C28" s="1505"/>
      <c r="D28" s="2219"/>
      <c r="E28" s="2219"/>
      <c r="F28" s="2219"/>
      <c r="G28" s="2231"/>
      <c r="H28" s="2219"/>
      <c r="I28" s="2219"/>
      <c r="J28" s="2219"/>
      <c r="K28" s="2233"/>
      <c r="L28" s="2235"/>
      <c r="M28" s="2233"/>
      <c r="N28" s="2233"/>
      <c r="O28" s="2233"/>
      <c r="P28" s="2227"/>
      <c r="Q28" s="2227"/>
      <c r="R28" s="2227"/>
      <c r="S28" s="2227"/>
      <c r="T28" s="2227"/>
      <c r="U28" s="2227"/>
      <c r="V28" s="2227"/>
      <c r="W28" s="2227"/>
      <c r="X28" s="2227"/>
      <c r="Y28" s="2227"/>
    </row>
    <row r="29" spans="2:25" ht="15">
      <c r="B29" s="2208"/>
      <c r="C29" s="1505"/>
      <c r="D29" s="2219"/>
      <c r="E29" s="2219"/>
      <c r="F29" s="2219"/>
      <c r="G29" s="2231"/>
      <c r="H29" s="2219"/>
      <c r="I29" s="2219"/>
      <c r="J29" s="2219"/>
      <c r="K29" s="2233"/>
      <c r="L29" s="2236"/>
      <c r="M29" s="2233"/>
      <c r="N29" s="2233"/>
      <c r="O29" s="2233"/>
      <c r="P29" s="2228"/>
      <c r="Q29" s="2228"/>
      <c r="R29" s="2228"/>
      <c r="S29" s="2228"/>
      <c r="T29" s="2228"/>
      <c r="U29" s="2228"/>
      <c r="V29" s="2228"/>
      <c r="W29" s="2228"/>
      <c r="X29" s="2228"/>
      <c r="Y29" s="2228"/>
    </row>
    <row r="30" spans="2:25" ht="15">
      <c r="B30" s="2208"/>
      <c r="C30" s="1505"/>
      <c r="D30" s="2219"/>
      <c r="E30" s="2219"/>
      <c r="F30" s="2219"/>
      <c r="G30" s="2231"/>
      <c r="H30" s="2219"/>
      <c r="I30" s="2219"/>
      <c r="J30" s="2219"/>
      <c r="K30" s="2233" t="s">
        <v>577</v>
      </c>
      <c r="L30" s="2234">
        <v>5</v>
      </c>
      <c r="M30" s="2233">
        <v>49</v>
      </c>
      <c r="N30" s="2233" t="s">
        <v>579</v>
      </c>
      <c r="O30" s="2233" t="s">
        <v>581</v>
      </c>
      <c r="P30" s="2229">
        <v>7</v>
      </c>
      <c r="Q30" s="2229">
        <v>17</v>
      </c>
      <c r="R30" s="2229">
        <v>32</v>
      </c>
      <c r="S30" s="2229">
        <v>52</v>
      </c>
      <c r="T30" s="2226">
        <v>45904100</v>
      </c>
      <c r="U30" s="2226">
        <v>55000000</v>
      </c>
      <c r="V30" s="2226">
        <v>65000000</v>
      </c>
      <c r="W30" s="2226">
        <v>75000000</v>
      </c>
      <c r="X30" s="2226">
        <v>240904100</v>
      </c>
      <c r="Y30" s="2229" t="s">
        <v>985</v>
      </c>
    </row>
    <row r="31" spans="2:25" ht="15">
      <c r="B31" s="2208"/>
      <c r="C31" s="1505"/>
      <c r="D31" s="2219"/>
      <c r="E31" s="2219"/>
      <c r="F31" s="2219"/>
      <c r="G31" s="2231"/>
      <c r="H31" s="2219"/>
      <c r="I31" s="2219"/>
      <c r="J31" s="2219"/>
      <c r="K31" s="2233"/>
      <c r="L31" s="2235"/>
      <c r="M31" s="2233"/>
      <c r="N31" s="2233"/>
      <c r="O31" s="2233"/>
      <c r="P31" s="2227"/>
      <c r="Q31" s="2227"/>
      <c r="R31" s="2227"/>
      <c r="S31" s="2227"/>
      <c r="T31" s="2227"/>
      <c r="U31" s="2227"/>
      <c r="V31" s="2227"/>
      <c r="W31" s="2227"/>
      <c r="X31" s="2227"/>
      <c r="Y31" s="2227"/>
    </row>
    <row r="32" spans="2:25" ht="15">
      <c r="B32" s="2208"/>
      <c r="C32" s="1505"/>
      <c r="D32" s="2219"/>
      <c r="E32" s="2219"/>
      <c r="F32" s="2219"/>
      <c r="G32" s="2231"/>
      <c r="H32" s="2219"/>
      <c r="I32" s="2219"/>
      <c r="J32" s="2219"/>
      <c r="K32" s="2233"/>
      <c r="L32" s="2235"/>
      <c r="M32" s="2233"/>
      <c r="N32" s="2233"/>
      <c r="O32" s="2233"/>
      <c r="P32" s="2227"/>
      <c r="Q32" s="2227"/>
      <c r="R32" s="2227"/>
      <c r="S32" s="2227"/>
      <c r="T32" s="2227"/>
      <c r="U32" s="2227"/>
      <c r="V32" s="2227"/>
      <c r="W32" s="2227"/>
      <c r="X32" s="2227"/>
      <c r="Y32" s="2227"/>
    </row>
    <row r="33" spans="2:25" ht="15">
      <c r="B33" s="2208"/>
      <c r="C33" s="1505"/>
      <c r="D33" s="2219"/>
      <c r="E33" s="2219"/>
      <c r="F33" s="2219"/>
      <c r="G33" s="2231"/>
      <c r="H33" s="2219"/>
      <c r="I33" s="2219"/>
      <c r="J33" s="2219"/>
      <c r="K33" s="2233"/>
      <c r="L33" s="2235"/>
      <c r="M33" s="2233"/>
      <c r="N33" s="2233"/>
      <c r="O33" s="2233"/>
      <c r="P33" s="2227"/>
      <c r="Q33" s="2227"/>
      <c r="R33" s="2227"/>
      <c r="S33" s="2227"/>
      <c r="T33" s="2227"/>
      <c r="U33" s="2227"/>
      <c r="V33" s="2227"/>
      <c r="W33" s="2227"/>
      <c r="X33" s="2227"/>
      <c r="Y33" s="2227"/>
    </row>
    <row r="34" spans="2:25" ht="15">
      <c r="B34" s="2208"/>
      <c r="C34" s="1505"/>
      <c r="D34" s="2219"/>
      <c r="E34" s="2219"/>
      <c r="F34" s="2219"/>
      <c r="G34" s="2231"/>
      <c r="H34" s="2219"/>
      <c r="I34" s="2219"/>
      <c r="J34" s="2219"/>
      <c r="K34" s="2233"/>
      <c r="L34" s="2236"/>
      <c r="M34" s="2233"/>
      <c r="N34" s="2233"/>
      <c r="O34" s="2233"/>
      <c r="P34" s="2228"/>
      <c r="Q34" s="2228"/>
      <c r="R34" s="2228"/>
      <c r="S34" s="2228"/>
      <c r="T34" s="2228"/>
      <c r="U34" s="2228"/>
      <c r="V34" s="2228"/>
      <c r="W34" s="2228"/>
      <c r="X34" s="2228"/>
      <c r="Y34" s="2228"/>
    </row>
    <row r="35" spans="2:25" ht="15">
      <c r="B35" s="2208"/>
      <c r="C35" s="1505"/>
      <c r="D35" s="2219"/>
      <c r="E35" s="2219"/>
      <c r="F35" s="2219"/>
      <c r="G35" s="2231"/>
      <c r="H35" s="2219"/>
      <c r="I35" s="2219"/>
      <c r="J35" s="2219"/>
      <c r="K35" s="2234" t="s">
        <v>998</v>
      </c>
      <c r="L35" s="2234">
        <v>10</v>
      </c>
      <c r="M35" s="2234"/>
      <c r="N35" s="2234" t="s">
        <v>999</v>
      </c>
      <c r="O35" s="2234">
        <v>196</v>
      </c>
      <c r="P35" s="2229"/>
      <c r="Q35" s="2229"/>
      <c r="R35" s="2229"/>
      <c r="S35" s="2229"/>
      <c r="T35" s="2226">
        <v>880000000</v>
      </c>
      <c r="U35" s="2229"/>
      <c r="V35" s="2229"/>
      <c r="W35" s="2229"/>
      <c r="X35" s="2226">
        <v>880000000</v>
      </c>
      <c r="Y35" s="2229" t="s">
        <v>985</v>
      </c>
    </row>
    <row r="36" spans="2:25" ht="15">
      <c r="B36" s="2208"/>
      <c r="C36" s="1505"/>
      <c r="D36" s="2219"/>
      <c r="E36" s="2219"/>
      <c r="F36" s="2219"/>
      <c r="G36" s="2231"/>
      <c r="H36" s="2219"/>
      <c r="I36" s="2219"/>
      <c r="J36" s="2219"/>
      <c r="K36" s="2236"/>
      <c r="L36" s="2236"/>
      <c r="M36" s="2236"/>
      <c r="N36" s="2236"/>
      <c r="O36" s="2236"/>
      <c r="P36" s="2228"/>
      <c r="Q36" s="2228"/>
      <c r="R36" s="2228"/>
      <c r="S36" s="2228"/>
      <c r="T36" s="2228"/>
      <c r="U36" s="2228"/>
      <c r="V36" s="2228"/>
      <c r="W36" s="2228"/>
      <c r="X36" s="2228"/>
      <c r="Y36" s="2228"/>
    </row>
    <row r="37" spans="2:25" ht="15">
      <c r="B37" s="2208"/>
      <c r="C37" s="1505"/>
      <c r="D37" s="2219"/>
      <c r="E37" s="2219"/>
      <c r="F37" s="2219"/>
      <c r="G37" s="2231"/>
      <c r="H37" s="2219"/>
      <c r="I37" s="2219"/>
      <c r="J37" s="2219"/>
      <c r="K37" s="2233" t="s">
        <v>578</v>
      </c>
      <c r="L37" s="2234">
        <v>10</v>
      </c>
      <c r="M37" s="2238">
        <v>1500</v>
      </c>
      <c r="N37" s="2240" t="s">
        <v>580</v>
      </c>
      <c r="O37" s="2234">
        <v>0</v>
      </c>
      <c r="P37" s="2229">
        <v>300</v>
      </c>
      <c r="Q37" s="2229">
        <v>650</v>
      </c>
      <c r="R37" s="2229">
        <v>1050</v>
      </c>
      <c r="S37" s="2229">
        <v>1500</v>
      </c>
      <c r="T37" s="2229">
        <v>0</v>
      </c>
      <c r="U37" s="2226">
        <v>50000000</v>
      </c>
      <c r="V37" s="2226">
        <v>60000000</v>
      </c>
      <c r="W37" s="2226">
        <v>80000000</v>
      </c>
      <c r="X37" s="2226">
        <v>886897590</v>
      </c>
      <c r="Y37" s="2229" t="s">
        <v>985</v>
      </c>
    </row>
    <row r="38" spans="2:25" ht="39" customHeight="1">
      <c r="B38" s="2208"/>
      <c r="C38" s="1505"/>
      <c r="D38" s="2219"/>
      <c r="E38" s="2219"/>
      <c r="F38" s="2219"/>
      <c r="G38" s="2231"/>
      <c r="H38" s="2219"/>
      <c r="I38" s="2219"/>
      <c r="J38" s="2219"/>
      <c r="K38" s="2233"/>
      <c r="L38" s="2236"/>
      <c r="M38" s="2239"/>
      <c r="N38" s="2241"/>
      <c r="O38" s="2236"/>
      <c r="P38" s="2228"/>
      <c r="Q38" s="2228"/>
      <c r="R38" s="2228"/>
      <c r="S38" s="2228"/>
      <c r="T38" s="2228"/>
      <c r="U38" s="2228"/>
      <c r="V38" s="2228"/>
      <c r="W38" s="2228"/>
      <c r="X38" s="2228"/>
      <c r="Y38" s="2228"/>
    </row>
    <row r="39" spans="2:25" ht="21" customHeight="1">
      <c r="B39" s="2208"/>
      <c r="C39" s="1505"/>
      <c r="D39" s="2220"/>
      <c r="E39" s="2220"/>
      <c r="F39" s="2220"/>
      <c r="G39" s="2232"/>
      <c r="H39" s="2220"/>
      <c r="I39" s="2220"/>
      <c r="J39" s="2220"/>
      <c r="K39" s="849" t="s">
        <v>1337</v>
      </c>
      <c r="L39" s="850">
        <f>SUM(L23:L38)</f>
        <v>40</v>
      </c>
      <c r="M39" s="789"/>
      <c r="N39" s="790"/>
      <c r="O39" s="788"/>
      <c r="P39" s="791"/>
      <c r="Q39" s="791"/>
      <c r="R39" s="791"/>
      <c r="S39" s="791"/>
      <c r="T39" s="791"/>
      <c r="U39" s="791"/>
      <c r="V39" s="791"/>
      <c r="W39" s="791"/>
      <c r="X39" s="791"/>
      <c r="Y39" s="791"/>
    </row>
    <row r="40" spans="2:25" ht="15">
      <c r="B40" s="2208"/>
      <c r="C40" s="1505"/>
      <c r="D40" s="2140" t="s">
        <v>1000</v>
      </c>
      <c r="E40" s="2219">
        <v>30</v>
      </c>
      <c r="F40" s="2219"/>
      <c r="G40" s="2219" t="s">
        <v>1001</v>
      </c>
      <c r="H40" s="2242">
        <v>0.2</v>
      </c>
      <c r="I40" s="2242">
        <v>0.4</v>
      </c>
      <c r="J40" s="2234" t="s">
        <v>1002</v>
      </c>
      <c r="K40" s="2233" t="s">
        <v>582</v>
      </c>
      <c r="L40" s="2234">
        <v>8</v>
      </c>
      <c r="M40" s="2243"/>
      <c r="N40" s="2233" t="s">
        <v>583</v>
      </c>
      <c r="O40" s="2234" t="s">
        <v>584</v>
      </c>
      <c r="P40" s="2244"/>
      <c r="Q40" s="2244"/>
      <c r="R40" s="2244"/>
      <c r="S40" s="2244"/>
      <c r="T40" s="2226">
        <v>211897590</v>
      </c>
      <c r="U40" s="2226">
        <v>220000000</v>
      </c>
      <c r="V40" s="2226">
        <v>225000000</v>
      </c>
      <c r="W40" s="2226">
        <v>230000000</v>
      </c>
      <c r="X40" s="2226">
        <v>190000000</v>
      </c>
      <c r="Y40" s="2229" t="s">
        <v>985</v>
      </c>
    </row>
    <row r="41" spans="2:25" ht="15">
      <c r="B41" s="2208"/>
      <c r="C41" s="1505"/>
      <c r="D41" s="2140"/>
      <c r="E41" s="2219"/>
      <c r="F41" s="2219"/>
      <c r="G41" s="2219"/>
      <c r="H41" s="2219"/>
      <c r="I41" s="2219"/>
      <c r="J41" s="2235"/>
      <c r="K41" s="2233"/>
      <c r="L41" s="2236"/>
      <c r="M41" s="2236"/>
      <c r="N41" s="2233"/>
      <c r="O41" s="2236"/>
      <c r="P41" s="2228"/>
      <c r="Q41" s="2228"/>
      <c r="R41" s="2228"/>
      <c r="S41" s="2228"/>
      <c r="T41" s="2228"/>
      <c r="U41" s="2228"/>
      <c r="V41" s="2228"/>
      <c r="W41" s="2228"/>
      <c r="X41" s="2228"/>
      <c r="Y41" s="2228"/>
    </row>
    <row r="42" spans="2:25" ht="90">
      <c r="B42" s="2208"/>
      <c r="C42" s="1505"/>
      <c r="D42" s="2140"/>
      <c r="E42" s="2219"/>
      <c r="F42" s="2219"/>
      <c r="G42" s="2219"/>
      <c r="H42" s="2219"/>
      <c r="I42" s="2219"/>
      <c r="J42" s="2235"/>
      <c r="K42" s="778" t="s">
        <v>1003</v>
      </c>
      <c r="L42" s="778">
        <v>14</v>
      </c>
      <c r="M42" s="779">
        <v>1200</v>
      </c>
      <c r="N42" s="780" t="s">
        <v>586</v>
      </c>
      <c r="O42" s="781">
        <v>600</v>
      </c>
      <c r="P42" s="782">
        <v>900</v>
      </c>
      <c r="Q42" s="782">
        <v>1200</v>
      </c>
      <c r="R42" s="782">
        <v>1500</v>
      </c>
      <c r="S42" s="782">
        <v>1800</v>
      </c>
      <c r="T42" s="782">
        <v>0</v>
      </c>
      <c r="U42" s="783">
        <v>120000000</v>
      </c>
      <c r="V42" s="783">
        <v>120000000</v>
      </c>
      <c r="W42" s="783">
        <v>120000000</v>
      </c>
      <c r="X42" s="783">
        <v>360000000</v>
      </c>
      <c r="Y42" s="782" t="s">
        <v>985</v>
      </c>
    </row>
    <row r="43" spans="2:25" ht="128.25">
      <c r="B43" s="2208"/>
      <c r="C43" s="1506"/>
      <c r="D43" s="2141"/>
      <c r="E43" s="2220"/>
      <c r="F43" s="2220"/>
      <c r="G43" s="2220"/>
      <c r="H43" s="2220"/>
      <c r="I43" s="2220"/>
      <c r="J43" s="2236"/>
      <c r="K43" s="778" t="s">
        <v>585</v>
      </c>
      <c r="L43" s="778">
        <v>8</v>
      </c>
      <c r="M43" s="778">
        <v>1</v>
      </c>
      <c r="N43" s="784" t="s">
        <v>587</v>
      </c>
      <c r="O43" s="778"/>
      <c r="P43" s="785">
        <v>1</v>
      </c>
      <c r="Q43" s="785"/>
      <c r="R43" s="785"/>
      <c r="S43" s="785"/>
      <c r="T43" s="786"/>
      <c r="U43" s="786"/>
      <c r="V43" s="786"/>
      <c r="W43" s="786"/>
      <c r="X43" s="787">
        <v>20000000</v>
      </c>
      <c r="Y43" s="782" t="s">
        <v>985</v>
      </c>
    </row>
    <row r="44" spans="2:25" ht="15">
      <c r="B44" s="836"/>
      <c r="C44" s="836"/>
      <c r="D44" s="836"/>
      <c r="E44" s="836"/>
      <c r="F44" s="836"/>
      <c r="G44" s="836"/>
      <c r="H44" s="836"/>
      <c r="I44" s="836"/>
      <c r="J44" s="836"/>
      <c r="K44" s="853" t="s">
        <v>1337</v>
      </c>
      <c r="L44" s="854">
        <f>SUM(L40:L43)</f>
        <v>30</v>
      </c>
      <c r="M44" s="836"/>
      <c r="N44" s="836"/>
      <c r="O44" s="836"/>
      <c r="P44" s="836"/>
      <c r="Q44" s="836"/>
      <c r="R44" s="836"/>
      <c r="S44" s="836"/>
      <c r="T44" s="836"/>
      <c r="U44" s="836"/>
      <c r="V44" s="836"/>
      <c r="W44" s="232"/>
      <c r="X44" s="233"/>
      <c r="Y44" s="110"/>
    </row>
    <row r="45" spans="2:25" ht="15">
      <c r="B45" s="836"/>
      <c r="C45" s="836"/>
      <c r="D45" s="836"/>
      <c r="E45" s="836"/>
      <c r="F45" s="836"/>
      <c r="G45" s="836"/>
      <c r="H45" s="836"/>
      <c r="I45" s="836"/>
      <c r="J45" s="836"/>
      <c r="K45" s="836" t="s">
        <v>146</v>
      </c>
      <c r="L45" s="848">
        <f>L44+L39+L22</f>
        <v>100</v>
      </c>
      <c r="M45" s="836"/>
      <c r="N45" s="836"/>
      <c r="O45" s="836"/>
      <c r="P45" s="836"/>
      <c r="Q45" s="836"/>
      <c r="R45" s="836"/>
      <c r="S45" s="836"/>
      <c r="T45" s="836"/>
      <c r="U45" s="836"/>
      <c r="V45" s="836"/>
      <c r="W45" s="232" t="s">
        <v>146</v>
      </c>
      <c r="X45" s="233">
        <f>SUM(X16:X44)</f>
        <v>9253569746</v>
      </c>
      <c r="Y45" s="836"/>
    </row>
  </sheetData>
  <sheetProtection/>
  <mergeCells count="132">
    <mergeCell ref="W37:W38"/>
    <mergeCell ref="X37:X38"/>
    <mergeCell ref="X35:X36"/>
    <mergeCell ref="Y35:Y36"/>
    <mergeCell ref="K37:K38"/>
    <mergeCell ref="L37:L38"/>
    <mergeCell ref="J40:J43"/>
    <mergeCell ref="K40:K41"/>
    <mergeCell ref="L40:L41"/>
    <mergeCell ref="W35:W36"/>
    <mergeCell ref="R40:R41"/>
    <mergeCell ref="S40:S41"/>
    <mergeCell ref="T40:T41"/>
    <mergeCell ref="U40:U41"/>
    <mergeCell ref="U37:U38"/>
    <mergeCell ref="V37:V38"/>
    <mergeCell ref="T13:T14"/>
    <mergeCell ref="U13:U14"/>
    <mergeCell ref="Y13:Y14"/>
    <mergeCell ref="V13:V14"/>
    <mergeCell ref="W13:W14"/>
    <mergeCell ref="X13:X14"/>
    <mergeCell ref="Y37:Y38"/>
    <mergeCell ref="L35:L36"/>
    <mergeCell ref="M35:M36"/>
    <mergeCell ref="N35:N36"/>
    <mergeCell ref="O35:O36"/>
    <mergeCell ref="P35:P36"/>
    <mergeCell ref="Q35:Q36"/>
    <mergeCell ref="R35:R36"/>
    <mergeCell ref="S37:S38"/>
    <mergeCell ref="T37:T38"/>
    <mergeCell ref="D10:Y10"/>
    <mergeCell ref="M40:M41"/>
    <mergeCell ref="N40:N41"/>
    <mergeCell ref="O40:O41"/>
    <mergeCell ref="V40:V41"/>
    <mergeCell ref="W40:W41"/>
    <mergeCell ref="X40:X41"/>
    <mergeCell ref="Y40:Y41"/>
    <mergeCell ref="P40:P41"/>
    <mergeCell ref="Q40:Q41"/>
    <mergeCell ref="D40:D43"/>
    <mergeCell ref="E40:E43"/>
    <mergeCell ref="F40:F43"/>
    <mergeCell ref="G40:G43"/>
    <mergeCell ref="H40:H43"/>
    <mergeCell ref="I40:I43"/>
    <mergeCell ref="W30:W34"/>
    <mergeCell ref="X30:X34"/>
    <mergeCell ref="Y30:Y34"/>
    <mergeCell ref="O23:O29"/>
    <mergeCell ref="P23:P29"/>
    <mergeCell ref="Q23:Q29"/>
    <mergeCell ref="R23:R29"/>
    <mergeCell ref="S23:S29"/>
    <mergeCell ref="W23:W29"/>
    <mergeCell ref="J23:J39"/>
    <mergeCell ref="Q37:Q38"/>
    <mergeCell ref="R37:R38"/>
    <mergeCell ref="M37:M38"/>
    <mergeCell ref="N37:N38"/>
    <mergeCell ref="O37:O38"/>
    <mergeCell ref="P37:P38"/>
    <mergeCell ref="I15:I21"/>
    <mergeCell ref="J15:J21"/>
    <mergeCell ref="X23:X29"/>
    <mergeCell ref="V23:V29"/>
    <mergeCell ref="Y23:Y29"/>
    <mergeCell ref="N30:N34"/>
    <mergeCell ref="O30:O34"/>
    <mergeCell ref="P30:P34"/>
    <mergeCell ref="Q30:Q34"/>
    <mergeCell ref="R30:R34"/>
    <mergeCell ref="V35:V36"/>
    <mergeCell ref="K30:K34"/>
    <mergeCell ref="L30:L34"/>
    <mergeCell ref="M30:M34"/>
    <mergeCell ref="K35:K36"/>
    <mergeCell ref="N23:N29"/>
    <mergeCell ref="S30:S34"/>
    <mergeCell ref="T30:T34"/>
    <mergeCell ref="U30:U34"/>
    <mergeCell ref="V30:V34"/>
    <mergeCell ref="K13:K14"/>
    <mergeCell ref="L13:L14"/>
    <mergeCell ref="M13:M14"/>
    <mergeCell ref="N13:N14"/>
    <mergeCell ref="O13:O14"/>
    <mergeCell ref="K23:K29"/>
    <mergeCell ref="L23:L29"/>
    <mergeCell ref="M23:M29"/>
    <mergeCell ref="J13:J14"/>
    <mergeCell ref="D23:D39"/>
    <mergeCell ref="E23:E39"/>
    <mergeCell ref="T23:T29"/>
    <mergeCell ref="U23:U29"/>
    <mergeCell ref="S35:S36"/>
    <mergeCell ref="T35:T36"/>
    <mergeCell ref="U35:U36"/>
    <mergeCell ref="F23:F39"/>
    <mergeCell ref="G23:G39"/>
    <mergeCell ref="K12:O12"/>
    <mergeCell ref="T12:X12"/>
    <mergeCell ref="B13:B14"/>
    <mergeCell ref="C13:C14"/>
    <mergeCell ref="D13:D14"/>
    <mergeCell ref="E13:E14"/>
    <mergeCell ref="F13:F14"/>
    <mergeCell ref="G13:G14"/>
    <mergeCell ref="H13:H14"/>
    <mergeCell ref="I13:I14"/>
    <mergeCell ref="B15:B43"/>
    <mergeCell ref="C15:C43"/>
    <mergeCell ref="D15:D21"/>
    <mergeCell ref="E15:E21"/>
    <mergeCell ref="F15:F21"/>
    <mergeCell ref="D12:I12"/>
    <mergeCell ref="H23:H39"/>
    <mergeCell ref="I23:I39"/>
    <mergeCell ref="G15:G21"/>
    <mergeCell ref="H15:H21"/>
    <mergeCell ref="B2:G6"/>
    <mergeCell ref="H2:S4"/>
    <mergeCell ref="N9:X9"/>
    <mergeCell ref="T2:Y4"/>
    <mergeCell ref="H5:S5"/>
    <mergeCell ref="T5:Y5"/>
    <mergeCell ref="H6:S6"/>
    <mergeCell ref="T6:Y6"/>
    <mergeCell ref="J8:M8"/>
    <mergeCell ref="N8:X8"/>
  </mergeCells>
  <printOptions/>
  <pageMargins left="1.02" right="0.7086614173228347" top="0.7480314960629921" bottom="0.7480314960629921" header="0.31496062992125984" footer="0.31496062992125984"/>
  <pageSetup horizontalDpi="600" verticalDpi="600" orientation="landscape" paperSize="5" scale="55"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Y52"/>
  <sheetViews>
    <sheetView showGridLines="0" showRowColHeaders="0" zoomScalePageLayoutView="0" workbookViewId="0" topLeftCell="A7">
      <pane ySplit="8" topLeftCell="A15" activePane="bottomLeft" state="frozen"/>
      <selection pane="topLeft" activeCell="A7" sqref="A7"/>
      <selection pane="bottomLeft" activeCell="O21" sqref="O21"/>
    </sheetView>
  </sheetViews>
  <sheetFormatPr defaultColWidth="11.421875" defaultRowHeight="15"/>
  <cols>
    <col min="1" max="1" width="2.7109375" style="0" customWidth="1"/>
    <col min="4" max="4" width="12.8515625" style="0" customWidth="1"/>
    <col min="12" max="12" width="7.28125" style="0" customWidth="1"/>
    <col min="13" max="13" width="9.57421875" style="0" customWidth="1"/>
    <col min="19" max="19" width="8.7109375" style="0" customWidth="1"/>
    <col min="20" max="20" width="5.8515625" style="0" customWidth="1"/>
    <col min="21" max="22" width="7.8515625" style="0" customWidth="1"/>
    <col min="23" max="23" width="7.00390625" style="0" customWidth="1"/>
    <col min="24" max="24" width="8.28125" style="0" customWidth="1"/>
    <col min="25" max="25" width="12.57421875" style="0" customWidth="1"/>
  </cols>
  <sheetData>
    <row r="1" spans="2:25" ht="15">
      <c r="B1" s="3"/>
      <c r="C1" s="255"/>
      <c r="D1" s="3"/>
      <c r="E1" s="256"/>
      <c r="F1" s="3"/>
      <c r="G1" s="3"/>
      <c r="H1" s="3"/>
      <c r="I1" s="3"/>
      <c r="J1" s="3"/>
      <c r="K1" s="3"/>
      <c r="L1" s="256"/>
      <c r="M1" s="3"/>
      <c r="N1" s="3"/>
      <c r="O1" s="257"/>
      <c r="P1" s="257"/>
      <c r="Q1" s="257"/>
      <c r="R1" s="258"/>
      <c r="S1" s="257"/>
      <c r="T1" s="3"/>
      <c r="U1" s="3"/>
      <c r="V1" s="3"/>
      <c r="W1" s="3"/>
      <c r="X1" s="3"/>
      <c r="Y1" s="259"/>
    </row>
    <row r="2" spans="2:25" ht="15">
      <c r="B2" s="1366"/>
      <c r="C2" s="1366"/>
      <c r="D2" s="1366"/>
      <c r="E2" s="1366"/>
      <c r="F2" s="1366"/>
      <c r="G2" s="1366"/>
      <c r="H2" s="1365" t="s">
        <v>148</v>
      </c>
      <c r="I2" s="1365"/>
      <c r="J2" s="1365"/>
      <c r="K2" s="1365"/>
      <c r="L2" s="1365"/>
      <c r="M2" s="1365"/>
      <c r="N2" s="1365"/>
      <c r="O2" s="1365"/>
      <c r="P2" s="1365"/>
      <c r="Q2" s="1365"/>
      <c r="R2" s="1365"/>
      <c r="S2" s="1365"/>
      <c r="T2" s="1365" t="s">
        <v>149</v>
      </c>
      <c r="U2" s="1366"/>
      <c r="V2" s="1366"/>
      <c r="W2" s="1366"/>
      <c r="X2" s="1366"/>
      <c r="Y2" s="1366"/>
    </row>
    <row r="3" spans="2:25" ht="15">
      <c r="B3" s="1366"/>
      <c r="C3" s="1366"/>
      <c r="D3" s="1366"/>
      <c r="E3" s="1366"/>
      <c r="F3" s="1366"/>
      <c r="G3" s="1366"/>
      <c r="H3" s="1365"/>
      <c r="I3" s="1365"/>
      <c r="J3" s="1365"/>
      <c r="K3" s="1365"/>
      <c r="L3" s="1365"/>
      <c r="M3" s="1365"/>
      <c r="N3" s="1365"/>
      <c r="O3" s="1365"/>
      <c r="P3" s="1365"/>
      <c r="Q3" s="1365"/>
      <c r="R3" s="1365"/>
      <c r="S3" s="1365"/>
      <c r="T3" s="1366"/>
      <c r="U3" s="1366"/>
      <c r="V3" s="1366"/>
      <c r="W3" s="1366"/>
      <c r="X3" s="1366"/>
      <c r="Y3" s="1366"/>
    </row>
    <row r="4" spans="2:25" ht="15">
      <c r="B4" s="1366"/>
      <c r="C4" s="1366"/>
      <c r="D4" s="1366"/>
      <c r="E4" s="1366"/>
      <c r="F4" s="1366"/>
      <c r="G4" s="1366"/>
      <c r="H4" s="1365"/>
      <c r="I4" s="1365"/>
      <c r="J4" s="1365"/>
      <c r="K4" s="1365"/>
      <c r="L4" s="1365"/>
      <c r="M4" s="1365"/>
      <c r="N4" s="1365"/>
      <c r="O4" s="1365"/>
      <c r="P4" s="1365"/>
      <c r="Q4" s="1365"/>
      <c r="R4" s="1365"/>
      <c r="S4" s="1365"/>
      <c r="T4" s="1366"/>
      <c r="U4" s="1366"/>
      <c r="V4" s="1366"/>
      <c r="W4" s="1366"/>
      <c r="X4" s="1366"/>
      <c r="Y4" s="13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8" spans="2:25" ht="15">
      <c r="B8" s="1366"/>
      <c r="C8" s="1366"/>
      <c r="D8" s="1366"/>
      <c r="E8" s="1366"/>
      <c r="F8" s="1366"/>
      <c r="G8" s="1366"/>
      <c r="H8" s="1465" t="s">
        <v>148</v>
      </c>
      <c r="I8" s="1465"/>
      <c r="J8" s="1465"/>
      <c r="K8" s="1465"/>
      <c r="L8" s="1465"/>
      <c r="M8" s="1465"/>
      <c r="N8" s="1465"/>
      <c r="O8" s="1465"/>
      <c r="P8" s="1465"/>
      <c r="Q8" s="1465"/>
      <c r="R8" s="1465"/>
      <c r="S8" s="1465"/>
      <c r="T8" s="1465" t="s">
        <v>149</v>
      </c>
      <c r="U8" s="1466"/>
      <c r="V8" s="1466"/>
      <c r="W8" s="1466"/>
      <c r="X8" s="1466"/>
      <c r="Y8" s="1466"/>
    </row>
    <row r="9" spans="2:25" ht="22.5" customHeight="1">
      <c r="B9" s="1366"/>
      <c r="C9" s="1366"/>
      <c r="D9" s="1366"/>
      <c r="E9" s="1366"/>
      <c r="F9" s="1366"/>
      <c r="G9" s="1366"/>
      <c r="H9" s="1465"/>
      <c r="I9" s="1465"/>
      <c r="J9" s="1465"/>
      <c r="K9" s="1465"/>
      <c r="L9" s="1465"/>
      <c r="M9" s="1465"/>
      <c r="N9" s="1465"/>
      <c r="O9" s="1465"/>
      <c r="P9" s="1465"/>
      <c r="Q9" s="1465"/>
      <c r="R9" s="1465"/>
      <c r="S9" s="1465"/>
      <c r="T9" s="1466"/>
      <c r="U9" s="1466"/>
      <c r="V9" s="1466"/>
      <c r="W9" s="1466"/>
      <c r="X9" s="1466"/>
      <c r="Y9" s="1466"/>
    </row>
    <row r="10" spans="2:25" ht="15">
      <c r="B10" s="1366"/>
      <c r="C10" s="1366"/>
      <c r="D10" s="1366"/>
      <c r="E10" s="1366"/>
      <c r="F10" s="1366"/>
      <c r="G10" s="1366"/>
      <c r="H10" s="1465"/>
      <c r="I10" s="1465"/>
      <c r="J10" s="1465"/>
      <c r="K10" s="1465"/>
      <c r="L10" s="1465"/>
      <c r="M10" s="1465"/>
      <c r="N10" s="1465"/>
      <c r="O10" s="1465"/>
      <c r="P10" s="1465"/>
      <c r="Q10" s="1465"/>
      <c r="R10" s="1465"/>
      <c r="S10" s="1465"/>
      <c r="T10" s="1466"/>
      <c r="U10" s="1466"/>
      <c r="V10" s="1466"/>
      <c r="W10" s="1466"/>
      <c r="X10" s="1466"/>
      <c r="Y10" s="1466"/>
    </row>
    <row r="11" spans="2:25" ht="20.25">
      <c r="B11" s="1366"/>
      <c r="C11" s="1366"/>
      <c r="D11" s="1366"/>
      <c r="E11" s="1366"/>
      <c r="F11" s="1366"/>
      <c r="G11" s="1366"/>
      <c r="H11" s="1365" t="s">
        <v>150</v>
      </c>
      <c r="I11" s="1384"/>
      <c r="J11" s="1384"/>
      <c r="K11" s="1384"/>
      <c r="L11" s="1384"/>
      <c r="M11" s="1384"/>
      <c r="N11" s="1384"/>
      <c r="O11" s="1384"/>
      <c r="P11" s="1384"/>
      <c r="Q11" s="1384"/>
      <c r="R11" s="1384"/>
      <c r="S11" s="1384"/>
      <c r="T11" s="1365" t="s">
        <v>151</v>
      </c>
      <c r="U11" s="1366"/>
      <c r="V11" s="1366"/>
      <c r="W11" s="1366"/>
      <c r="X11" s="1366"/>
      <c r="Y11" s="1366"/>
    </row>
    <row r="12" spans="2:25" ht="20.25">
      <c r="B12" s="1366"/>
      <c r="C12" s="1366"/>
      <c r="D12" s="1366"/>
      <c r="E12" s="1366"/>
      <c r="F12" s="1366"/>
      <c r="G12" s="1366"/>
      <c r="H12" s="1365" t="s">
        <v>152</v>
      </c>
      <c r="I12" s="1384"/>
      <c r="J12" s="1384"/>
      <c r="K12" s="1384"/>
      <c r="L12" s="1384"/>
      <c r="M12" s="1384"/>
      <c r="N12" s="1384"/>
      <c r="O12" s="1384"/>
      <c r="P12" s="1384"/>
      <c r="Q12" s="1384"/>
      <c r="R12" s="1384"/>
      <c r="S12" s="1384"/>
      <c r="T12" s="1365" t="s">
        <v>153</v>
      </c>
      <c r="U12" s="1366"/>
      <c r="V12" s="1366"/>
      <c r="W12" s="1366"/>
      <c r="X12" s="1366"/>
      <c r="Y12" s="1366"/>
    </row>
    <row r="13" spans="2:25" s="577" customFormat="1" ht="15">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1010"/>
    </row>
    <row r="14" spans="2:25" s="1081" customFormat="1" ht="15">
      <c r="B14" s="1090" t="s">
        <v>1372</v>
      </c>
      <c r="C14" s="1088" t="s">
        <v>1376</v>
      </c>
      <c r="D14" s="1088"/>
      <c r="E14" s="1088"/>
      <c r="F14" s="1088"/>
      <c r="G14" s="1088"/>
      <c r="H14" s="1088"/>
      <c r="I14" s="1088"/>
      <c r="J14" s="1088"/>
      <c r="K14" s="1088"/>
      <c r="L14" s="1088"/>
      <c r="M14" s="1088"/>
      <c r="N14" s="2252"/>
      <c r="O14" s="2252"/>
      <c r="P14" s="2252"/>
      <c r="Q14" s="2252"/>
      <c r="R14" s="2252"/>
      <c r="S14" s="2252"/>
      <c r="T14" s="2252"/>
      <c r="U14" s="2252"/>
      <c r="V14" s="2252"/>
      <c r="W14" s="2252"/>
      <c r="X14" s="2252"/>
      <c r="Y14" s="1089"/>
    </row>
    <row r="15" spans="2:25" s="577" customFormat="1" ht="17.25" customHeight="1">
      <c r="B15" s="1090" t="s">
        <v>1414</v>
      </c>
      <c r="C15" s="2275" t="s">
        <v>1415</v>
      </c>
      <c r="D15" s="2276"/>
      <c r="E15" s="2276"/>
      <c r="F15" s="2276"/>
      <c r="G15" s="2276"/>
      <c r="H15" s="2276"/>
      <c r="I15" s="2276"/>
      <c r="J15" s="2276"/>
      <c r="K15" s="2276"/>
      <c r="L15" s="2276"/>
      <c r="M15" s="2276"/>
      <c r="N15" s="2276"/>
      <c r="O15" s="2276"/>
      <c r="P15" s="2276"/>
      <c r="Q15" s="2276"/>
      <c r="R15" s="2276"/>
      <c r="S15" s="2276"/>
      <c r="T15" s="2276"/>
      <c r="U15" s="2276"/>
      <c r="V15" s="2276"/>
      <c r="W15" s="2276"/>
      <c r="X15" s="2276"/>
      <c r="Y15" s="2277"/>
    </row>
    <row r="16" spans="2:25" s="577" customFormat="1" ht="24">
      <c r="B16" s="1091" t="s">
        <v>1387</v>
      </c>
      <c r="C16" s="2253" t="s">
        <v>1393</v>
      </c>
      <c r="D16" s="2253"/>
      <c r="E16" s="2253"/>
      <c r="F16" s="2253"/>
      <c r="G16" s="2253"/>
      <c r="H16" s="2253"/>
      <c r="I16" s="2253"/>
      <c r="J16" s="2253"/>
      <c r="K16" s="2253"/>
      <c r="L16" s="2253"/>
      <c r="M16" s="2253"/>
      <c r="N16" s="2253"/>
      <c r="O16" s="2253"/>
      <c r="P16" s="2253"/>
      <c r="Q16" s="2253"/>
      <c r="R16" s="2253"/>
      <c r="S16" s="2253"/>
      <c r="T16" s="2253"/>
      <c r="U16" s="2253"/>
      <c r="V16" s="2253"/>
      <c r="W16" s="2253"/>
      <c r="X16" s="2253"/>
      <c r="Y16" s="2254"/>
    </row>
    <row r="17" spans="2:25" s="577" customFormat="1" ht="15">
      <c r="B17" s="264"/>
      <c r="C17" s="264"/>
      <c r="D17" s="264"/>
      <c r="E17" s="264"/>
      <c r="F17" s="264"/>
      <c r="G17" s="1082"/>
      <c r="H17" s="264"/>
      <c r="I17" s="264"/>
      <c r="J17" s="264"/>
      <c r="K17" s="264"/>
      <c r="L17" s="264"/>
      <c r="M17" s="264"/>
      <c r="N17" s="970"/>
      <c r="O17" s="1083"/>
      <c r="P17" s="1083"/>
      <c r="Q17" s="1083"/>
      <c r="R17" s="1084"/>
      <c r="S17" s="1083"/>
      <c r="T17" s="970"/>
      <c r="U17" s="970"/>
      <c r="V17" s="970"/>
      <c r="W17" s="970"/>
      <c r="X17" s="970"/>
      <c r="Y17" s="1080"/>
    </row>
    <row r="18" spans="2:25" s="577" customFormat="1" ht="15">
      <c r="B18" s="264"/>
      <c r="C18" s="264"/>
      <c r="D18" s="264"/>
      <c r="E18" s="264"/>
      <c r="F18" s="264"/>
      <c r="G18" s="1082"/>
      <c r="H18" s="264"/>
      <c r="I18" s="264"/>
      <c r="J18" s="264"/>
      <c r="K18" s="264"/>
      <c r="L18" s="264"/>
      <c r="M18" s="264"/>
      <c r="N18" s="264"/>
      <c r="O18" s="1085"/>
      <c r="P18" s="1085"/>
      <c r="Q18" s="1085"/>
      <c r="R18" s="1086"/>
      <c r="S18" s="1085"/>
      <c r="T18" s="264"/>
      <c r="U18" s="264"/>
      <c r="V18" s="264"/>
      <c r="W18" s="264"/>
      <c r="X18" s="264"/>
      <c r="Y18" s="264"/>
    </row>
    <row r="19" spans="2:25" s="577" customFormat="1" ht="15">
      <c r="B19" s="2247"/>
      <c r="C19" s="2247"/>
      <c r="D19" s="2247"/>
      <c r="E19" s="2247"/>
      <c r="F19" s="2247"/>
      <c r="G19" s="1615" t="s">
        <v>1010</v>
      </c>
      <c r="H19" s="1616"/>
      <c r="I19" s="1616"/>
      <c r="J19" s="2247"/>
      <c r="K19" s="2247"/>
      <c r="L19" s="2247"/>
      <c r="M19" s="2247"/>
      <c r="N19" s="1624" t="s">
        <v>1011</v>
      </c>
      <c r="O19" s="1624"/>
      <c r="P19" s="1624"/>
      <c r="Q19" s="1624"/>
      <c r="R19" s="1624"/>
      <c r="S19" s="1624"/>
      <c r="T19" s="1624" t="s">
        <v>1012</v>
      </c>
      <c r="U19" s="1624"/>
      <c r="V19" s="1624"/>
      <c r="W19" s="1624"/>
      <c r="X19" s="1624"/>
      <c r="Y19" s="1087"/>
    </row>
    <row r="20" spans="2:25" ht="45">
      <c r="B20" s="1625" t="s">
        <v>1013</v>
      </c>
      <c r="C20" s="1626" t="s">
        <v>1014</v>
      </c>
      <c r="D20" s="1625" t="s">
        <v>1015</v>
      </c>
      <c r="E20" s="1626" t="s">
        <v>140</v>
      </c>
      <c r="F20" s="2255" t="s">
        <v>141</v>
      </c>
      <c r="G20" s="2248" t="s">
        <v>1016</v>
      </c>
      <c r="H20" s="2250" t="s">
        <v>142</v>
      </c>
      <c r="I20" s="2250" t="s">
        <v>143</v>
      </c>
      <c r="J20" s="1628" t="s">
        <v>1017</v>
      </c>
      <c r="K20" s="1628" t="s">
        <v>1018</v>
      </c>
      <c r="L20" s="1626" t="s">
        <v>140</v>
      </c>
      <c r="M20" s="265" t="s">
        <v>1019</v>
      </c>
      <c r="N20" s="1625" t="s">
        <v>104</v>
      </c>
      <c r="O20" s="266" t="s">
        <v>142</v>
      </c>
      <c r="P20" s="266" t="s">
        <v>144</v>
      </c>
      <c r="Q20" s="266" t="s">
        <v>144</v>
      </c>
      <c r="R20" s="267" t="s">
        <v>145</v>
      </c>
      <c r="S20" s="266" t="s">
        <v>144</v>
      </c>
      <c r="T20" s="1625">
        <v>2012</v>
      </c>
      <c r="U20" s="1625">
        <v>2013</v>
      </c>
      <c r="V20" s="1625">
        <v>2014</v>
      </c>
      <c r="W20" s="1625">
        <v>2015</v>
      </c>
      <c r="X20" s="1625" t="s">
        <v>146</v>
      </c>
      <c r="Y20" s="1625" t="s">
        <v>147</v>
      </c>
    </row>
    <row r="21" spans="2:25" ht="15">
      <c r="B21" s="1625"/>
      <c r="C21" s="1627"/>
      <c r="D21" s="1625"/>
      <c r="E21" s="1627"/>
      <c r="F21" s="2256"/>
      <c r="G21" s="2249"/>
      <c r="H21" s="2251"/>
      <c r="I21" s="2251"/>
      <c r="J21" s="1629"/>
      <c r="K21" s="1629"/>
      <c r="L21" s="1627"/>
      <c r="M21" s="998" t="s">
        <v>1020</v>
      </c>
      <c r="N21" s="1625"/>
      <c r="O21" s="860">
        <v>2011</v>
      </c>
      <c r="P21" s="860">
        <v>2012</v>
      </c>
      <c r="Q21" s="860">
        <v>2013</v>
      </c>
      <c r="R21" s="860">
        <v>2014</v>
      </c>
      <c r="S21" s="860">
        <v>2015</v>
      </c>
      <c r="T21" s="1625"/>
      <c r="U21" s="1625"/>
      <c r="V21" s="1625"/>
      <c r="W21" s="1625"/>
      <c r="X21" s="1625"/>
      <c r="Y21" s="1625"/>
    </row>
    <row r="22" spans="2:25" ht="36">
      <c r="B22" s="1630" t="s">
        <v>1021</v>
      </c>
      <c r="C22" s="2259" t="s">
        <v>1022</v>
      </c>
      <c r="D22" s="2261" t="s">
        <v>602</v>
      </c>
      <c r="E22" s="2278">
        <v>0.5</v>
      </c>
      <c r="F22" s="909"/>
      <c r="G22" s="909"/>
      <c r="H22" s="909"/>
      <c r="I22" s="909"/>
      <c r="J22" s="2264" t="s">
        <v>603</v>
      </c>
      <c r="K22" s="268" t="s">
        <v>608</v>
      </c>
      <c r="L22" s="471">
        <v>0.3</v>
      </c>
      <c r="M22" s="300">
        <v>10000</v>
      </c>
      <c r="N22" s="270" t="s">
        <v>614</v>
      </c>
      <c r="O22" s="271" t="s">
        <v>1023</v>
      </c>
      <c r="P22" s="272">
        <v>149000</v>
      </c>
      <c r="Q22" s="272">
        <v>152000</v>
      </c>
      <c r="R22" s="272">
        <v>156000</v>
      </c>
      <c r="S22" s="272">
        <v>159000</v>
      </c>
      <c r="T22" s="269">
        <v>6658</v>
      </c>
      <c r="U22" s="273">
        <v>15510</v>
      </c>
      <c r="V22" s="274">
        <v>15550</v>
      </c>
      <c r="W22" s="274">
        <v>15798</v>
      </c>
      <c r="X22" s="275">
        <v>53516</v>
      </c>
      <c r="Y22" s="1630" t="s">
        <v>1024</v>
      </c>
    </row>
    <row r="23" spans="2:25" ht="72">
      <c r="B23" s="1642"/>
      <c r="C23" s="2260"/>
      <c r="D23" s="2262"/>
      <c r="E23" s="2279"/>
      <c r="F23" s="911"/>
      <c r="G23" s="912" t="s">
        <v>1025</v>
      </c>
      <c r="H23" s="913"/>
      <c r="I23" s="913"/>
      <c r="J23" s="2265"/>
      <c r="K23" s="268" t="s">
        <v>609</v>
      </c>
      <c r="L23" s="471">
        <v>0.1</v>
      </c>
      <c r="M23" s="300">
        <v>2000</v>
      </c>
      <c r="N23" s="270" t="s">
        <v>615</v>
      </c>
      <c r="O23" s="272" t="s">
        <v>1026</v>
      </c>
      <c r="P23" s="272">
        <v>260</v>
      </c>
      <c r="Q23" s="272">
        <v>860</v>
      </c>
      <c r="R23" s="272">
        <v>1560</v>
      </c>
      <c r="S23" s="272">
        <v>2260</v>
      </c>
      <c r="T23" s="269">
        <v>300</v>
      </c>
      <c r="U23" s="277">
        <v>200</v>
      </c>
      <c r="V23" s="277">
        <v>200</v>
      </c>
      <c r="W23" s="277">
        <v>200</v>
      </c>
      <c r="X23" s="277">
        <v>900</v>
      </c>
      <c r="Y23" s="1642"/>
    </row>
    <row r="24" spans="2:25" ht="15">
      <c r="B24" s="1642"/>
      <c r="C24" s="2260"/>
      <c r="D24" s="2262"/>
      <c r="E24" s="2279"/>
      <c r="F24" s="911"/>
      <c r="G24" s="914"/>
      <c r="H24" s="911"/>
      <c r="I24" s="911"/>
      <c r="J24" s="2265"/>
      <c r="K24" s="1630" t="s">
        <v>610</v>
      </c>
      <c r="L24" s="1640">
        <v>0.03</v>
      </c>
      <c r="M24" s="1630">
        <v>4</v>
      </c>
      <c r="N24" s="1630" t="s">
        <v>616</v>
      </c>
      <c r="O24" s="2257" t="s">
        <v>1027</v>
      </c>
      <c r="P24" s="2257" t="s">
        <v>1028</v>
      </c>
      <c r="Q24" s="2257">
        <v>2</v>
      </c>
      <c r="R24" s="2257">
        <v>4</v>
      </c>
      <c r="S24" s="2257">
        <v>4</v>
      </c>
      <c r="T24" s="1630" t="s">
        <v>1029</v>
      </c>
      <c r="U24" s="1630">
        <v>200</v>
      </c>
      <c r="V24" s="1630">
        <v>200</v>
      </c>
      <c r="W24" s="1630" t="s">
        <v>1029</v>
      </c>
      <c r="X24" s="1630">
        <v>400</v>
      </c>
      <c r="Y24" s="1642"/>
    </row>
    <row r="25" spans="2:25" ht="15">
      <c r="B25" s="1642"/>
      <c r="C25" s="2260"/>
      <c r="D25" s="2262"/>
      <c r="E25" s="2279"/>
      <c r="F25" s="913"/>
      <c r="G25" s="912"/>
      <c r="H25" s="913"/>
      <c r="I25" s="913"/>
      <c r="J25" s="2265"/>
      <c r="K25" s="1631"/>
      <c r="L25" s="1631"/>
      <c r="M25" s="1631"/>
      <c r="N25" s="1631"/>
      <c r="O25" s="2258"/>
      <c r="P25" s="2258"/>
      <c r="Q25" s="2258"/>
      <c r="R25" s="2258"/>
      <c r="S25" s="2258"/>
      <c r="T25" s="1631"/>
      <c r="U25" s="1631"/>
      <c r="V25" s="1631"/>
      <c r="W25" s="1631"/>
      <c r="X25" s="1631"/>
      <c r="Y25" s="1642"/>
    </row>
    <row r="26" spans="2:25" ht="45">
      <c r="B26" s="1642"/>
      <c r="C26" s="2260"/>
      <c r="D26" s="2262"/>
      <c r="E26" s="2279"/>
      <c r="F26" s="915"/>
      <c r="G26" s="910"/>
      <c r="H26" s="915"/>
      <c r="I26" s="915"/>
      <c r="J26" s="2265"/>
      <c r="K26" s="268" t="s">
        <v>611</v>
      </c>
      <c r="L26" s="471">
        <v>0.02</v>
      </c>
      <c r="M26" s="254">
        <v>2</v>
      </c>
      <c r="N26" s="276" t="s">
        <v>617</v>
      </c>
      <c r="O26" s="279" t="s">
        <v>1030</v>
      </c>
      <c r="P26" s="279" t="s">
        <v>1030</v>
      </c>
      <c r="Q26" s="279">
        <v>1</v>
      </c>
      <c r="R26" s="279">
        <v>2</v>
      </c>
      <c r="S26" s="279">
        <v>2</v>
      </c>
      <c r="T26" s="280">
        <v>30</v>
      </c>
      <c r="U26" s="281">
        <v>270</v>
      </c>
      <c r="V26" s="281">
        <v>100</v>
      </c>
      <c r="W26" s="281">
        <v>100</v>
      </c>
      <c r="X26" s="281">
        <v>500</v>
      </c>
      <c r="Y26" s="1642"/>
    </row>
    <row r="27" spans="2:25" ht="36">
      <c r="B27" s="1642"/>
      <c r="C27" s="2260"/>
      <c r="D27" s="2262"/>
      <c r="E27" s="2279"/>
      <c r="F27" s="916" t="s">
        <v>1031</v>
      </c>
      <c r="G27" s="270" t="s">
        <v>826</v>
      </c>
      <c r="H27" s="941" t="s">
        <v>1032</v>
      </c>
      <c r="I27" s="941" t="s">
        <v>1033</v>
      </c>
      <c r="J27" s="2265"/>
      <c r="K27" s="268" t="s">
        <v>612</v>
      </c>
      <c r="L27" s="471">
        <v>0.03</v>
      </c>
      <c r="M27" s="247">
        <v>4</v>
      </c>
      <c r="N27" s="283" t="s">
        <v>618</v>
      </c>
      <c r="O27" s="272" t="s">
        <v>1030</v>
      </c>
      <c r="P27" s="272" t="s">
        <v>1034</v>
      </c>
      <c r="Q27" s="272">
        <v>2</v>
      </c>
      <c r="R27" s="272">
        <v>3</v>
      </c>
      <c r="S27" s="272">
        <v>4</v>
      </c>
      <c r="T27" s="269">
        <v>100</v>
      </c>
      <c r="U27" s="277">
        <v>100</v>
      </c>
      <c r="V27" s="277">
        <v>100</v>
      </c>
      <c r="W27" s="277" t="s">
        <v>1029</v>
      </c>
      <c r="X27" s="277">
        <v>300</v>
      </c>
      <c r="Y27" s="1642"/>
    </row>
    <row r="28" spans="2:25" ht="54">
      <c r="B28" s="1642"/>
      <c r="C28" s="2260"/>
      <c r="D28" s="2262"/>
      <c r="E28" s="2279"/>
      <c r="F28" s="918">
        <v>10000</v>
      </c>
      <c r="G28" s="270" t="s">
        <v>128</v>
      </c>
      <c r="H28" s="941">
        <v>3940</v>
      </c>
      <c r="I28" s="942">
        <v>13940</v>
      </c>
      <c r="J28" s="2265"/>
      <c r="K28" s="268" t="s">
        <v>613</v>
      </c>
      <c r="L28" s="471">
        <v>0.02</v>
      </c>
      <c r="M28" s="247">
        <v>60</v>
      </c>
      <c r="N28" s="270" t="s">
        <v>619</v>
      </c>
      <c r="O28" s="272" t="s">
        <v>1030</v>
      </c>
      <c r="P28" s="272" t="s">
        <v>1030</v>
      </c>
      <c r="Q28" s="272">
        <v>60</v>
      </c>
      <c r="R28" s="272">
        <v>60</v>
      </c>
      <c r="S28" s="272">
        <v>60</v>
      </c>
      <c r="T28" s="269">
        <v>180</v>
      </c>
      <c r="U28" s="270">
        <v>60</v>
      </c>
      <c r="V28" s="270" t="s">
        <v>1029</v>
      </c>
      <c r="W28" s="270" t="s">
        <v>1029</v>
      </c>
      <c r="X28" s="270">
        <v>240</v>
      </c>
      <c r="Y28" s="1631"/>
    </row>
    <row r="29" spans="2:25" ht="63">
      <c r="B29" s="1642"/>
      <c r="C29" s="2260"/>
      <c r="D29" s="2262"/>
      <c r="E29" s="2279"/>
      <c r="F29" s="916" t="s">
        <v>1035</v>
      </c>
      <c r="G29" s="270" t="s">
        <v>129</v>
      </c>
      <c r="H29" s="941" t="s">
        <v>1029</v>
      </c>
      <c r="I29" s="941" t="s">
        <v>1035</v>
      </c>
      <c r="J29" s="2264" t="s">
        <v>604</v>
      </c>
      <c r="K29" s="268" t="s">
        <v>620</v>
      </c>
      <c r="L29" s="471">
        <v>0.1</v>
      </c>
      <c r="M29" s="254">
        <v>4</v>
      </c>
      <c r="N29" s="268" t="s">
        <v>622</v>
      </c>
      <c r="O29" s="279" t="s">
        <v>1029</v>
      </c>
      <c r="P29" s="279" t="s">
        <v>1029</v>
      </c>
      <c r="Q29" s="279">
        <v>1</v>
      </c>
      <c r="R29" s="279">
        <v>3</v>
      </c>
      <c r="S29" s="279">
        <v>4</v>
      </c>
      <c r="T29" s="280">
        <v>200</v>
      </c>
      <c r="U29" s="281">
        <v>150</v>
      </c>
      <c r="V29" s="281">
        <v>160</v>
      </c>
      <c r="W29" s="281">
        <v>180</v>
      </c>
      <c r="X29" s="281">
        <v>690</v>
      </c>
      <c r="Y29" s="268"/>
    </row>
    <row r="30" spans="2:25" ht="81">
      <c r="B30" s="1642"/>
      <c r="C30" s="2260"/>
      <c r="D30" s="2262"/>
      <c r="E30" s="2279"/>
      <c r="F30" s="917" t="s">
        <v>1034</v>
      </c>
      <c r="G30" s="270" t="s">
        <v>131</v>
      </c>
      <c r="H30" s="943" t="s">
        <v>1030</v>
      </c>
      <c r="I30" s="943" t="s">
        <v>1034</v>
      </c>
      <c r="J30" s="1642"/>
      <c r="K30" s="268" t="s">
        <v>621</v>
      </c>
      <c r="L30" s="471">
        <v>0.05</v>
      </c>
      <c r="M30" s="247">
        <v>800</v>
      </c>
      <c r="N30" s="270" t="s">
        <v>623</v>
      </c>
      <c r="O30" s="272">
        <v>640</v>
      </c>
      <c r="P30" s="272">
        <v>640</v>
      </c>
      <c r="Q30" s="272">
        <v>940</v>
      </c>
      <c r="R30" s="272">
        <v>1240</v>
      </c>
      <c r="S30" s="272">
        <v>1440</v>
      </c>
      <c r="T30" s="269">
        <v>100</v>
      </c>
      <c r="U30" s="277">
        <v>270</v>
      </c>
      <c r="V30" s="277">
        <v>280</v>
      </c>
      <c r="W30" s="277">
        <v>280</v>
      </c>
      <c r="X30" s="277">
        <v>930</v>
      </c>
      <c r="Y30" s="270"/>
    </row>
    <row r="31" spans="2:25" ht="54">
      <c r="B31" s="1642"/>
      <c r="C31" s="2260"/>
      <c r="D31" s="2262"/>
      <c r="E31" s="2279"/>
      <c r="F31" s="917"/>
      <c r="G31" s="917"/>
      <c r="H31" s="917"/>
      <c r="I31" s="917"/>
      <c r="J31" s="277" t="s">
        <v>605</v>
      </c>
      <c r="K31" s="268" t="s">
        <v>624</v>
      </c>
      <c r="L31" s="471">
        <v>0.02</v>
      </c>
      <c r="M31" s="247">
        <v>2</v>
      </c>
      <c r="N31" s="270" t="s">
        <v>626</v>
      </c>
      <c r="O31" s="272">
        <v>1</v>
      </c>
      <c r="P31" s="272">
        <v>1</v>
      </c>
      <c r="Q31" s="272">
        <v>2</v>
      </c>
      <c r="R31" s="272">
        <v>2</v>
      </c>
      <c r="S31" s="272">
        <v>2</v>
      </c>
      <c r="T31" s="270" t="s">
        <v>1028</v>
      </c>
      <c r="U31" s="277">
        <v>50</v>
      </c>
      <c r="V31" s="277">
        <v>30</v>
      </c>
      <c r="W31" s="277" t="s">
        <v>1030</v>
      </c>
      <c r="X31" s="277">
        <v>80</v>
      </c>
      <c r="Y31" s="270"/>
    </row>
    <row r="32" spans="2:25" ht="77.25" customHeight="1">
      <c r="B32" s="1642"/>
      <c r="C32" s="2260"/>
      <c r="D32" s="2262"/>
      <c r="E32" s="2279"/>
      <c r="F32" s="917"/>
      <c r="G32" s="917"/>
      <c r="H32" s="917"/>
      <c r="I32" s="917"/>
      <c r="J32" s="284" t="s">
        <v>606</v>
      </c>
      <c r="K32" s="268" t="s">
        <v>625</v>
      </c>
      <c r="L32" s="471">
        <v>0.1</v>
      </c>
      <c r="M32" s="237">
        <v>30</v>
      </c>
      <c r="N32" s="277" t="s">
        <v>627</v>
      </c>
      <c r="O32" s="278">
        <v>30</v>
      </c>
      <c r="P32" s="278">
        <v>30</v>
      </c>
      <c r="Q32" s="278">
        <v>30</v>
      </c>
      <c r="R32" s="278">
        <v>30</v>
      </c>
      <c r="S32" s="278">
        <v>30</v>
      </c>
      <c r="T32" s="274">
        <v>30</v>
      </c>
      <c r="U32" s="277">
        <v>70</v>
      </c>
      <c r="V32" s="277">
        <v>70</v>
      </c>
      <c r="W32" s="277">
        <v>70</v>
      </c>
      <c r="X32" s="277">
        <v>240</v>
      </c>
      <c r="Y32" s="277"/>
    </row>
    <row r="33" spans="2:25" ht="54">
      <c r="B33" s="1642"/>
      <c r="C33" s="2260"/>
      <c r="D33" s="2262"/>
      <c r="E33" s="2279"/>
      <c r="F33" s="917"/>
      <c r="G33" s="917"/>
      <c r="H33" s="917"/>
      <c r="I33" s="917"/>
      <c r="J33" s="2273" t="s">
        <v>607</v>
      </c>
      <c r="K33" s="268" t="s">
        <v>628</v>
      </c>
      <c r="L33" s="471">
        <v>0.1</v>
      </c>
      <c r="M33" s="237">
        <v>50</v>
      </c>
      <c r="N33" s="277" t="s">
        <v>630</v>
      </c>
      <c r="O33" s="278" t="s">
        <v>1036</v>
      </c>
      <c r="P33" s="278">
        <v>235</v>
      </c>
      <c r="Q33" s="278">
        <v>255</v>
      </c>
      <c r="R33" s="278">
        <v>265</v>
      </c>
      <c r="S33" s="278">
        <v>275</v>
      </c>
      <c r="T33" s="274" t="s">
        <v>1037</v>
      </c>
      <c r="U33" s="277">
        <v>161</v>
      </c>
      <c r="V33" s="277">
        <v>225</v>
      </c>
      <c r="W33" s="277">
        <v>275</v>
      </c>
      <c r="X33" s="277" t="s">
        <v>1038</v>
      </c>
      <c r="Y33" s="277"/>
    </row>
    <row r="34" spans="2:25" ht="54">
      <c r="B34" s="1642"/>
      <c r="C34" s="2260"/>
      <c r="D34" s="2262"/>
      <c r="E34" s="2279"/>
      <c r="F34" s="917"/>
      <c r="G34" s="917"/>
      <c r="H34" s="917"/>
      <c r="I34" s="917"/>
      <c r="J34" s="2274"/>
      <c r="K34" s="268" t="s">
        <v>629</v>
      </c>
      <c r="L34" s="471">
        <v>0.03</v>
      </c>
      <c r="M34" s="237">
        <v>2</v>
      </c>
      <c r="N34" s="277" t="s">
        <v>631</v>
      </c>
      <c r="O34" s="278" t="s">
        <v>1029</v>
      </c>
      <c r="P34" s="278" t="s">
        <v>1029</v>
      </c>
      <c r="Q34" s="278">
        <v>1</v>
      </c>
      <c r="R34" s="278">
        <v>2</v>
      </c>
      <c r="S34" s="278">
        <v>2</v>
      </c>
      <c r="T34" s="277" t="s">
        <v>1028</v>
      </c>
      <c r="U34" s="277">
        <v>300</v>
      </c>
      <c r="V34" s="277"/>
      <c r="W34" s="277">
        <v>300</v>
      </c>
      <c r="X34" s="277">
        <v>600</v>
      </c>
      <c r="Y34" s="277"/>
    </row>
    <row r="35" spans="2:25" ht="45">
      <c r="B35" s="1642"/>
      <c r="C35" s="2260"/>
      <c r="D35" s="2263"/>
      <c r="E35" s="2280"/>
      <c r="F35" s="917"/>
      <c r="G35" s="917"/>
      <c r="H35" s="917"/>
      <c r="I35" s="917"/>
      <c r="J35" s="2274"/>
      <c r="K35" s="268" t="s">
        <v>1039</v>
      </c>
      <c r="L35" s="471">
        <v>0.1</v>
      </c>
      <c r="M35" s="301">
        <v>20000000</v>
      </c>
      <c r="N35" s="277" t="s">
        <v>632</v>
      </c>
      <c r="O35" s="278" t="s">
        <v>1029</v>
      </c>
      <c r="P35" s="278">
        <v>625000</v>
      </c>
      <c r="Q35" s="278">
        <v>7000000</v>
      </c>
      <c r="R35" s="278">
        <v>13500000</v>
      </c>
      <c r="S35" s="278">
        <v>20000000</v>
      </c>
      <c r="T35" s="274">
        <v>100</v>
      </c>
      <c r="U35" s="277">
        <v>200</v>
      </c>
      <c r="V35" s="277">
        <v>200</v>
      </c>
      <c r="W35" s="277">
        <v>200</v>
      </c>
      <c r="X35" s="277">
        <v>700</v>
      </c>
      <c r="Y35" s="277"/>
    </row>
    <row r="36" spans="2:25" ht="15.75">
      <c r="B36" s="1642"/>
      <c r="C36" s="2260"/>
      <c r="D36" s="884"/>
      <c r="E36" s="919"/>
      <c r="F36" s="920"/>
      <c r="G36" s="920"/>
      <c r="H36" s="920"/>
      <c r="I36" s="920"/>
      <c r="J36" s="921"/>
      <c r="K36" s="922" t="s">
        <v>1337</v>
      </c>
      <c r="L36" s="923">
        <f>SUM(L22:L35)</f>
        <v>1.0000000000000002</v>
      </c>
      <c r="M36" s="924"/>
      <c r="N36" s="885"/>
      <c r="O36" s="886"/>
      <c r="P36" s="886"/>
      <c r="Q36" s="886"/>
      <c r="R36" s="886"/>
      <c r="S36" s="886"/>
      <c r="T36" s="887"/>
      <c r="U36" s="885"/>
      <c r="V36" s="885"/>
      <c r="W36" s="885"/>
      <c r="X36" s="885"/>
      <c r="Y36" s="885"/>
    </row>
    <row r="37" spans="2:25" ht="27">
      <c r="B37" s="1642"/>
      <c r="C37" s="2260"/>
      <c r="D37" s="888" t="s">
        <v>633</v>
      </c>
      <c r="E37" s="285">
        <v>0.1</v>
      </c>
      <c r="F37" s="282"/>
      <c r="G37" s="270"/>
      <c r="H37" s="282"/>
      <c r="I37" s="282"/>
      <c r="J37" s="284" t="s">
        <v>634</v>
      </c>
      <c r="K37" s="270" t="s">
        <v>635</v>
      </c>
      <c r="L37" s="557">
        <v>1</v>
      </c>
      <c r="M37" s="247">
        <v>1</v>
      </c>
      <c r="N37" s="270" t="s">
        <v>636</v>
      </c>
      <c r="O37" s="286" t="s">
        <v>1029</v>
      </c>
      <c r="P37" s="286" t="s">
        <v>1029</v>
      </c>
      <c r="Q37" s="286">
        <v>1</v>
      </c>
      <c r="R37" s="287">
        <v>1</v>
      </c>
      <c r="S37" s="286">
        <v>1</v>
      </c>
      <c r="T37" s="270" t="s">
        <v>1028</v>
      </c>
      <c r="U37" s="270">
        <v>40</v>
      </c>
      <c r="V37" s="270">
        <v>40</v>
      </c>
      <c r="W37" s="270">
        <v>40</v>
      </c>
      <c r="X37" s="270">
        <v>120</v>
      </c>
      <c r="Y37" s="270"/>
    </row>
    <row r="38" spans="2:25" ht="15.75">
      <c r="B38" s="1642"/>
      <c r="C38" s="2260"/>
      <c r="D38" s="901"/>
      <c r="E38" s="902"/>
      <c r="F38" s="903"/>
      <c r="G38" s="904"/>
      <c r="H38" s="903"/>
      <c r="I38" s="903"/>
      <c r="J38" s="905"/>
      <c r="K38" s="904" t="s">
        <v>1337</v>
      </c>
      <c r="L38" s="842">
        <f>SUM(L37)</f>
        <v>1</v>
      </c>
      <c r="M38" s="906"/>
      <c r="N38" s="904"/>
      <c r="O38" s="907"/>
      <c r="P38" s="907"/>
      <c r="Q38" s="907"/>
      <c r="R38" s="908"/>
      <c r="S38" s="907"/>
      <c r="T38" s="904"/>
      <c r="U38" s="904"/>
      <c r="V38" s="904"/>
      <c r="W38" s="904"/>
      <c r="X38" s="904"/>
      <c r="Y38" s="904"/>
    </row>
    <row r="39" spans="2:25" ht="72">
      <c r="B39" s="1642"/>
      <c r="C39" s="2260"/>
      <c r="D39" s="2281" t="s">
        <v>637</v>
      </c>
      <c r="E39" s="2284">
        <v>0.1</v>
      </c>
      <c r="F39" s="585"/>
      <c r="G39" s="585"/>
      <c r="H39" s="585"/>
      <c r="I39" s="585"/>
      <c r="J39" s="2287" t="s">
        <v>637</v>
      </c>
      <c r="K39" s="239" t="s">
        <v>638</v>
      </c>
      <c r="L39" s="934">
        <v>0.8</v>
      </c>
      <c r="M39" s="300">
        <v>5000</v>
      </c>
      <c r="N39" s="239" t="s">
        <v>641</v>
      </c>
      <c r="O39" s="290" t="s">
        <v>1029</v>
      </c>
      <c r="P39" s="290">
        <v>100</v>
      </c>
      <c r="Q39" s="290">
        <v>1900</v>
      </c>
      <c r="R39" s="287">
        <v>3000</v>
      </c>
      <c r="S39" s="290">
        <v>5000</v>
      </c>
      <c r="T39" s="289">
        <v>640</v>
      </c>
      <c r="U39" s="239">
        <v>490</v>
      </c>
      <c r="V39" s="239">
        <v>490</v>
      </c>
      <c r="W39" s="239">
        <v>490</v>
      </c>
      <c r="X39" s="289">
        <v>2110</v>
      </c>
      <c r="Y39" s="239"/>
    </row>
    <row r="40" spans="2:25" ht="81">
      <c r="B40" s="1642"/>
      <c r="C40" s="2260"/>
      <c r="D40" s="2282"/>
      <c r="E40" s="2285"/>
      <c r="F40" s="585"/>
      <c r="G40" s="585"/>
      <c r="H40" s="585"/>
      <c r="I40" s="585"/>
      <c r="J40" s="2287"/>
      <c r="K40" s="239" t="s">
        <v>639</v>
      </c>
      <c r="L40" s="935">
        <v>0.1</v>
      </c>
      <c r="M40" s="247">
        <v>1</v>
      </c>
      <c r="N40" s="239" t="s">
        <v>642</v>
      </c>
      <c r="O40" s="290" t="s">
        <v>1029</v>
      </c>
      <c r="P40" s="290" t="s">
        <v>1028</v>
      </c>
      <c r="Q40" s="290" t="s">
        <v>1029</v>
      </c>
      <c r="R40" s="287">
        <v>1</v>
      </c>
      <c r="S40" s="290">
        <v>1</v>
      </c>
      <c r="T40" s="239" t="s">
        <v>1029</v>
      </c>
      <c r="U40" s="239">
        <v>130</v>
      </c>
      <c r="V40" s="239">
        <v>150</v>
      </c>
      <c r="W40" s="239">
        <v>170</v>
      </c>
      <c r="X40" s="239">
        <v>450</v>
      </c>
      <c r="Y40" s="239"/>
    </row>
    <row r="41" spans="2:25" ht="72">
      <c r="B41" s="1642"/>
      <c r="C41" s="2260"/>
      <c r="D41" s="2283"/>
      <c r="E41" s="2286"/>
      <c r="F41" s="585"/>
      <c r="G41" s="585"/>
      <c r="H41" s="585"/>
      <c r="I41" s="585"/>
      <c r="J41" s="2288"/>
      <c r="K41" s="239" t="s">
        <v>640</v>
      </c>
      <c r="L41" s="935">
        <v>0.1</v>
      </c>
      <c r="M41" s="247">
        <v>1</v>
      </c>
      <c r="N41" s="239" t="s">
        <v>643</v>
      </c>
      <c r="O41" s="290" t="s">
        <v>1029</v>
      </c>
      <c r="P41" s="290" t="s">
        <v>1029</v>
      </c>
      <c r="Q41" s="290">
        <v>1</v>
      </c>
      <c r="R41" s="287">
        <v>1</v>
      </c>
      <c r="S41" s="290">
        <v>1</v>
      </c>
      <c r="T41" s="239" t="s">
        <v>1029</v>
      </c>
      <c r="U41" s="239">
        <v>100</v>
      </c>
      <c r="V41" s="239">
        <v>100</v>
      </c>
      <c r="W41" s="239">
        <v>100</v>
      </c>
      <c r="X41" s="239">
        <v>300</v>
      </c>
      <c r="Y41" s="239"/>
    </row>
    <row r="42" spans="2:25" ht="15">
      <c r="B42" s="1642"/>
      <c r="C42" s="2260"/>
      <c r="D42" s="925"/>
      <c r="E42" s="926"/>
      <c r="F42" s="927"/>
      <c r="G42" s="927"/>
      <c r="H42" s="927"/>
      <c r="I42" s="927"/>
      <c r="J42" s="928"/>
      <c r="K42" s="929" t="s">
        <v>1337</v>
      </c>
      <c r="L42" s="936">
        <f>SUM(L39:L41)</f>
        <v>1</v>
      </c>
      <c r="M42" s="930"/>
      <c r="N42" s="931"/>
      <c r="O42" s="932"/>
      <c r="P42" s="932"/>
      <c r="Q42" s="932"/>
      <c r="R42" s="933"/>
      <c r="S42" s="932"/>
      <c r="T42" s="931"/>
      <c r="U42" s="931"/>
      <c r="V42" s="931"/>
      <c r="W42" s="931"/>
      <c r="X42" s="931"/>
      <c r="Y42" s="931"/>
    </row>
    <row r="43" spans="2:25" ht="54">
      <c r="B43" s="1642"/>
      <c r="C43" s="2260"/>
      <c r="D43" s="2266" t="s">
        <v>644</v>
      </c>
      <c r="E43" s="2269">
        <v>0.2</v>
      </c>
      <c r="F43" s="585"/>
      <c r="G43" s="585"/>
      <c r="H43" s="585"/>
      <c r="I43" s="585"/>
      <c r="J43" s="2272" t="s">
        <v>645</v>
      </c>
      <c r="K43" s="241" t="s">
        <v>649</v>
      </c>
      <c r="L43" s="934">
        <v>0.3</v>
      </c>
      <c r="M43" s="247">
        <v>20</v>
      </c>
      <c r="N43" s="239" t="s">
        <v>652</v>
      </c>
      <c r="O43" s="290" t="s">
        <v>655</v>
      </c>
      <c r="P43" s="290">
        <v>12</v>
      </c>
      <c r="Q43" s="290">
        <v>17</v>
      </c>
      <c r="R43" s="287">
        <v>22</v>
      </c>
      <c r="S43" s="290">
        <v>27</v>
      </c>
      <c r="T43" s="289">
        <v>100</v>
      </c>
      <c r="U43" s="239">
        <v>100</v>
      </c>
      <c r="V43" s="239">
        <v>100</v>
      </c>
      <c r="W43" s="239">
        <v>100</v>
      </c>
      <c r="X43" s="239">
        <v>400</v>
      </c>
      <c r="Y43" s="239"/>
    </row>
    <row r="44" spans="2:25" ht="99">
      <c r="B44" s="1642"/>
      <c r="C44" s="2260"/>
      <c r="D44" s="2267"/>
      <c r="E44" s="2270"/>
      <c r="F44" s="585"/>
      <c r="G44" s="585"/>
      <c r="H44" s="585"/>
      <c r="I44" s="585"/>
      <c r="J44" s="2272"/>
      <c r="K44" s="241" t="s">
        <v>650</v>
      </c>
      <c r="L44" s="935">
        <v>0.2</v>
      </c>
      <c r="M44" s="247">
        <v>2</v>
      </c>
      <c r="N44" s="239" t="s">
        <v>653</v>
      </c>
      <c r="O44" s="290" t="s">
        <v>1029</v>
      </c>
      <c r="P44" s="290" t="s">
        <v>1029</v>
      </c>
      <c r="Q44" s="290">
        <v>1</v>
      </c>
      <c r="R44" s="287">
        <v>0.02</v>
      </c>
      <c r="S44" s="290">
        <v>2</v>
      </c>
      <c r="T44" s="289">
        <v>30</v>
      </c>
      <c r="U44" s="239">
        <v>100</v>
      </c>
      <c r="V44" s="239">
        <v>100</v>
      </c>
      <c r="W44" s="239">
        <v>100</v>
      </c>
      <c r="X44" s="239">
        <v>330</v>
      </c>
      <c r="Y44" s="239"/>
    </row>
    <row r="45" spans="2:25" ht="63">
      <c r="B45" s="1642"/>
      <c r="C45" s="2260"/>
      <c r="D45" s="2267"/>
      <c r="E45" s="2270"/>
      <c r="F45" s="585"/>
      <c r="G45" s="585"/>
      <c r="H45" s="585"/>
      <c r="I45" s="585"/>
      <c r="J45" s="2272"/>
      <c r="K45" s="241" t="s">
        <v>651</v>
      </c>
      <c r="L45" s="935">
        <v>0.1</v>
      </c>
      <c r="M45" s="247">
        <v>2</v>
      </c>
      <c r="N45" s="239" t="s">
        <v>654</v>
      </c>
      <c r="O45" s="290" t="s">
        <v>1028</v>
      </c>
      <c r="P45" s="290" t="s">
        <v>1029</v>
      </c>
      <c r="Q45" s="290">
        <v>1</v>
      </c>
      <c r="R45" s="287">
        <v>1</v>
      </c>
      <c r="S45" s="290">
        <v>2</v>
      </c>
      <c r="T45" s="289">
        <v>10</v>
      </c>
      <c r="U45" s="239">
        <v>50</v>
      </c>
      <c r="V45" s="239">
        <v>50</v>
      </c>
      <c r="W45" s="239">
        <v>50</v>
      </c>
      <c r="X45" s="239">
        <v>160</v>
      </c>
      <c r="Y45" s="239"/>
    </row>
    <row r="46" spans="2:25" ht="27">
      <c r="B46" s="1642"/>
      <c r="C46" s="2260"/>
      <c r="D46" s="2267"/>
      <c r="E46" s="2270"/>
      <c r="F46" s="270"/>
      <c r="G46" s="270"/>
      <c r="H46" s="270"/>
      <c r="I46" s="270"/>
      <c r="J46" s="291" t="s">
        <v>646</v>
      </c>
      <c r="K46" s="292" t="s">
        <v>656</v>
      </c>
      <c r="L46" s="935">
        <v>0.1</v>
      </c>
      <c r="M46" s="247">
        <v>1</v>
      </c>
      <c r="N46" s="270" t="s">
        <v>659</v>
      </c>
      <c r="O46" s="286" t="s">
        <v>1029</v>
      </c>
      <c r="P46" s="286" t="s">
        <v>1029</v>
      </c>
      <c r="Q46" s="286" t="s">
        <v>1029</v>
      </c>
      <c r="R46" s="287">
        <v>1</v>
      </c>
      <c r="S46" s="286">
        <v>1</v>
      </c>
      <c r="T46" s="269">
        <v>32</v>
      </c>
      <c r="U46" s="283" t="s">
        <v>1040</v>
      </c>
      <c r="V46" s="270" t="s">
        <v>1041</v>
      </c>
      <c r="W46" s="270" t="s">
        <v>1042</v>
      </c>
      <c r="X46" s="270" t="s">
        <v>1043</v>
      </c>
      <c r="Y46" s="270"/>
    </row>
    <row r="47" spans="2:25" ht="45">
      <c r="B47" s="1642"/>
      <c r="C47" s="2260"/>
      <c r="D47" s="2267"/>
      <c r="E47" s="2270"/>
      <c r="F47" s="585"/>
      <c r="G47" s="585"/>
      <c r="H47" s="585"/>
      <c r="I47" s="585"/>
      <c r="J47" s="18" t="s">
        <v>647</v>
      </c>
      <c r="K47" s="241" t="s">
        <v>657</v>
      </c>
      <c r="L47" s="935">
        <v>0.1</v>
      </c>
      <c r="M47" s="247">
        <v>1</v>
      </c>
      <c r="N47" s="239" t="s">
        <v>660</v>
      </c>
      <c r="O47" s="290" t="s">
        <v>1029</v>
      </c>
      <c r="P47" s="290" t="s">
        <v>1029</v>
      </c>
      <c r="Q47" s="290">
        <v>1</v>
      </c>
      <c r="R47" s="287">
        <v>1</v>
      </c>
      <c r="S47" s="290">
        <v>1</v>
      </c>
      <c r="T47" s="289">
        <v>20</v>
      </c>
      <c r="U47" s="239">
        <v>260</v>
      </c>
      <c r="V47" s="239">
        <v>260</v>
      </c>
      <c r="W47" s="239">
        <v>260</v>
      </c>
      <c r="X47" s="239">
        <v>800</v>
      </c>
      <c r="Y47" s="239"/>
    </row>
    <row r="48" spans="2:25" ht="45">
      <c r="B48" s="1642"/>
      <c r="C48" s="1434"/>
      <c r="D48" s="2268"/>
      <c r="E48" s="2271"/>
      <c r="F48" s="270"/>
      <c r="G48" s="270"/>
      <c r="H48" s="270"/>
      <c r="I48" s="270"/>
      <c r="J48" s="284" t="s">
        <v>648</v>
      </c>
      <c r="K48" s="292" t="s">
        <v>658</v>
      </c>
      <c r="L48" s="935">
        <v>0.2</v>
      </c>
      <c r="M48" s="247">
        <v>1</v>
      </c>
      <c r="N48" s="270" t="s">
        <v>661</v>
      </c>
      <c r="O48" s="286" t="s">
        <v>1029</v>
      </c>
      <c r="P48" s="286" t="s">
        <v>1029</v>
      </c>
      <c r="Q48" s="286">
        <v>1</v>
      </c>
      <c r="R48" s="287">
        <v>1</v>
      </c>
      <c r="S48" s="286">
        <v>1</v>
      </c>
      <c r="T48" s="269">
        <v>40</v>
      </c>
      <c r="U48" s="270" t="s">
        <v>1044</v>
      </c>
      <c r="V48" s="859" t="s">
        <v>1045</v>
      </c>
      <c r="W48" s="270" t="s">
        <v>1046</v>
      </c>
      <c r="X48" s="270" t="s">
        <v>1047</v>
      </c>
      <c r="Y48" s="270"/>
    </row>
    <row r="49" spans="2:25" ht="15">
      <c r="B49" s="1642"/>
      <c r="C49" s="833"/>
      <c r="D49" s="889"/>
      <c r="E49" s="890"/>
      <c r="F49" s="891"/>
      <c r="G49" s="891"/>
      <c r="H49" s="891"/>
      <c r="I49" s="891"/>
      <c r="J49" s="892"/>
      <c r="K49" s="898" t="s">
        <v>1337</v>
      </c>
      <c r="L49" s="950">
        <f>SUM(L43:L48)</f>
        <v>1</v>
      </c>
      <c r="M49" s="893"/>
      <c r="N49" s="891"/>
      <c r="O49" s="894"/>
      <c r="P49" s="894"/>
      <c r="Q49" s="894"/>
      <c r="R49" s="895"/>
      <c r="S49" s="894"/>
      <c r="T49" s="896"/>
      <c r="U49" s="891"/>
      <c r="V49" s="897"/>
      <c r="W49" s="891"/>
      <c r="X49" s="891"/>
      <c r="Y49" s="891"/>
    </row>
    <row r="50" spans="2:25" ht="117">
      <c r="B50" s="1631"/>
      <c r="C50" s="293"/>
      <c r="D50" s="855" t="s">
        <v>100</v>
      </c>
      <c r="E50" s="579">
        <v>0.1</v>
      </c>
      <c r="F50" s="856">
        <v>1</v>
      </c>
      <c r="G50" s="856" t="s">
        <v>130</v>
      </c>
      <c r="H50" s="856" t="s">
        <v>1030</v>
      </c>
      <c r="I50" s="856">
        <v>1</v>
      </c>
      <c r="J50" s="580" t="s">
        <v>100</v>
      </c>
      <c r="K50" s="580" t="s">
        <v>662</v>
      </c>
      <c r="L50" s="951">
        <v>1</v>
      </c>
      <c r="M50" s="579">
        <v>1</v>
      </c>
      <c r="N50" s="580" t="s">
        <v>663</v>
      </c>
      <c r="O50" s="582" t="s">
        <v>1048</v>
      </c>
      <c r="P50" s="582" t="s">
        <v>1049</v>
      </c>
      <c r="Q50" s="582" t="s">
        <v>1050</v>
      </c>
      <c r="R50" s="582" t="s">
        <v>1051</v>
      </c>
      <c r="S50" s="581">
        <v>1</v>
      </c>
      <c r="T50" s="583">
        <v>15000</v>
      </c>
      <c r="U50" s="580" t="s">
        <v>1052</v>
      </c>
      <c r="V50" s="583">
        <v>16174</v>
      </c>
      <c r="W50" s="583">
        <v>17346</v>
      </c>
      <c r="X50" s="583">
        <v>64371</v>
      </c>
      <c r="Y50" s="580"/>
    </row>
    <row r="51" spans="2:25" ht="15">
      <c r="B51" s="836"/>
      <c r="C51" s="836"/>
      <c r="D51" s="861"/>
      <c r="E51" s="861"/>
      <c r="F51" s="861"/>
      <c r="G51" s="861"/>
      <c r="H51" s="861"/>
      <c r="I51" s="861"/>
      <c r="J51" s="861"/>
      <c r="K51" s="899" t="s">
        <v>1337</v>
      </c>
      <c r="L51" s="900">
        <f>SUM(L50)</f>
        <v>1</v>
      </c>
      <c r="M51" s="861"/>
      <c r="N51" s="861"/>
      <c r="O51" s="861"/>
      <c r="P51" s="861"/>
      <c r="Q51" s="861"/>
      <c r="R51" s="861"/>
      <c r="S51" s="861"/>
      <c r="T51" s="861"/>
      <c r="U51" s="861"/>
      <c r="V51" s="861"/>
      <c r="W51" s="861"/>
      <c r="X51" s="861"/>
      <c r="Y51" s="861"/>
    </row>
    <row r="52" ht="15">
      <c r="C52" s="645"/>
    </row>
  </sheetData>
  <sheetProtection/>
  <mergeCells count="68">
    <mergeCell ref="B22:B50"/>
    <mergeCell ref="H8:S10"/>
    <mergeCell ref="H11:S11"/>
    <mergeCell ref="H12:S12"/>
    <mergeCell ref="P24:P25"/>
    <mergeCell ref="Q24:Q25"/>
    <mergeCell ref="R24:R25"/>
    <mergeCell ref="S24:S25"/>
    <mergeCell ref="N24:N25"/>
    <mergeCell ref="E43:E48"/>
    <mergeCell ref="J43:J45"/>
    <mergeCell ref="J29:J30"/>
    <mergeCell ref="J33:J35"/>
    <mergeCell ref="T12:Y12"/>
    <mergeCell ref="C15:Y15"/>
    <mergeCell ref="E22:E35"/>
    <mergeCell ref="D39:D41"/>
    <mergeCell ref="E39:E41"/>
    <mergeCell ref="J39:J41"/>
    <mergeCell ref="C22:C48"/>
    <mergeCell ref="D22:D35"/>
    <mergeCell ref="J22:J28"/>
    <mergeCell ref="Y22:Y28"/>
    <mergeCell ref="U24:U25"/>
    <mergeCell ref="V24:V25"/>
    <mergeCell ref="K24:K25"/>
    <mergeCell ref="L24:L25"/>
    <mergeCell ref="M24:M25"/>
    <mergeCell ref="D43:D48"/>
    <mergeCell ref="W24:W25"/>
    <mergeCell ref="X24:X25"/>
    <mergeCell ref="O24:O25"/>
    <mergeCell ref="T20:T21"/>
    <mergeCell ref="U20:U21"/>
    <mergeCell ref="I20:I21"/>
    <mergeCell ref="J20:J21"/>
    <mergeCell ref="K20:K21"/>
    <mergeCell ref="L20:L21"/>
    <mergeCell ref="T24:T25"/>
    <mergeCell ref="T11:Y11"/>
    <mergeCell ref="B20:B21"/>
    <mergeCell ref="C20:C21"/>
    <mergeCell ref="D20:D21"/>
    <mergeCell ref="E20:E21"/>
    <mergeCell ref="F20:F21"/>
    <mergeCell ref="Y20:Y21"/>
    <mergeCell ref="X20:X21"/>
    <mergeCell ref="N20:N21"/>
    <mergeCell ref="B8:G12"/>
    <mergeCell ref="T6:Y6"/>
    <mergeCell ref="N14:X14"/>
    <mergeCell ref="C16:Y16"/>
    <mergeCell ref="B2:G6"/>
    <mergeCell ref="H2:S4"/>
    <mergeCell ref="T2:Y4"/>
    <mergeCell ref="H5:S5"/>
    <mergeCell ref="T5:Y5"/>
    <mergeCell ref="H6:S6"/>
    <mergeCell ref="T8:Y10"/>
    <mergeCell ref="B19:F19"/>
    <mergeCell ref="G19:I19"/>
    <mergeCell ref="J19:M19"/>
    <mergeCell ref="N19:S19"/>
    <mergeCell ref="T19:X19"/>
    <mergeCell ref="G20:G21"/>
    <mergeCell ref="H20:H21"/>
    <mergeCell ref="W20:W21"/>
    <mergeCell ref="V20:V21"/>
  </mergeCells>
  <printOptions/>
  <pageMargins left="1.1811023622047245" right="0.7086614173228347" top="0.7480314960629921" bottom="0.7480314960629921" header="0.31496062992125984" footer="0.31496062992125984"/>
  <pageSetup horizontalDpi="600" verticalDpi="600" orientation="landscape" paperSize="5" scale="60"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2:Y35"/>
  <sheetViews>
    <sheetView showGridLines="0" showRowColHeaders="0" zoomScalePageLayoutView="0" workbookViewId="0" topLeftCell="A1">
      <selection activeCell="AB14" sqref="AB14"/>
    </sheetView>
  </sheetViews>
  <sheetFormatPr defaultColWidth="11.421875" defaultRowHeight="15"/>
  <cols>
    <col min="1" max="1" width="3.00390625" style="0" customWidth="1"/>
    <col min="15" max="15" width="8.8515625" style="0" customWidth="1"/>
    <col min="16" max="16" width="9.57421875" style="0" customWidth="1"/>
    <col min="17" max="17" width="10.00390625" style="0" customWidth="1"/>
    <col min="18" max="18" width="10.28125" style="0" customWidth="1"/>
    <col min="19" max="19" width="10.7109375" style="0" customWidth="1"/>
    <col min="20" max="20" width="14.28125" style="0" customWidth="1"/>
    <col min="21" max="23" width="13.8515625" style="0" customWidth="1"/>
    <col min="24" max="24" width="14.7109375" style="0" customWidth="1"/>
    <col min="25" max="25" width="12.7109375" style="0" customWidth="1"/>
  </cols>
  <sheetData>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ht="15">
      <c r="B7" s="5"/>
      <c r="C7" s="5"/>
      <c r="D7" s="5"/>
      <c r="E7" s="5"/>
      <c r="F7" s="5"/>
      <c r="G7" s="5"/>
      <c r="H7" s="5"/>
      <c r="I7" s="5"/>
      <c r="J7" s="5"/>
      <c r="K7" s="5"/>
      <c r="L7" s="5"/>
      <c r="M7" s="5"/>
      <c r="N7" s="996"/>
      <c r="O7" s="996"/>
      <c r="P7" s="996"/>
      <c r="Q7" s="996"/>
      <c r="R7" s="996"/>
      <c r="S7" s="996"/>
      <c r="T7" s="996"/>
      <c r="U7" s="996"/>
      <c r="V7" s="996"/>
      <c r="W7" s="996"/>
      <c r="X7" s="996"/>
      <c r="Y7" s="996"/>
    </row>
    <row r="8" spans="2:25" ht="15">
      <c r="B8" s="1058" t="s">
        <v>1372</v>
      </c>
      <c r="C8" s="1040"/>
      <c r="D8" s="1041" t="s">
        <v>1377</v>
      </c>
      <c r="E8" s="1042"/>
      <c r="F8" s="1042"/>
      <c r="G8" s="1042"/>
      <c r="H8" s="1042"/>
      <c r="I8" s="1042"/>
      <c r="J8" s="1983"/>
      <c r="K8" s="1983"/>
      <c r="L8" s="1983"/>
      <c r="M8" s="1983"/>
      <c r="N8" s="2296"/>
      <c r="O8" s="2296"/>
      <c r="P8" s="2296"/>
      <c r="Q8" s="2296"/>
      <c r="R8" s="2296"/>
      <c r="S8" s="2296"/>
      <c r="T8" s="2296"/>
      <c r="U8" s="2296"/>
      <c r="V8" s="2296"/>
      <c r="W8" s="2296"/>
      <c r="X8" s="2296"/>
      <c r="Y8" s="1013"/>
    </row>
    <row r="9" spans="2:25" ht="15">
      <c r="B9" s="1059" t="s">
        <v>154</v>
      </c>
      <c r="C9" s="1039"/>
      <c r="D9" s="1041" t="s">
        <v>1378</v>
      </c>
      <c r="E9" s="1077"/>
      <c r="F9" s="1077"/>
      <c r="G9" s="1077"/>
      <c r="H9" s="1077"/>
      <c r="I9" s="1077"/>
      <c r="J9" s="1983"/>
      <c r="K9" s="1983"/>
      <c r="L9" s="1983"/>
      <c r="M9" s="1983"/>
      <c r="N9" s="1483"/>
      <c r="O9" s="1483"/>
      <c r="P9" s="1483"/>
      <c r="Q9" s="1483"/>
      <c r="R9" s="1483"/>
      <c r="S9" s="1483"/>
      <c r="T9" s="1483"/>
      <c r="U9" s="1483"/>
      <c r="V9" s="1483"/>
      <c r="W9" s="1483"/>
      <c r="X9" s="1483"/>
      <c r="Y9" s="1013"/>
    </row>
    <row r="10" spans="2:25" ht="15">
      <c r="B10" s="1060" t="s">
        <v>1387</v>
      </c>
      <c r="C10" s="1061"/>
      <c r="D10" s="2292" t="s">
        <v>1386</v>
      </c>
      <c r="E10" s="2293"/>
      <c r="F10" s="2293"/>
      <c r="G10" s="2293"/>
      <c r="H10" s="2293"/>
      <c r="I10" s="2293"/>
      <c r="J10" s="2293"/>
      <c r="K10" s="2293"/>
      <c r="L10" s="2293"/>
      <c r="M10" s="2293"/>
      <c r="N10" s="2293"/>
      <c r="O10" s="2293"/>
      <c r="P10" s="2293"/>
      <c r="Q10" s="2293"/>
      <c r="R10" s="2293"/>
      <c r="S10" s="2293"/>
      <c r="T10" s="2293"/>
      <c r="U10" s="2293"/>
      <c r="V10" s="2293"/>
      <c r="W10" s="2293"/>
      <c r="X10" s="2293"/>
      <c r="Y10" s="2294"/>
    </row>
    <row r="11" spans="2:25" ht="15">
      <c r="B11" s="4"/>
      <c r="C11" s="4"/>
      <c r="D11" s="4"/>
      <c r="E11" s="4"/>
      <c r="F11" s="4"/>
      <c r="G11" s="4"/>
      <c r="H11" s="4"/>
      <c r="I11" s="4"/>
      <c r="J11" s="4"/>
      <c r="K11" s="4"/>
      <c r="L11" s="4"/>
      <c r="M11" s="4"/>
      <c r="N11" s="1062"/>
      <c r="O11" s="1062"/>
      <c r="P11" s="1062"/>
      <c r="Q11" s="1062"/>
      <c r="R11" s="1062"/>
      <c r="S11" s="1062"/>
      <c r="T11" s="1062"/>
      <c r="U11" s="1062"/>
      <c r="V11" s="1062"/>
      <c r="W11" s="1062"/>
      <c r="X11" s="1062"/>
      <c r="Y11" s="1092"/>
    </row>
    <row r="12" spans="2:25" ht="27">
      <c r="B12" s="2289" t="s">
        <v>103</v>
      </c>
      <c r="C12" s="2290" t="s">
        <v>140</v>
      </c>
      <c r="D12" s="1714" t="s">
        <v>0</v>
      </c>
      <c r="E12" s="1715" t="s">
        <v>140</v>
      </c>
      <c r="F12" s="1715" t="s">
        <v>141</v>
      </c>
      <c r="G12" s="1715" t="s">
        <v>104</v>
      </c>
      <c r="H12" s="1715" t="s">
        <v>142</v>
      </c>
      <c r="I12" s="1715" t="s">
        <v>143</v>
      </c>
      <c r="J12" s="1715" t="s">
        <v>1</v>
      </c>
      <c r="K12" s="1715" t="s">
        <v>2</v>
      </c>
      <c r="L12" s="1715" t="s">
        <v>140</v>
      </c>
      <c r="M12" s="1715" t="s">
        <v>3</v>
      </c>
      <c r="N12" s="1715" t="s">
        <v>4</v>
      </c>
      <c r="O12" s="1730" t="s">
        <v>5</v>
      </c>
      <c r="P12" s="32" t="s">
        <v>144</v>
      </c>
      <c r="Q12" s="32" t="s">
        <v>144</v>
      </c>
      <c r="R12" s="32" t="s">
        <v>145</v>
      </c>
      <c r="S12" s="32" t="s">
        <v>144</v>
      </c>
      <c r="T12" s="2295">
        <v>2012</v>
      </c>
      <c r="U12" s="2295">
        <v>2013</v>
      </c>
      <c r="V12" s="2295">
        <v>2014</v>
      </c>
      <c r="W12" s="2295">
        <v>2015</v>
      </c>
      <c r="X12" s="2295" t="s">
        <v>146</v>
      </c>
      <c r="Y12" s="2295" t="s">
        <v>147</v>
      </c>
    </row>
    <row r="13" spans="2:25" ht="21.75" customHeight="1">
      <c r="B13" s="2289"/>
      <c r="C13" s="2290"/>
      <c r="D13" s="1714"/>
      <c r="E13" s="1715"/>
      <c r="F13" s="1715"/>
      <c r="G13" s="1715"/>
      <c r="H13" s="1715"/>
      <c r="I13" s="1715"/>
      <c r="J13" s="1715"/>
      <c r="K13" s="1715"/>
      <c r="L13" s="1715"/>
      <c r="M13" s="1715"/>
      <c r="N13" s="1715"/>
      <c r="O13" s="1730"/>
      <c r="P13" s="6">
        <v>2012</v>
      </c>
      <c r="Q13" s="6">
        <v>2013</v>
      </c>
      <c r="R13" s="6">
        <v>2014</v>
      </c>
      <c r="S13" s="6">
        <v>2015</v>
      </c>
      <c r="T13" s="1732"/>
      <c r="U13" s="1732"/>
      <c r="V13" s="1732"/>
      <c r="W13" s="1732"/>
      <c r="X13" s="1732"/>
      <c r="Y13" s="1732"/>
    </row>
    <row r="14" spans="2:25" ht="113.25">
      <c r="B14" s="1519" t="s">
        <v>120</v>
      </c>
      <c r="C14" s="2297">
        <v>0.0336</v>
      </c>
      <c r="D14" s="2300" t="s">
        <v>549</v>
      </c>
      <c r="E14" s="2303">
        <v>1</v>
      </c>
      <c r="F14" s="2306">
        <v>0.035</v>
      </c>
      <c r="G14" s="2300" t="s">
        <v>121</v>
      </c>
      <c r="H14" s="2313">
        <v>0.7816</v>
      </c>
      <c r="I14" s="2313">
        <f>H14-F14</f>
        <v>0.7465999999999999</v>
      </c>
      <c r="J14" s="2300" t="s">
        <v>550</v>
      </c>
      <c r="K14" s="234" t="s">
        <v>551</v>
      </c>
      <c r="L14" s="979">
        <f>100-SUM(L15:L29)</f>
        <v>75.707735</v>
      </c>
      <c r="M14" s="251">
        <v>10000</v>
      </c>
      <c r="N14" s="973" t="s">
        <v>556</v>
      </c>
      <c r="O14" s="976">
        <v>61740</v>
      </c>
      <c r="P14" s="252">
        <f>O14-1500</f>
        <v>60240</v>
      </c>
      <c r="Q14" s="252">
        <f>O14-1500-3000</f>
        <v>57240</v>
      </c>
      <c r="R14" s="252">
        <f>O14-1500-3000-3000</f>
        <v>54240</v>
      </c>
      <c r="S14" s="252">
        <f>O14-1500-3000-3000-2500</f>
        <v>51740</v>
      </c>
      <c r="T14" s="985">
        <f>2550000000+25000000000-T16-T17-T19-T20</f>
        <v>26661917564</v>
      </c>
      <c r="U14" s="985">
        <f>3690000000+30000000000-U16-U17-U19-U20</f>
        <v>33217477812</v>
      </c>
      <c r="V14" s="985">
        <f>3690000000+35000000000-V16-V17-V19-V20</f>
        <v>38517477812</v>
      </c>
      <c r="W14" s="985">
        <f>3690000000+35000000000-W16-W17-W19-W20</f>
        <v>38517477812</v>
      </c>
      <c r="X14" s="985">
        <f>SUM(T14:W14)</f>
        <v>136914351000</v>
      </c>
      <c r="Y14" s="975" t="s">
        <v>1403</v>
      </c>
    </row>
    <row r="15" spans="2:25" ht="68.25">
      <c r="B15" s="1538"/>
      <c r="C15" s="2298"/>
      <c r="D15" s="2301"/>
      <c r="E15" s="2304"/>
      <c r="F15" s="2307"/>
      <c r="G15" s="2301"/>
      <c r="H15" s="2314"/>
      <c r="I15" s="2314"/>
      <c r="J15" s="2301"/>
      <c r="K15" s="234" t="s">
        <v>552</v>
      </c>
      <c r="L15" s="974">
        <v>0.01</v>
      </c>
      <c r="M15" s="235">
        <v>1</v>
      </c>
      <c r="N15" s="973" t="s">
        <v>557</v>
      </c>
      <c r="O15" s="973">
        <v>0</v>
      </c>
      <c r="P15" s="253">
        <v>0</v>
      </c>
      <c r="Q15" s="253">
        <v>1</v>
      </c>
      <c r="R15" s="253">
        <v>0</v>
      </c>
      <c r="S15" s="253">
        <v>0</v>
      </c>
      <c r="T15" s="985">
        <v>0</v>
      </c>
      <c r="U15" s="985">
        <v>0</v>
      </c>
      <c r="V15" s="985">
        <v>0</v>
      </c>
      <c r="W15" s="985">
        <v>0</v>
      </c>
      <c r="X15" s="985">
        <f>SUM(T15:W15)</f>
        <v>0</v>
      </c>
      <c r="Y15" s="975" t="s">
        <v>1403</v>
      </c>
    </row>
    <row r="16" spans="2:25" ht="79.5">
      <c r="B16" s="1538"/>
      <c r="C16" s="2298"/>
      <c r="D16" s="2301"/>
      <c r="E16" s="2304"/>
      <c r="F16" s="2307"/>
      <c r="G16" s="2301"/>
      <c r="H16" s="2314"/>
      <c r="I16" s="2314"/>
      <c r="J16" s="2301"/>
      <c r="K16" s="234" t="s">
        <v>553</v>
      </c>
      <c r="L16" s="974">
        <v>0.4</v>
      </c>
      <c r="M16" s="235">
        <v>2</v>
      </c>
      <c r="N16" s="973" t="s">
        <v>558</v>
      </c>
      <c r="O16" s="973">
        <v>0</v>
      </c>
      <c r="P16" s="253">
        <v>1</v>
      </c>
      <c r="Q16" s="253">
        <v>1</v>
      </c>
      <c r="R16" s="253">
        <v>0</v>
      </c>
      <c r="S16" s="253">
        <v>0</v>
      </c>
      <c r="T16" s="986">
        <v>50000000</v>
      </c>
      <c r="U16" s="986">
        <v>0</v>
      </c>
      <c r="V16" s="986">
        <v>0</v>
      </c>
      <c r="W16" s="986">
        <v>0</v>
      </c>
      <c r="X16" s="986">
        <f>SUM(T16:W16)</f>
        <v>50000000</v>
      </c>
      <c r="Y16" s="975" t="s">
        <v>1403</v>
      </c>
    </row>
    <row r="17" spans="2:25" ht="68.25">
      <c r="B17" s="1538"/>
      <c r="C17" s="2298"/>
      <c r="D17" s="2301"/>
      <c r="E17" s="2304"/>
      <c r="F17" s="2307"/>
      <c r="G17" s="2301"/>
      <c r="H17" s="2314"/>
      <c r="I17" s="2314"/>
      <c r="J17" s="2301"/>
      <c r="K17" s="234" t="s">
        <v>554</v>
      </c>
      <c r="L17" s="974">
        <v>0.2</v>
      </c>
      <c r="M17" s="235">
        <v>20</v>
      </c>
      <c r="N17" s="973" t="s">
        <v>559</v>
      </c>
      <c r="O17" s="973">
        <v>0</v>
      </c>
      <c r="P17" s="253">
        <v>5</v>
      </c>
      <c r="Q17" s="253">
        <v>5</v>
      </c>
      <c r="R17" s="253">
        <v>5</v>
      </c>
      <c r="S17" s="253">
        <v>5</v>
      </c>
      <c r="T17" s="986">
        <v>0</v>
      </c>
      <c r="U17" s="986">
        <f>5*25000000</f>
        <v>125000000</v>
      </c>
      <c r="V17" s="986">
        <f>5*25000000</f>
        <v>125000000</v>
      </c>
      <c r="W17" s="986">
        <f>5*25000000</f>
        <v>125000000</v>
      </c>
      <c r="X17" s="986">
        <f>SUM(T17:W17)</f>
        <v>375000000</v>
      </c>
      <c r="Y17" s="975" t="s">
        <v>1403</v>
      </c>
    </row>
    <row r="18" spans="2:25" ht="52.5" customHeight="1">
      <c r="B18" s="1538"/>
      <c r="C18" s="2298"/>
      <c r="D18" s="2301"/>
      <c r="E18" s="2304"/>
      <c r="F18" s="2307"/>
      <c r="G18" s="2301"/>
      <c r="H18" s="2314"/>
      <c r="I18" s="2314"/>
      <c r="J18" s="2301"/>
      <c r="K18" s="234" t="s">
        <v>555</v>
      </c>
      <c r="L18" s="973">
        <v>0.1</v>
      </c>
      <c r="M18" s="235">
        <v>1</v>
      </c>
      <c r="N18" s="973" t="s">
        <v>560</v>
      </c>
      <c r="O18" s="973">
        <v>0</v>
      </c>
      <c r="P18" s="253">
        <v>0</v>
      </c>
      <c r="Q18" s="253">
        <v>1</v>
      </c>
      <c r="R18" s="253">
        <v>0</v>
      </c>
      <c r="S18" s="253">
        <v>0</v>
      </c>
      <c r="T18" s="986">
        <v>0</v>
      </c>
      <c r="U18" s="986">
        <v>0</v>
      </c>
      <c r="V18" s="986">
        <v>0</v>
      </c>
      <c r="W18" s="986" t="s">
        <v>1025</v>
      </c>
      <c r="X18" s="986">
        <f>SUM(T18:W18)</f>
        <v>0</v>
      </c>
      <c r="Y18" s="975" t="s">
        <v>1403</v>
      </c>
    </row>
    <row r="19" spans="2:25" ht="132" customHeight="1">
      <c r="B19" s="1538"/>
      <c r="C19" s="2298"/>
      <c r="D19" s="2301"/>
      <c r="E19" s="2304"/>
      <c r="F19" s="2307"/>
      <c r="G19" s="2301"/>
      <c r="H19" s="2314"/>
      <c r="I19" s="2314"/>
      <c r="J19" s="2301"/>
      <c r="K19" s="980" t="s">
        <v>1401</v>
      </c>
      <c r="L19" s="981">
        <f>2045*95.17/10000</f>
        <v>19.462265</v>
      </c>
      <c r="M19" s="845">
        <v>2045</v>
      </c>
      <c r="N19" s="974" t="s">
        <v>1402</v>
      </c>
      <c r="O19" s="974">
        <v>0</v>
      </c>
      <c r="P19" s="982">
        <v>180</v>
      </c>
      <c r="Q19" s="982">
        <f>M19-P19</f>
        <v>1865</v>
      </c>
      <c r="R19" s="982">
        <v>0</v>
      </c>
      <c r="S19" s="982">
        <v>0</v>
      </c>
      <c r="T19" s="983">
        <f>3326900+810000000</f>
        <v>813326900</v>
      </c>
      <c r="U19" s="983">
        <v>300000000</v>
      </c>
      <c r="V19" s="983">
        <v>0</v>
      </c>
      <c r="W19" s="983">
        <v>0</v>
      </c>
      <c r="X19" s="983">
        <f>T19+U19+V19+W19</f>
        <v>1113326900</v>
      </c>
      <c r="Y19" s="975" t="s">
        <v>1403</v>
      </c>
    </row>
    <row r="20" spans="2:25" ht="120" customHeight="1">
      <c r="B20" s="1538"/>
      <c r="C20" s="2298"/>
      <c r="D20" s="2301"/>
      <c r="E20" s="2304"/>
      <c r="F20" s="2307"/>
      <c r="G20" s="2301"/>
      <c r="H20" s="2314"/>
      <c r="I20" s="2314"/>
      <c r="J20" s="2302"/>
      <c r="K20" s="980" t="s">
        <v>1404</v>
      </c>
      <c r="L20" s="984">
        <v>0.1</v>
      </c>
      <c r="M20" s="845">
        <v>2</v>
      </c>
      <c r="N20" s="974" t="s">
        <v>1405</v>
      </c>
      <c r="O20" s="974">
        <v>0</v>
      </c>
      <c r="P20" s="982">
        <v>2</v>
      </c>
      <c r="Q20" s="982">
        <v>2</v>
      </c>
      <c r="R20" s="982">
        <v>2</v>
      </c>
      <c r="S20" s="982">
        <v>2</v>
      </c>
      <c r="T20" s="983">
        <v>24755536</v>
      </c>
      <c r="U20" s="983">
        <v>47522188</v>
      </c>
      <c r="V20" s="983">
        <v>47522188</v>
      </c>
      <c r="W20" s="983">
        <v>47522188</v>
      </c>
      <c r="X20" s="983">
        <f>T20+U20+V20+W20</f>
        <v>167322100</v>
      </c>
      <c r="Y20" s="975" t="s">
        <v>1403</v>
      </c>
    </row>
    <row r="21" spans="2:25" ht="31.5" customHeight="1">
      <c r="B21" s="1538"/>
      <c r="C21" s="2298"/>
      <c r="D21" s="2301"/>
      <c r="E21" s="2304"/>
      <c r="F21" s="2307"/>
      <c r="G21" s="2301"/>
      <c r="H21" s="2314"/>
      <c r="I21" s="2314"/>
      <c r="J21" s="1605" t="s">
        <v>561</v>
      </c>
      <c r="K21" s="1605" t="s">
        <v>562</v>
      </c>
      <c r="L21" s="2300">
        <v>4</v>
      </c>
      <c r="M21" s="2291">
        <v>1000</v>
      </c>
      <c r="N21" s="1605" t="s">
        <v>563</v>
      </c>
      <c r="O21" s="2291">
        <v>184670</v>
      </c>
      <c r="P21" s="2309">
        <f>O21-0</f>
        <v>184670</v>
      </c>
      <c r="Q21" s="2309">
        <f>O21-300</f>
        <v>184370</v>
      </c>
      <c r="R21" s="2309">
        <f>O21-300-400</f>
        <v>183970</v>
      </c>
      <c r="S21" s="2309">
        <f>O21-300-400-300</f>
        <v>183670</v>
      </c>
      <c r="T21" s="2311">
        <v>0</v>
      </c>
      <c r="U21" s="2311">
        <f>150000000+440000000</f>
        <v>590000000</v>
      </c>
      <c r="V21" s="2311">
        <f>150000000+880000000</f>
        <v>1030000000</v>
      </c>
      <c r="W21" s="2311">
        <f>150000000+880000000</f>
        <v>1030000000</v>
      </c>
      <c r="X21" s="2311">
        <f>SUM(T21:W21)</f>
        <v>2650000000</v>
      </c>
      <c r="Y21" s="1992" t="s">
        <v>1403</v>
      </c>
    </row>
    <row r="22" spans="2:25" ht="81" customHeight="1">
      <c r="B22" s="1538"/>
      <c r="C22" s="2298"/>
      <c r="D22" s="2301"/>
      <c r="E22" s="2304"/>
      <c r="F22" s="2307"/>
      <c r="G22" s="2301"/>
      <c r="H22" s="2314"/>
      <c r="I22" s="2314"/>
      <c r="J22" s="1605"/>
      <c r="K22" s="1605"/>
      <c r="L22" s="2302"/>
      <c r="M22" s="2291"/>
      <c r="N22" s="1605"/>
      <c r="O22" s="1605"/>
      <c r="P22" s="2310"/>
      <c r="Q22" s="2310"/>
      <c r="R22" s="2310"/>
      <c r="S22" s="2310"/>
      <c r="T22" s="2312"/>
      <c r="U22" s="2312"/>
      <c r="V22" s="2312"/>
      <c r="W22" s="2312"/>
      <c r="X22" s="2312"/>
      <c r="Y22" s="1994"/>
    </row>
    <row r="23" spans="2:25" ht="21" customHeight="1">
      <c r="B23" s="1538"/>
      <c r="C23" s="2298"/>
      <c r="D23" s="2301"/>
      <c r="E23" s="2304"/>
      <c r="F23" s="2307"/>
      <c r="G23" s="2301"/>
      <c r="H23" s="2314"/>
      <c r="I23" s="2314"/>
      <c r="J23" s="1605" t="s">
        <v>564</v>
      </c>
      <c r="K23" s="2321" t="s">
        <v>565</v>
      </c>
      <c r="L23" s="2300">
        <v>0.01</v>
      </c>
      <c r="M23" s="2291">
        <v>1</v>
      </c>
      <c r="N23" s="1605" t="s">
        <v>567</v>
      </c>
      <c r="O23" s="1605">
        <v>17</v>
      </c>
      <c r="P23" s="2316">
        <f>O23-T23</f>
        <v>17</v>
      </c>
      <c r="Q23" s="2316">
        <v>0</v>
      </c>
      <c r="R23" s="2316">
        <v>0</v>
      </c>
      <c r="S23" s="2316">
        <v>0</v>
      </c>
      <c r="T23" s="2318">
        <v>0</v>
      </c>
      <c r="U23" s="2318">
        <v>0</v>
      </c>
      <c r="V23" s="2318">
        <v>0</v>
      </c>
      <c r="W23" s="2318">
        <v>0</v>
      </c>
      <c r="X23" s="2318">
        <f>SUM(T23:W23)</f>
        <v>0</v>
      </c>
      <c r="Y23" s="1992" t="s">
        <v>1403</v>
      </c>
    </row>
    <row r="24" spans="2:25" ht="15">
      <c r="B24" s="1538"/>
      <c r="C24" s="2298"/>
      <c r="D24" s="2301"/>
      <c r="E24" s="2304"/>
      <c r="F24" s="2307"/>
      <c r="G24" s="2301"/>
      <c r="H24" s="2314"/>
      <c r="I24" s="2314"/>
      <c r="J24" s="1605"/>
      <c r="K24" s="2321"/>
      <c r="L24" s="2301"/>
      <c r="M24" s="2291"/>
      <c r="N24" s="1605"/>
      <c r="O24" s="1605"/>
      <c r="P24" s="2317"/>
      <c r="Q24" s="2317"/>
      <c r="R24" s="2317"/>
      <c r="S24" s="2317"/>
      <c r="T24" s="2319"/>
      <c r="U24" s="2319"/>
      <c r="V24" s="2319"/>
      <c r="W24" s="2319"/>
      <c r="X24" s="2319"/>
      <c r="Y24" s="1993"/>
    </row>
    <row r="25" spans="2:25" ht="15">
      <c r="B25" s="1538"/>
      <c r="C25" s="2298"/>
      <c r="D25" s="2301"/>
      <c r="E25" s="2304"/>
      <c r="F25" s="2307"/>
      <c r="G25" s="2301"/>
      <c r="H25" s="2314"/>
      <c r="I25" s="2314"/>
      <c r="J25" s="1605"/>
      <c r="K25" s="2321"/>
      <c r="L25" s="2301"/>
      <c r="M25" s="2291"/>
      <c r="N25" s="1605"/>
      <c r="O25" s="1605"/>
      <c r="P25" s="2317"/>
      <c r="Q25" s="2317"/>
      <c r="R25" s="2317"/>
      <c r="S25" s="2317"/>
      <c r="T25" s="2319"/>
      <c r="U25" s="2319"/>
      <c r="V25" s="2319"/>
      <c r="W25" s="2319"/>
      <c r="X25" s="2319"/>
      <c r="Y25" s="1993"/>
    </row>
    <row r="26" spans="2:25" ht="15">
      <c r="B26" s="1538"/>
      <c r="C26" s="2298"/>
      <c r="D26" s="2301"/>
      <c r="E26" s="2304"/>
      <c r="F26" s="2307"/>
      <c r="G26" s="2301"/>
      <c r="H26" s="2314"/>
      <c r="I26" s="2314"/>
      <c r="J26" s="1605"/>
      <c r="K26" s="2321"/>
      <c r="L26" s="2301"/>
      <c r="M26" s="2291"/>
      <c r="N26" s="1605"/>
      <c r="O26" s="1605"/>
      <c r="P26" s="2317"/>
      <c r="Q26" s="2317"/>
      <c r="R26" s="2317"/>
      <c r="S26" s="2317"/>
      <c r="T26" s="2319"/>
      <c r="U26" s="2319"/>
      <c r="V26" s="2319"/>
      <c r="W26" s="2319"/>
      <c r="X26" s="2319"/>
      <c r="Y26" s="1993"/>
    </row>
    <row r="27" spans="2:25" ht="15">
      <c r="B27" s="1538"/>
      <c r="C27" s="2298"/>
      <c r="D27" s="2301"/>
      <c r="E27" s="2304"/>
      <c r="F27" s="2307"/>
      <c r="G27" s="2301"/>
      <c r="H27" s="2314"/>
      <c r="I27" s="2314"/>
      <c r="J27" s="1605"/>
      <c r="K27" s="2321"/>
      <c r="L27" s="2301"/>
      <c r="M27" s="2291"/>
      <c r="N27" s="1605"/>
      <c r="O27" s="1605"/>
      <c r="P27" s="2317"/>
      <c r="Q27" s="2317"/>
      <c r="R27" s="2317"/>
      <c r="S27" s="2317"/>
      <c r="T27" s="2319"/>
      <c r="U27" s="2319"/>
      <c r="V27" s="2319"/>
      <c r="W27" s="2319"/>
      <c r="X27" s="2319"/>
      <c r="Y27" s="1993"/>
    </row>
    <row r="28" spans="2:25" ht="12.75" customHeight="1">
      <c r="B28" s="1538"/>
      <c r="C28" s="2298"/>
      <c r="D28" s="2301"/>
      <c r="E28" s="2304"/>
      <c r="F28" s="2307"/>
      <c r="G28" s="2301"/>
      <c r="H28" s="2314"/>
      <c r="I28" s="2314"/>
      <c r="J28" s="1605"/>
      <c r="K28" s="2321"/>
      <c r="L28" s="2302"/>
      <c r="M28" s="2291"/>
      <c r="N28" s="1605"/>
      <c r="O28" s="1605"/>
      <c r="P28" s="2310"/>
      <c r="Q28" s="2310"/>
      <c r="R28" s="2310"/>
      <c r="S28" s="2310"/>
      <c r="T28" s="2320"/>
      <c r="U28" s="2320"/>
      <c r="V28" s="2320"/>
      <c r="W28" s="2320"/>
      <c r="X28" s="2320"/>
      <c r="Y28" s="1994"/>
    </row>
    <row r="29" spans="2:25" ht="228" customHeight="1">
      <c r="B29" s="1517"/>
      <c r="C29" s="2299"/>
      <c r="D29" s="2302"/>
      <c r="E29" s="2305"/>
      <c r="F29" s="2308"/>
      <c r="G29" s="2302"/>
      <c r="H29" s="2315"/>
      <c r="I29" s="2315"/>
      <c r="J29" s="1605"/>
      <c r="K29" s="236" t="s">
        <v>566</v>
      </c>
      <c r="L29" s="838">
        <v>0.01</v>
      </c>
      <c r="M29" s="236">
        <v>1</v>
      </c>
      <c r="N29" s="236" t="s">
        <v>568</v>
      </c>
      <c r="O29" s="236">
        <v>0</v>
      </c>
      <c r="P29" s="253">
        <v>0</v>
      </c>
      <c r="Q29" s="253">
        <v>0</v>
      </c>
      <c r="R29" s="253">
        <v>0</v>
      </c>
      <c r="S29" s="253">
        <v>0</v>
      </c>
      <c r="T29" s="667">
        <v>0</v>
      </c>
      <c r="U29" s="667">
        <v>0</v>
      </c>
      <c r="V29" s="667">
        <v>0</v>
      </c>
      <c r="W29" s="667">
        <v>0</v>
      </c>
      <c r="X29" s="667">
        <f>SUM(T29:W29)</f>
        <v>0</v>
      </c>
      <c r="Y29" s="975" t="s">
        <v>1403</v>
      </c>
    </row>
    <row r="30" spans="2:25" ht="15">
      <c r="B30" s="836"/>
      <c r="C30" s="881"/>
      <c r="D30" s="881"/>
      <c r="E30" s="881"/>
      <c r="F30" s="881"/>
      <c r="G30" s="881"/>
      <c r="H30" s="881"/>
      <c r="I30" s="881"/>
      <c r="J30" s="881"/>
      <c r="K30" s="881" t="s">
        <v>146</v>
      </c>
      <c r="L30" s="937">
        <f>SUM(L14:L29)</f>
        <v>100.00000000000001</v>
      </c>
      <c r="M30" s="881"/>
      <c r="N30" s="881"/>
      <c r="O30" s="881"/>
      <c r="P30" s="881"/>
      <c r="Q30" s="881"/>
      <c r="R30" s="881"/>
      <c r="S30" s="881"/>
      <c r="T30" s="938">
        <f>SUM(T14:T29)</f>
        <v>27550000000</v>
      </c>
      <c r="U30" s="938">
        <f>SUM(U14:U29)</f>
        <v>34280000000</v>
      </c>
      <c r="V30" s="938">
        <f>SUM(V14:V29)</f>
        <v>39720000000</v>
      </c>
      <c r="W30" s="938">
        <f>SUM(W14:W29)</f>
        <v>39720000000</v>
      </c>
      <c r="X30" s="938">
        <f>SUM(X14:X29)</f>
        <v>141270000000</v>
      </c>
      <c r="Y30" s="371"/>
    </row>
    <row r="31" spans="20:24" ht="15">
      <c r="T31" s="668"/>
      <c r="U31" s="668"/>
      <c r="V31" s="668"/>
      <c r="W31" s="668"/>
      <c r="X31" s="668"/>
    </row>
    <row r="32" spans="20:24" ht="15">
      <c r="T32" s="668"/>
      <c r="U32" s="668"/>
      <c r="V32" s="668"/>
      <c r="W32" s="668"/>
      <c r="X32" s="668"/>
    </row>
    <row r="33" spans="20:24" ht="15">
      <c r="T33" s="668"/>
      <c r="U33" s="668"/>
      <c r="V33" s="668"/>
      <c r="W33" s="668"/>
      <c r="X33" s="668"/>
    </row>
    <row r="34" spans="20:24" ht="15">
      <c r="T34" s="668"/>
      <c r="U34" s="668"/>
      <c r="V34" s="668"/>
      <c r="W34" s="668"/>
      <c r="X34" s="668"/>
    </row>
    <row r="35" spans="20:24" ht="15">
      <c r="T35" s="668"/>
      <c r="U35" s="668"/>
      <c r="V35" s="668"/>
      <c r="W35" s="668"/>
      <c r="X35" s="668"/>
    </row>
  </sheetData>
  <sheetProtection/>
  <mergeCells count="73">
    <mergeCell ref="W12:W13"/>
    <mergeCell ref="X12:X13"/>
    <mergeCell ref="Y12:Y13"/>
    <mergeCell ref="O23:O28"/>
    <mergeCell ref="V23:V28"/>
    <mergeCell ref="W23:W28"/>
    <mergeCell ref="X23:X28"/>
    <mergeCell ref="J23:J29"/>
    <mergeCell ref="K23:K28"/>
    <mergeCell ref="L23:L28"/>
    <mergeCell ref="M23:M28"/>
    <mergeCell ref="N23:N28"/>
    <mergeCell ref="X21:X22"/>
    <mergeCell ref="Y23:Y28"/>
    <mergeCell ref="P23:P28"/>
    <mergeCell ref="Q23:Q28"/>
    <mergeCell ref="R23:R28"/>
    <mergeCell ref="S23:S28"/>
    <mergeCell ref="T23:T28"/>
    <mergeCell ref="U23:U28"/>
    <mergeCell ref="H14:H29"/>
    <mergeCell ref="I14:I29"/>
    <mergeCell ref="J21:J22"/>
    <mergeCell ref="K21:K22"/>
    <mergeCell ref="J14:J20"/>
    <mergeCell ref="L21:L22"/>
    <mergeCell ref="G14:G29"/>
    <mergeCell ref="Y21:Y22"/>
    <mergeCell ref="P21:P22"/>
    <mergeCell ref="Q21:Q22"/>
    <mergeCell ref="R21:R22"/>
    <mergeCell ref="S21:S22"/>
    <mergeCell ref="T21:T22"/>
    <mergeCell ref="U21:U22"/>
    <mergeCell ref="V21:V22"/>
    <mergeCell ref="W21:W22"/>
    <mergeCell ref="N8:X8"/>
    <mergeCell ref="J9:M9"/>
    <mergeCell ref="N9:X9"/>
    <mergeCell ref="J8:M8"/>
    <mergeCell ref="N12:N13"/>
    <mergeCell ref="O12:O13"/>
    <mergeCell ref="J12:J13"/>
    <mergeCell ref="K12:K13"/>
    <mergeCell ref="U12:U13"/>
    <mergeCell ref="V12:V13"/>
    <mergeCell ref="N21:N22"/>
    <mergeCell ref="O21:O22"/>
    <mergeCell ref="L12:L13"/>
    <mergeCell ref="M12:M13"/>
    <mergeCell ref="D10:Y10"/>
    <mergeCell ref="T12:T13"/>
    <mergeCell ref="G12:G13"/>
    <mergeCell ref="H12:H13"/>
    <mergeCell ref="I12:I13"/>
    <mergeCell ref="D14:D29"/>
    <mergeCell ref="B12:B13"/>
    <mergeCell ref="C12:C13"/>
    <mergeCell ref="D12:D13"/>
    <mergeCell ref="E12:E13"/>
    <mergeCell ref="F12:F13"/>
    <mergeCell ref="M21:M22"/>
    <mergeCell ref="B14:B29"/>
    <mergeCell ref="C14:C29"/>
    <mergeCell ref="E14:E29"/>
    <mergeCell ref="F14:F29"/>
    <mergeCell ref="B2:G6"/>
    <mergeCell ref="H2:S4"/>
    <mergeCell ref="T2:Y4"/>
    <mergeCell ref="H5:S5"/>
    <mergeCell ref="T5:Y5"/>
    <mergeCell ref="H6:S6"/>
    <mergeCell ref="T6:Y6"/>
  </mergeCells>
  <printOptions/>
  <pageMargins left="1.48" right="0.7086614173228347" top="0.7480314960629921" bottom="0.7480314960629921" header="0.31496062992125984" footer="0.31496062992125984"/>
  <pageSetup horizontalDpi="600" verticalDpi="600" orientation="landscape" paperSize="5" scale="55" r:id="rId2"/>
  <drawing r:id="rId1"/>
</worksheet>
</file>

<file path=xl/worksheets/sheet14.xml><?xml version="1.0" encoding="utf-8"?>
<worksheet xmlns="http://schemas.openxmlformats.org/spreadsheetml/2006/main" xmlns:r="http://schemas.openxmlformats.org/officeDocument/2006/relationships">
  <sheetPr>
    <tabColor rgb="FF00B050"/>
  </sheetPr>
  <dimension ref="B1:Y249"/>
  <sheetViews>
    <sheetView showGridLines="0" showRowColHeaders="0" zoomScalePageLayoutView="0" workbookViewId="0" topLeftCell="A1">
      <selection activeCell="H15" sqref="H15:H37"/>
    </sheetView>
  </sheetViews>
  <sheetFormatPr defaultColWidth="11.421875" defaultRowHeight="15"/>
  <cols>
    <col min="1" max="1" width="3.140625" style="0" customWidth="1"/>
    <col min="5" max="5" width="11.421875" style="584" customWidth="1"/>
    <col min="10" max="10" width="12.57421875" style="0" customWidth="1"/>
    <col min="12" max="12" width="8.140625" style="584" customWidth="1"/>
  </cols>
  <sheetData>
    <row r="1" spans="2:25" ht="15">
      <c r="B1" s="3"/>
      <c r="C1" s="256"/>
      <c r="D1" s="256"/>
      <c r="E1" s="256"/>
      <c r="F1" s="3"/>
      <c r="G1" s="3"/>
      <c r="H1" s="3"/>
      <c r="I1" s="3"/>
      <c r="J1" s="3"/>
      <c r="K1" s="3"/>
      <c r="L1" s="256"/>
      <c r="M1" s="3"/>
      <c r="N1" s="3"/>
      <c r="O1" s="3"/>
      <c r="P1" s="3"/>
      <c r="Q1" s="3"/>
      <c r="R1" s="3"/>
      <c r="S1" s="3"/>
      <c r="T1" s="3"/>
      <c r="U1" s="3"/>
      <c r="V1" s="3"/>
      <c r="W1" s="3"/>
      <c r="X1" s="3"/>
      <c r="Y1" s="259"/>
    </row>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ht="15">
      <c r="B7" s="260"/>
      <c r="C7" s="261"/>
      <c r="D7" s="261"/>
      <c r="E7" s="261"/>
      <c r="F7" s="261"/>
      <c r="G7" s="261"/>
      <c r="H7" s="261"/>
      <c r="I7" s="261"/>
      <c r="J7" s="261"/>
      <c r="K7" s="261"/>
      <c r="L7" s="261"/>
      <c r="M7" s="261"/>
      <c r="N7" s="262"/>
      <c r="O7" s="262"/>
      <c r="P7" s="262"/>
      <c r="Q7" s="262"/>
      <c r="R7" s="262"/>
      <c r="S7" s="262"/>
      <c r="T7" s="262"/>
      <c r="U7" s="262"/>
      <c r="V7" s="262"/>
      <c r="W7" s="262"/>
      <c r="X7" s="262"/>
      <c r="Y7" s="2"/>
    </row>
    <row r="8" spans="2:25" ht="15">
      <c r="B8" s="1037" t="s">
        <v>1372</v>
      </c>
      <c r="C8" s="1075"/>
      <c r="D8" s="1094" t="s">
        <v>1379</v>
      </c>
      <c r="E8" s="1093"/>
      <c r="F8" s="1093"/>
      <c r="G8" s="1093"/>
      <c r="H8" s="1093"/>
      <c r="I8" s="1093"/>
      <c r="J8" s="2349"/>
      <c r="K8" s="2349"/>
      <c r="L8" s="2349"/>
      <c r="M8" s="2349"/>
      <c r="N8" s="1397"/>
      <c r="O8" s="1397"/>
      <c r="P8" s="1397"/>
      <c r="Q8" s="1397"/>
      <c r="R8" s="1397"/>
      <c r="S8" s="1397"/>
      <c r="T8" s="1397"/>
      <c r="U8" s="1397"/>
      <c r="V8" s="1397"/>
      <c r="W8" s="1397"/>
      <c r="X8" s="1397"/>
      <c r="Y8" s="1095"/>
    </row>
    <row r="9" spans="2:25" ht="15">
      <c r="B9" s="1037" t="s">
        <v>154</v>
      </c>
      <c r="C9" s="1074"/>
      <c r="D9" s="1096" t="s">
        <v>1053</v>
      </c>
      <c r="E9" s="1093"/>
      <c r="F9" s="1093"/>
      <c r="G9" s="1093"/>
      <c r="H9" s="1093"/>
      <c r="I9" s="1093"/>
      <c r="J9" s="1093"/>
      <c r="K9" s="1093"/>
      <c r="L9" s="1093"/>
      <c r="M9" s="1093"/>
      <c r="N9" s="2350"/>
      <c r="O9" s="2350"/>
      <c r="P9" s="2350"/>
      <c r="Q9" s="2350"/>
      <c r="R9" s="2350"/>
      <c r="S9" s="2350"/>
      <c r="T9" s="2350"/>
      <c r="U9" s="2350"/>
      <c r="V9" s="2350"/>
      <c r="W9" s="2350"/>
      <c r="X9" s="2350"/>
      <c r="Y9" s="1095"/>
    </row>
    <row r="10" spans="2:25" ht="27.75" customHeight="1">
      <c r="B10" s="1413" t="s">
        <v>1385</v>
      </c>
      <c r="C10" s="1414"/>
      <c r="D10" s="1415" t="s">
        <v>1396</v>
      </c>
      <c r="E10" s="1416"/>
      <c r="F10" s="1416"/>
      <c r="G10" s="1416"/>
      <c r="H10" s="1416"/>
      <c r="I10" s="1416"/>
      <c r="J10" s="1416"/>
      <c r="K10" s="1416"/>
      <c r="L10" s="1416"/>
      <c r="M10" s="1416"/>
      <c r="N10" s="1416"/>
      <c r="O10" s="1416"/>
      <c r="P10" s="1416"/>
      <c r="Q10" s="1416"/>
      <c r="R10" s="1416"/>
      <c r="S10" s="1416"/>
      <c r="T10" s="1416"/>
      <c r="U10" s="1416"/>
      <c r="V10" s="1416"/>
      <c r="W10" s="1416"/>
      <c r="X10" s="1416"/>
      <c r="Y10" s="1417"/>
    </row>
    <row r="11" spans="2:25" ht="21" customHeight="1">
      <c r="B11" s="999"/>
      <c r="C11" s="999"/>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1005"/>
    </row>
    <row r="12" spans="2:25" ht="15">
      <c r="B12" s="1614"/>
      <c r="C12" s="1614"/>
      <c r="D12" s="1614"/>
      <c r="E12" s="1614"/>
      <c r="F12" s="1614"/>
      <c r="G12" s="1615" t="s">
        <v>1010</v>
      </c>
      <c r="H12" s="1616"/>
      <c r="I12" s="1616"/>
      <c r="J12" s="1614"/>
      <c r="K12" s="1614"/>
      <c r="L12" s="1614"/>
      <c r="M12" s="1614"/>
      <c r="N12" s="1624" t="s">
        <v>1011</v>
      </c>
      <c r="O12" s="1624"/>
      <c r="P12" s="1624"/>
      <c r="Q12" s="1624"/>
      <c r="R12" s="1624"/>
      <c r="S12" s="1624"/>
      <c r="T12" s="1624" t="s">
        <v>1012</v>
      </c>
      <c r="U12" s="1624"/>
      <c r="V12" s="1624"/>
      <c r="W12" s="1624"/>
      <c r="X12" s="1624"/>
      <c r="Y12" s="1"/>
    </row>
    <row r="13" spans="2:25" ht="27">
      <c r="B13" s="1625" t="s">
        <v>1013</v>
      </c>
      <c r="C13" s="2351" t="s">
        <v>1014</v>
      </c>
      <c r="D13" s="1625" t="s">
        <v>1015</v>
      </c>
      <c r="E13" s="2353" t="s">
        <v>140</v>
      </c>
      <c r="F13" s="1626" t="s">
        <v>141</v>
      </c>
      <c r="G13" s="1625" t="s">
        <v>1016</v>
      </c>
      <c r="H13" s="1625" t="s">
        <v>142</v>
      </c>
      <c r="I13" s="1625" t="s">
        <v>143</v>
      </c>
      <c r="J13" s="1628" t="s">
        <v>1017</v>
      </c>
      <c r="K13" s="1628" t="s">
        <v>1018</v>
      </c>
      <c r="L13" s="2353" t="s">
        <v>140</v>
      </c>
      <c r="M13" s="265" t="s">
        <v>1019</v>
      </c>
      <c r="N13" s="1625" t="s">
        <v>104</v>
      </c>
      <c r="O13" s="265" t="s">
        <v>142</v>
      </c>
      <c r="P13" s="265" t="s">
        <v>144</v>
      </c>
      <c r="Q13" s="265" t="s">
        <v>144</v>
      </c>
      <c r="R13" s="265" t="s">
        <v>145</v>
      </c>
      <c r="S13" s="265" t="s">
        <v>144</v>
      </c>
      <c r="T13" s="1625">
        <v>2012</v>
      </c>
      <c r="U13" s="1625">
        <v>2013</v>
      </c>
      <c r="V13" s="1625">
        <v>2014</v>
      </c>
      <c r="W13" s="1625">
        <v>2015</v>
      </c>
      <c r="X13" s="1625" t="s">
        <v>146</v>
      </c>
      <c r="Y13" s="1625" t="s">
        <v>147</v>
      </c>
    </row>
    <row r="14" spans="2:25" ht="15">
      <c r="B14" s="1625"/>
      <c r="C14" s="2352"/>
      <c r="D14" s="1625"/>
      <c r="E14" s="2354"/>
      <c r="F14" s="1627"/>
      <c r="G14" s="1625"/>
      <c r="H14" s="1625"/>
      <c r="I14" s="1625"/>
      <c r="J14" s="1629"/>
      <c r="K14" s="1629"/>
      <c r="L14" s="2354"/>
      <c r="M14" s="265" t="s">
        <v>1020</v>
      </c>
      <c r="N14" s="1625"/>
      <c r="O14" s="294">
        <v>2011</v>
      </c>
      <c r="P14" s="294">
        <v>2012</v>
      </c>
      <c r="Q14" s="294">
        <v>2013</v>
      </c>
      <c r="R14" s="294">
        <v>2014</v>
      </c>
      <c r="S14" s="294">
        <v>2015</v>
      </c>
      <c r="T14" s="1625"/>
      <c r="U14" s="1625"/>
      <c r="V14" s="1625"/>
      <c r="W14" s="1625"/>
      <c r="X14" s="1625"/>
      <c r="Y14" s="1625"/>
    </row>
    <row r="15" spans="2:25" ht="45">
      <c r="B15" s="1643" t="s">
        <v>1054</v>
      </c>
      <c r="C15" s="2259" t="s">
        <v>1055</v>
      </c>
      <c r="D15" s="2335" t="s">
        <v>759</v>
      </c>
      <c r="E15" s="2335">
        <v>0.4</v>
      </c>
      <c r="F15" s="2340">
        <v>20000</v>
      </c>
      <c r="G15" s="2343" t="s">
        <v>137</v>
      </c>
      <c r="H15" s="2340">
        <v>2089</v>
      </c>
      <c r="I15" s="2340">
        <v>22089</v>
      </c>
      <c r="J15" s="2336" t="s">
        <v>760</v>
      </c>
      <c r="K15" s="857" t="s">
        <v>761</v>
      </c>
      <c r="L15" s="858">
        <v>0.4</v>
      </c>
      <c r="M15" s="300">
        <v>15</v>
      </c>
      <c r="N15" s="270" t="s">
        <v>763</v>
      </c>
      <c r="O15" s="295" t="s">
        <v>767</v>
      </c>
      <c r="P15" s="296">
        <v>1</v>
      </c>
      <c r="Q15" s="297">
        <v>8</v>
      </c>
      <c r="R15" s="297">
        <v>12</v>
      </c>
      <c r="S15" s="297">
        <v>15</v>
      </c>
      <c r="T15" s="269" t="s">
        <v>1056</v>
      </c>
      <c r="U15" s="273" t="s">
        <v>1057</v>
      </c>
      <c r="V15" s="277" t="s">
        <v>1058</v>
      </c>
      <c r="W15" s="277" t="s">
        <v>1059</v>
      </c>
      <c r="X15" s="277" t="s">
        <v>1060</v>
      </c>
      <c r="Y15" s="1630" t="s">
        <v>1061</v>
      </c>
    </row>
    <row r="16" spans="2:25" ht="81">
      <c r="B16" s="1647"/>
      <c r="C16" s="2333"/>
      <c r="D16" s="2335"/>
      <c r="E16" s="2335"/>
      <c r="F16" s="2341"/>
      <c r="G16" s="2344"/>
      <c r="H16" s="2341"/>
      <c r="I16" s="2341"/>
      <c r="J16" s="2336"/>
      <c r="K16" s="857" t="s">
        <v>766</v>
      </c>
      <c r="L16" s="858">
        <v>0.2</v>
      </c>
      <c r="M16" s="247">
        <v>24</v>
      </c>
      <c r="N16" s="270" t="s">
        <v>764</v>
      </c>
      <c r="O16" s="297" t="s">
        <v>1029</v>
      </c>
      <c r="P16" s="298">
        <v>0.13</v>
      </c>
      <c r="Q16" s="298">
        <v>0.4</v>
      </c>
      <c r="R16" s="298">
        <v>0.6</v>
      </c>
      <c r="S16" s="298">
        <v>1</v>
      </c>
      <c r="T16" s="269" t="s">
        <v>1062</v>
      </c>
      <c r="U16" s="277">
        <v>40</v>
      </c>
      <c r="V16" s="277">
        <v>90</v>
      </c>
      <c r="W16" s="277">
        <v>90</v>
      </c>
      <c r="X16" s="277">
        <v>150</v>
      </c>
      <c r="Y16" s="1642"/>
    </row>
    <row r="17" spans="2:25" ht="36" customHeight="1">
      <c r="B17" s="1647"/>
      <c r="C17" s="2333"/>
      <c r="D17" s="2335"/>
      <c r="E17" s="2335"/>
      <c r="F17" s="2341"/>
      <c r="G17" s="2344"/>
      <c r="H17" s="2341"/>
      <c r="I17" s="2341"/>
      <c r="J17" s="2336"/>
      <c r="K17" s="864" t="s">
        <v>762</v>
      </c>
      <c r="L17" s="858">
        <v>0.4</v>
      </c>
      <c r="M17" s="247">
        <v>20</v>
      </c>
      <c r="N17" s="247" t="s">
        <v>765</v>
      </c>
      <c r="O17" s="299">
        <v>14</v>
      </c>
      <c r="P17" s="299">
        <v>23</v>
      </c>
      <c r="Q17" s="299">
        <v>30</v>
      </c>
      <c r="R17" s="299">
        <v>34</v>
      </c>
      <c r="S17" s="299">
        <v>34</v>
      </c>
      <c r="T17" s="300">
        <v>2000</v>
      </c>
      <c r="U17" s="301">
        <v>1700</v>
      </c>
      <c r="V17" s="301">
        <v>2250</v>
      </c>
      <c r="W17" s="301">
        <v>2350</v>
      </c>
      <c r="X17" s="301">
        <v>8300</v>
      </c>
      <c r="Y17" s="1631"/>
    </row>
    <row r="18" spans="2:25" ht="22.5" customHeight="1">
      <c r="B18" s="1647"/>
      <c r="C18" s="2333"/>
      <c r="D18" s="870"/>
      <c r="E18" s="870"/>
      <c r="F18" s="2341"/>
      <c r="G18" s="2344"/>
      <c r="H18" s="2341"/>
      <c r="I18" s="2341"/>
      <c r="J18" s="839"/>
      <c r="K18" s="871" t="s">
        <v>1337</v>
      </c>
      <c r="L18" s="872">
        <f>SUM(L15:L17)</f>
        <v>1</v>
      </c>
      <c r="M18" s="247"/>
      <c r="N18" s="247"/>
      <c r="O18" s="299"/>
      <c r="P18" s="299"/>
      <c r="Q18" s="299"/>
      <c r="R18" s="299"/>
      <c r="S18" s="299"/>
      <c r="T18" s="300"/>
      <c r="U18" s="301"/>
      <c r="V18" s="301"/>
      <c r="W18" s="301"/>
      <c r="X18" s="301"/>
      <c r="Y18" s="238"/>
    </row>
    <row r="19" spans="2:25" ht="63">
      <c r="B19" s="1647"/>
      <c r="C19" s="2333"/>
      <c r="D19" s="2322" t="s">
        <v>768</v>
      </c>
      <c r="E19" s="2322">
        <v>0.4</v>
      </c>
      <c r="F19" s="2341"/>
      <c r="G19" s="2344"/>
      <c r="H19" s="2341"/>
      <c r="I19" s="2341"/>
      <c r="J19" s="2337" t="s">
        <v>769</v>
      </c>
      <c r="K19" s="865" t="s">
        <v>770</v>
      </c>
      <c r="L19" s="866">
        <v>0.2</v>
      </c>
      <c r="M19" s="247">
        <v>1</v>
      </c>
      <c r="N19" s="247" t="s">
        <v>779</v>
      </c>
      <c r="O19" s="299" t="s">
        <v>1030</v>
      </c>
      <c r="P19" s="299">
        <v>1</v>
      </c>
      <c r="Q19" s="299">
        <v>1</v>
      </c>
      <c r="R19" s="299">
        <v>1</v>
      </c>
      <c r="S19" s="299">
        <v>1</v>
      </c>
      <c r="T19" s="247" t="s">
        <v>1029</v>
      </c>
      <c r="U19" s="237">
        <v>200</v>
      </c>
      <c r="V19" s="237">
        <v>50</v>
      </c>
      <c r="W19" s="237">
        <v>50</v>
      </c>
      <c r="X19" s="237">
        <v>300</v>
      </c>
      <c r="Y19" s="1630" t="s">
        <v>1061</v>
      </c>
    </row>
    <row r="20" spans="2:25" ht="72">
      <c r="B20" s="1647"/>
      <c r="C20" s="2333"/>
      <c r="D20" s="2322"/>
      <c r="E20" s="2322"/>
      <c r="F20" s="2341"/>
      <c r="G20" s="2344"/>
      <c r="H20" s="2341"/>
      <c r="I20" s="2341"/>
      <c r="J20" s="2338"/>
      <c r="K20" s="867" t="s">
        <v>771</v>
      </c>
      <c r="L20" s="866">
        <v>0.05</v>
      </c>
      <c r="M20" s="557">
        <v>1</v>
      </c>
      <c r="N20" s="270" t="s">
        <v>780</v>
      </c>
      <c r="O20" s="297" t="s">
        <v>1063</v>
      </c>
      <c r="P20" s="298">
        <v>1</v>
      </c>
      <c r="Q20" s="298">
        <v>1</v>
      </c>
      <c r="R20" s="298">
        <v>1</v>
      </c>
      <c r="S20" s="298">
        <v>1</v>
      </c>
      <c r="T20" s="270" t="s">
        <v>1029</v>
      </c>
      <c r="U20" s="277">
        <v>40</v>
      </c>
      <c r="V20" s="277">
        <v>40</v>
      </c>
      <c r="W20" s="277">
        <v>40</v>
      </c>
      <c r="X20" s="277">
        <v>120</v>
      </c>
      <c r="Y20" s="1642"/>
    </row>
    <row r="21" spans="2:25" ht="72">
      <c r="B21" s="1647"/>
      <c r="C21" s="2333"/>
      <c r="D21" s="2322"/>
      <c r="E21" s="2322"/>
      <c r="F21" s="2341"/>
      <c r="G21" s="2344"/>
      <c r="H21" s="2341"/>
      <c r="I21" s="2341"/>
      <c r="J21" s="2338"/>
      <c r="K21" s="867" t="s">
        <v>772</v>
      </c>
      <c r="L21" s="866">
        <v>0.05</v>
      </c>
      <c r="M21" s="557">
        <v>1</v>
      </c>
      <c r="N21" s="270" t="s">
        <v>781</v>
      </c>
      <c r="O21" s="297" t="s">
        <v>1064</v>
      </c>
      <c r="P21" s="297" t="s">
        <v>1065</v>
      </c>
      <c r="Q21" s="298">
        <v>1</v>
      </c>
      <c r="R21" s="298">
        <v>1</v>
      </c>
      <c r="S21" s="298">
        <v>1</v>
      </c>
      <c r="T21" s="270" t="s">
        <v>1029</v>
      </c>
      <c r="U21" s="277">
        <v>20</v>
      </c>
      <c r="V21" s="277">
        <v>20</v>
      </c>
      <c r="W21" s="277">
        <v>20</v>
      </c>
      <c r="X21" s="277">
        <v>60</v>
      </c>
      <c r="Y21" s="1631"/>
    </row>
    <row r="22" spans="2:25" ht="36">
      <c r="B22" s="1647"/>
      <c r="C22" s="2333"/>
      <c r="D22" s="2322"/>
      <c r="E22" s="2322"/>
      <c r="F22" s="2341"/>
      <c r="G22" s="2344"/>
      <c r="H22" s="2341"/>
      <c r="I22" s="2341"/>
      <c r="J22" s="2338"/>
      <c r="K22" s="867" t="s">
        <v>773</v>
      </c>
      <c r="L22" s="866">
        <v>0.05</v>
      </c>
      <c r="M22" s="247">
        <v>8</v>
      </c>
      <c r="N22" s="270" t="s">
        <v>782</v>
      </c>
      <c r="O22" s="297" t="s">
        <v>1029</v>
      </c>
      <c r="P22" s="297" t="s">
        <v>1029</v>
      </c>
      <c r="Q22" s="297">
        <v>2</v>
      </c>
      <c r="R22" s="297">
        <v>5</v>
      </c>
      <c r="S22" s="297">
        <v>8</v>
      </c>
      <c r="T22" s="270" t="s">
        <v>1029</v>
      </c>
      <c r="U22" s="277">
        <v>20</v>
      </c>
      <c r="V22" s="277">
        <v>30</v>
      </c>
      <c r="W22" s="277">
        <v>30</v>
      </c>
      <c r="X22" s="277">
        <v>80</v>
      </c>
      <c r="Y22" s="1630" t="s">
        <v>1061</v>
      </c>
    </row>
    <row r="23" spans="2:25" ht="99">
      <c r="B23" s="1647"/>
      <c r="C23" s="2333"/>
      <c r="D23" s="2322"/>
      <c r="E23" s="2322"/>
      <c r="F23" s="2341"/>
      <c r="G23" s="2344"/>
      <c r="H23" s="2341"/>
      <c r="I23" s="2341"/>
      <c r="J23" s="2338"/>
      <c r="K23" s="867" t="s">
        <v>774</v>
      </c>
      <c r="L23" s="866">
        <v>0.05</v>
      </c>
      <c r="M23" s="247">
        <v>20</v>
      </c>
      <c r="N23" s="270" t="s">
        <v>783</v>
      </c>
      <c r="O23" s="297" t="s">
        <v>1066</v>
      </c>
      <c r="P23" s="297">
        <v>21</v>
      </c>
      <c r="Q23" s="297">
        <v>26</v>
      </c>
      <c r="R23" s="297">
        <v>33</v>
      </c>
      <c r="S23" s="297">
        <v>41</v>
      </c>
      <c r="T23" s="270" t="s">
        <v>1029</v>
      </c>
      <c r="U23" s="277">
        <v>100</v>
      </c>
      <c r="V23" s="277" t="s">
        <v>1029</v>
      </c>
      <c r="W23" s="277" t="s">
        <v>1029</v>
      </c>
      <c r="X23" s="277">
        <v>100</v>
      </c>
      <c r="Y23" s="1642"/>
    </row>
    <row r="24" spans="2:25" ht="72">
      <c r="B24" s="1647"/>
      <c r="C24" s="2333"/>
      <c r="D24" s="2322"/>
      <c r="E24" s="2322"/>
      <c r="F24" s="2341"/>
      <c r="G24" s="2344"/>
      <c r="H24" s="2341"/>
      <c r="I24" s="2341"/>
      <c r="J24" s="2338"/>
      <c r="K24" s="867" t="s">
        <v>775</v>
      </c>
      <c r="L24" s="866">
        <v>0.05</v>
      </c>
      <c r="M24" s="247">
        <v>20</v>
      </c>
      <c r="N24" s="270" t="s">
        <v>1067</v>
      </c>
      <c r="O24" s="297">
        <v>20</v>
      </c>
      <c r="P24" s="297">
        <v>20</v>
      </c>
      <c r="Q24" s="297">
        <v>30</v>
      </c>
      <c r="R24" s="297">
        <v>35</v>
      </c>
      <c r="S24" s="297">
        <v>35</v>
      </c>
      <c r="T24" s="270" t="s">
        <v>1029</v>
      </c>
      <c r="U24" s="277">
        <v>20</v>
      </c>
      <c r="V24" s="277">
        <v>20</v>
      </c>
      <c r="W24" s="277">
        <v>20</v>
      </c>
      <c r="X24" s="277">
        <v>60</v>
      </c>
      <c r="Y24" s="1631"/>
    </row>
    <row r="25" spans="2:25" ht="63">
      <c r="B25" s="1647"/>
      <c r="C25" s="2333"/>
      <c r="D25" s="2322"/>
      <c r="E25" s="2322"/>
      <c r="F25" s="2341"/>
      <c r="G25" s="2344"/>
      <c r="H25" s="2341"/>
      <c r="I25" s="2341"/>
      <c r="J25" s="2338"/>
      <c r="K25" s="867" t="s">
        <v>776</v>
      </c>
      <c r="L25" s="866">
        <v>0.05</v>
      </c>
      <c r="M25" s="247">
        <v>20</v>
      </c>
      <c r="N25" s="270" t="s">
        <v>784</v>
      </c>
      <c r="O25" s="297" t="s">
        <v>1029</v>
      </c>
      <c r="P25" s="297" t="s">
        <v>1029</v>
      </c>
      <c r="Q25" s="297">
        <v>5</v>
      </c>
      <c r="R25" s="297">
        <v>13</v>
      </c>
      <c r="S25" s="297">
        <v>20</v>
      </c>
      <c r="T25" s="270" t="s">
        <v>1029</v>
      </c>
      <c r="U25" s="277">
        <v>20</v>
      </c>
      <c r="V25" s="277">
        <v>20</v>
      </c>
      <c r="W25" s="277">
        <v>20</v>
      </c>
      <c r="X25" s="277">
        <v>60</v>
      </c>
      <c r="Y25" s="1630" t="s">
        <v>1061</v>
      </c>
    </row>
    <row r="26" spans="2:25" ht="162">
      <c r="B26" s="1647"/>
      <c r="C26" s="2333"/>
      <c r="D26" s="2322"/>
      <c r="E26" s="2322"/>
      <c r="F26" s="2341"/>
      <c r="G26" s="2344"/>
      <c r="H26" s="2341"/>
      <c r="I26" s="2341"/>
      <c r="J26" s="2338"/>
      <c r="K26" s="867" t="s">
        <v>777</v>
      </c>
      <c r="L26" s="866">
        <v>0.4</v>
      </c>
      <c r="M26" s="300">
        <v>1600</v>
      </c>
      <c r="N26" s="270" t="s">
        <v>785</v>
      </c>
      <c r="O26" s="297" t="s">
        <v>1068</v>
      </c>
      <c r="P26" s="297">
        <v>515</v>
      </c>
      <c r="Q26" s="297">
        <v>1015</v>
      </c>
      <c r="R26" s="297">
        <v>1415</v>
      </c>
      <c r="S26" s="297">
        <v>1815</v>
      </c>
      <c r="T26" s="270">
        <v>200</v>
      </c>
      <c r="U26" s="277" t="s">
        <v>1030</v>
      </c>
      <c r="V26" s="277" t="s">
        <v>1030</v>
      </c>
      <c r="W26" s="277" t="s">
        <v>1030</v>
      </c>
      <c r="X26" s="277">
        <v>200</v>
      </c>
      <c r="Y26" s="1642"/>
    </row>
    <row r="27" spans="2:25" ht="36">
      <c r="B27" s="1647"/>
      <c r="C27" s="2333"/>
      <c r="D27" s="2322"/>
      <c r="E27" s="2322"/>
      <c r="F27" s="2341"/>
      <c r="G27" s="2344"/>
      <c r="H27" s="2341"/>
      <c r="I27" s="2341"/>
      <c r="J27" s="2339"/>
      <c r="K27" s="868" t="s">
        <v>778</v>
      </c>
      <c r="L27" s="869">
        <v>0.1</v>
      </c>
      <c r="M27" s="247">
        <v>20</v>
      </c>
      <c r="N27" s="239" t="s">
        <v>786</v>
      </c>
      <c r="O27" s="239">
        <v>32</v>
      </c>
      <c r="P27" s="239">
        <v>35</v>
      </c>
      <c r="Q27" s="239">
        <v>42</v>
      </c>
      <c r="R27" s="302">
        <v>47</v>
      </c>
      <c r="S27" s="239">
        <v>52</v>
      </c>
      <c r="T27" s="239" t="s">
        <v>1028</v>
      </c>
      <c r="U27" s="239">
        <v>20</v>
      </c>
      <c r="V27" s="239">
        <v>20</v>
      </c>
      <c r="W27" s="239">
        <v>20</v>
      </c>
      <c r="X27" s="239">
        <v>60</v>
      </c>
      <c r="Y27" s="1631"/>
    </row>
    <row r="28" spans="2:25" ht="15">
      <c r="B28" s="1647"/>
      <c r="C28" s="2333"/>
      <c r="D28" s="873"/>
      <c r="E28" s="873"/>
      <c r="F28" s="2341"/>
      <c r="G28" s="2344"/>
      <c r="H28" s="2341"/>
      <c r="I28" s="2341"/>
      <c r="J28" s="874"/>
      <c r="K28" s="875" t="s">
        <v>1337</v>
      </c>
      <c r="L28" s="876">
        <f>SUM(L19:L27)</f>
        <v>0.9999999999999999</v>
      </c>
      <c r="M28" s="247"/>
      <c r="N28" s="239"/>
      <c r="O28" s="239"/>
      <c r="P28" s="239"/>
      <c r="Q28" s="239"/>
      <c r="R28" s="302"/>
      <c r="S28" s="239"/>
      <c r="T28" s="239"/>
      <c r="U28" s="239"/>
      <c r="V28" s="239"/>
      <c r="W28" s="239"/>
      <c r="X28" s="239"/>
      <c r="Y28" s="238"/>
    </row>
    <row r="29" spans="2:25" ht="54">
      <c r="B29" s="1647"/>
      <c r="C29" s="2333"/>
      <c r="D29" s="2330" t="s">
        <v>787</v>
      </c>
      <c r="E29" s="2330">
        <v>0.1</v>
      </c>
      <c r="F29" s="2341"/>
      <c r="G29" s="2344"/>
      <c r="H29" s="2341"/>
      <c r="I29" s="2341"/>
      <c r="J29" s="2337" t="s">
        <v>788</v>
      </c>
      <c r="K29" s="2330" t="s">
        <v>789</v>
      </c>
      <c r="L29" s="880">
        <v>0.4</v>
      </c>
      <c r="M29" s="300">
        <v>3500</v>
      </c>
      <c r="N29" s="239" t="s">
        <v>790</v>
      </c>
      <c r="O29" s="239" t="s">
        <v>1069</v>
      </c>
      <c r="P29" s="289">
        <v>4000</v>
      </c>
      <c r="Q29" s="239" t="s">
        <v>1070</v>
      </c>
      <c r="R29" s="302">
        <v>6000</v>
      </c>
      <c r="S29" s="289">
        <v>7000</v>
      </c>
      <c r="T29" s="239" t="s">
        <v>1071</v>
      </c>
      <c r="U29" s="239">
        <v>966</v>
      </c>
      <c r="V29" s="239" t="s">
        <v>1072</v>
      </c>
      <c r="W29" s="239" t="s">
        <v>1073</v>
      </c>
      <c r="X29" s="239" t="s">
        <v>1074</v>
      </c>
      <c r="Y29" s="1630" t="s">
        <v>1075</v>
      </c>
    </row>
    <row r="30" spans="2:25" ht="45">
      <c r="B30" s="1647"/>
      <c r="C30" s="2333"/>
      <c r="D30" s="2331"/>
      <c r="E30" s="2331"/>
      <c r="F30" s="2341"/>
      <c r="G30" s="2344"/>
      <c r="H30" s="2341"/>
      <c r="I30" s="2341"/>
      <c r="J30" s="2339"/>
      <c r="K30" s="2331"/>
      <c r="L30" s="880">
        <v>0.6</v>
      </c>
      <c r="M30" s="247">
        <v>20</v>
      </c>
      <c r="N30" s="239" t="s">
        <v>791</v>
      </c>
      <c r="O30" s="239" t="s">
        <v>792</v>
      </c>
      <c r="P30" s="239">
        <v>22</v>
      </c>
      <c r="Q30" s="239">
        <v>28</v>
      </c>
      <c r="R30" s="302">
        <v>34</v>
      </c>
      <c r="S30" s="239">
        <v>40</v>
      </c>
      <c r="T30" s="289" t="s">
        <v>1062</v>
      </c>
      <c r="U30" s="289">
        <v>1449</v>
      </c>
      <c r="V30" s="239" t="s">
        <v>1076</v>
      </c>
      <c r="W30" s="239" t="s">
        <v>1077</v>
      </c>
      <c r="X30" s="239" t="s">
        <v>1078</v>
      </c>
      <c r="Y30" s="1631"/>
    </row>
    <row r="31" spans="2:25" ht="15">
      <c r="B31" s="1647"/>
      <c r="C31" s="2333"/>
      <c r="D31" s="877"/>
      <c r="E31" s="877"/>
      <c r="F31" s="2341"/>
      <c r="G31" s="2344"/>
      <c r="H31" s="2341"/>
      <c r="I31" s="2341"/>
      <c r="J31" s="878"/>
      <c r="K31" s="877" t="s">
        <v>1337</v>
      </c>
      <c r="L31" s="879">
        <f>SUM(L29:L30)</f>
        <v>1</v>
      </c>
      <c r="M31" s="237"/>
      <c r="N31" s="558"/>
      <c r="O31" s="558"/>
      <c r="P31" s="558"/>
      <c r="Q31" s="558"/>
      <c r="R31" s="862"/>
      <c r="S31" s="558"/>
      <c r="T31" s="863"/>
      <c r="U31" s="863"/>
      <c r="V31" s="558"/>
      <c r="W31" s="558"/>
      <c r="X31" s="558"/>
      <c r="Y31" s="238"/>
    </row>
    <row r="32" spans="2:25" ht="15">
      <c r="B32" s="1647"/>
      <c r="C32" s="2333"/>
      <c r="D32" s="2346" t="s">
        <v>100</v>
      </c>
      <c r="E32" s="2346">
        <v>0.1</v>
      </c>
      <c r="F32" s="2341"/>
      <c r="G32" s="2344"/>
      <c r="H32" s="2341"/>
      <c r="I32" s="2341"/>
      <c r="J32" s="2346" t="s">
        <v>100</v>
      </c>
      <c r="K32" s="2326" t="s">
        <v>101</v>
      </c>
      <c r="L32" s="2332">
        <v>1</v>
      </c>
      <c r="M32" s="2332">
        <v>1</v>
      </c>
      <c r="N32" s="2326" t="s">
        <v>793</v>
      </c>
      <c r="O32" s="2326" t="s">
        <v>1029</v>
      </c>
      <c r="P32" s="2326" t="s">
        <v>1079</v>
      </c>
      <c r="Q32" s="2326" t="s">
        <v>1080</v>
      </c>
      <c r="R32" s="2327" t="s">
        <v>1081</v>
      </c>
      <c r="S32" s="2326" t="s">
        <v>1082</v>
      </c>
      <c r="T32" s="2323">
        <v>10000</v>
      </c>
      <c r="U32" s="2323">
        <v>10568</v>
      </c>
      <c r="V32" s="2323">
        <v>10785</v>
      </c>
      <c r="W32" s="2323">
        <v>11557</v>
      </c>
      <c r="X32" s="2323">
        <v>42910</v>
      </c>
      <c r="Y32" s="2326" t="s">
        <v>1169</v>
      </c>
    </row>
    <row r="33" spans="2:25" ht="15">
      <c r="B33" s="1647"/>
      <c r="C33" s="2333"/>
      <c r="D33" s="2347"/>
      <c r="E33" s="2347"/>
      <c r="F33" s="2341"/>
      <c r="G33" s="2344"/>
      <c r="H33" s="2341"/>
      <c r="I33" s="2341"/>
      <c r="J33" s="2347"/>
      <c r="K33" s="2324"/>
      <c r="L33" s="2324"/>
      <c r="M33" s="2324"/>
      <c r="N33" s="2324"/>
      <c r="O33" s="2324"/>
      <c r="P33" s="2324"/>
      <c r="Q33" s="2324"/>
      <c r="R33" s="2328"/>
      <c r="S33" s="2324"/>
      <c r="T33" s="2324"/>
      <c r="U33" s="2324"/>
      <c r="V33" s="2324"/>
      <c r="W33" s="2324"/>
      <c r="X33" s="2324"/>
      <c r="Y33" s="2324"/>
    </row>
    <row r="34" spans="2:25" ht="15">
      <c r="B34" s="1647"/>
      <c r="C34" s="2333"/>
      <c r="D34" s="2347"/>
      <c r="E34" s="2347"/>
      <c r="F34" s="2341"/>
      <c r="G34" s="2344"/>
      <c r="H34" s="2341"/>
      <c r="I34" s="2341"/>
      <c r="J34" s="2347"/>
      <c r="K34" s="2324"/>
      <c r="L34" s="2324"/>
      <c r="M34" s="2324"/>
      <c r="N34" s="2324"/>
      <c r="O34" s="2324"/>
      <c r="P34" s="2324"/>
      <c r="Q34" s="2324"/>
      <c r="R34" s="2328"/>
      <c r="S34" s="2324"/>
      <c r="T34" s="2324"/>
      <c r="U34" s="2324"/>
      <c r="V34" s="2324"/>
      <c r="W34" s="2324"/>
      <c r="X34" s="2324"/>
      <c r="Y34" s="2324"/>
    </row>
    <row r="35" spans="2:25" ht="15">
      <c r="B35" s="1647"/>
      <c r="C35" s="2333"/>
      <c r="D35" s="2347"/>
      <c r="E35" s="2347"/>
      <c r="F35" s="2341"/>
      <c r="G35" s="2344"/>
      <c r="H35" s="2341"/>
      <c r="I35" s="2341"/>
      <c r="J35" s="2347"/>
      <c r="K35" s="2324"/>
      <c r="L35" s="2324"/>
      <c r="M35" s="2324"/>
      <c r="N35" s="2324"/>
      <c r="O35" s="2324"/>
      <c r="P35" s="2324"/>
      <c r="Q35" s="2324"/>
      <c r="R35" s="2328"/>
      <c r="S35" s="2324"/>
      <c r="T35" s="2324"/>
      <c r="U35" s="2324"/>
      <c r="V35" s="2324"/>
      <c r="W35" s="2324"/>
      <c r="X35" s="2324"/>
      <c r="Y35" s="2324"/>
    </row>
    <row r="36" spans="2:25" ht="15">
      <c r="B36" s="1647"/>
      <c r="C36" s="2333"/>
      <c r="D36" s="2347"/>
      <c r="E36" s="2347"/>
      <c r="F36" s="2341"/>
      <c r="G36" s="2344"/>
      <c r="H36" s="2341"/>
      <c r="I36" s="2341"/>
      <c r="J36" s="2347"/>
      <c r="K36" s="2324"/>
      <c r="L36" s="2324"/>
      <c r="M36" s="2324"/>
      <c r="N36" s="2324"/>
      <c r="O36" s="2324"/>
      <c r="P36" s="2324"/>
      <c r="Q36" s="2324"/>
      <c r="R36" s="2328"/>
      <c r="S36" s="2324"/>
      <c r="T36" s="2324"/>
      <c r="U36" s="2324"/>
      <c r="V36" s="2324"/>
      <c r="W36" s="2324"/>
      <c r="X36" s="2324"/>
      <c r="Y36" s="2324"/>
    </row>
    <row r="37" spans="2:25" ht="15">
      <c r="B37" s="1644"/>
      <c r="C37" s="2334"/>
      <c r="D37" s="2348"/>
      <c r="E37" s="2348"/>
      <c r="F37" s="2342"/>
      <c r="G37" s="2345"/>
      <c r="H37" s="2342"/>
      <c r="I37" s="2342"/>
      <c r="J37" s="2348"/>
      <c r="K37" s="2325"/>
      <c r="L37" s="2325"/>
      <c r="M37" s="2325"/>
      <c r="N37" s="2325"/>
      <c r="O37" s="2325"/>
      <c r="P37" s="2325"/>
      <c r="Q37" s="2325"/>
      <c r="R37" s="2329"/>
      <c r="S37" s="2325"/>
      <c r="T37" s="2325"/>
      <c r="U37" s="2325"/>
      <c r="V37" s="2325"/>
      <c r="W37" s="2325"/>
      <c r="X37" s="2325"/>
      <c r="Y37" s="2325"/>
    </row>
    <row r="38" spans="2:25" ht="15">
      <c r="B38" s="836"/>
      <c r="C38" s="836"/>
      <c r="D38" s="882"/>
      <c r="E38" s="882"/>
      <c r="F38" s="882"/>
      <c r="G38" s="882"/>
      <c r="H38" s="882"/>
      <c r="I38" s="882"/>
      <c r="J38" s="882"/>
      <c r="K38" s="882" t="s">
        <v>1337</v>
      </c>
      <c r="L38" s="883">
        <f>SUM(L32)</f>
        <v>1</v>
      </c>
      <c r="M38" s="836"/>
      <c r="N38" s="836"/>
      <c r="O38" s="836"/>
      <c r="P38" s="836"/>
      <c r="Q38" s="836"/>
      <c r="R38" s="836"/>
      <c r="S38" s="836"/>
      <c r="T38" s="836"/>
      <c r="U38" s="836"/>
      <c r="V38" s="836"/>
      <c r="W38" s="836"/>
      <c r="X38" s="836"/>
      <c r="Y38" s="836"/>
    </row>
    <row r="39" spans="2:25" ht="15">
      <c r="B39" s="836"/>
      <c r="C39" s="836"/>
      <c r="D39" s="836"/>
      <c r="E39" s="861"/>
      <c r="F39" s="836"/>
      <c r="G39" s="836"/>
      <c r="H39" s="836"/>
      <c r="I39" s="836"/>
      <c r="J39" s="836"/>
      <c r="K39" s="836"/>
      <c r="L39" s="861"/>
      <c r="M39" s="836"/>
      <c r="N39" s="836"/>
      <c r="O39" s="836"/>
      <c r="P39" s="836"/>
      <c r="Q39" s="836"/>
      <c r="R39" s="836"/>
      <c r="S39" s="836"/>
      <c r="T39" s="836"/>
      <c r="U39" s="836"/>
      <c r="V39" s="836"/>
      <c r="W39" s="836"/>
      <c r="X39" s="836"/>
      <c r="Y39" s="836"/>
    </row>
    <row r="40" spans="5:12" ht="15">
      <c r="E40" s="577"/>
      <c r="F40" s="577"/>
      <c r="G40" s="577"/>
      <c r="H40" s="577"/>
      <c r="I40" s="577"/>
      <c r="J40" s="577"/>
      <c r="K40" s="577"/>
      <c r="L40" s="577"/>
    </row>
    <row r="41" spans="5:12" ht="15">
      <c r="E41" s="577"/>
      <c r="F41" s="577"/>
      <c r="G41" s="577"/>
      <c r="H41" s="577"/>
      <c r="I41" s="577"/>
      <c r="J41" s="577"/>
      <c r="K41" s="577"/>
      <c r="L41" s="577"/>
    </row>
    <row r="42" spans="5:12" ht="15">
      <c r="E42" s="577"/>
      <c r="F42" s="577"/>
      <c r="G42" s="577"/>
      <c r="H42" s="577"/>
      <c r="I42" s="577"/>
      <c r="J42" s="577"/>
      <c r="K42" s="577"/>
      <c r="L42" s="577"/>
    </row>
    <row r="43" spans="5:12" ht="15">
      <c r="E43" s="577"/>
      <c r="F43" s="577"/>
      <c r="G43" s="577"/>
      <c r="H43" s="577"/>
      <c r="I43" s="577"/>
      <c r="J43" s="577"/>
      <c r="K43" s="577"/>
      <c r="L43" s="577"/>
    </row>
    <row r="44" spans="5:12" ht="15">
      <c r="E44" s="577"/>
      <c r="F44" s="577"/>
      <c r="G44" s="577"/>
      <c r="H44" s="577"/>
      <c r="I44" s="577"/>
      <c r="J44" s="577"/>
      <c r="K44" s="577"/>
      <c r="L44" s="577"/>
    </row>
    <row r="45" spans="5:12" ht="15">
      <c r="E45" s="577"/>
      <c r="F45" s="577"/>
      <c r="G45" s="577"/>
      <c r="H45" s="577"/>
      <c r="I45" s="577"/>
      <c r="J45" s="577"/>
      <c r="K45" s="577"/>
      <c r="L45" s="577"/>
    </row>
    <row r="46" spans="5:12" ht="15">
      <c r="E46" s="577"/>
      <c r="F46" s="577"/>
      <c r="G46" s="577"/>
      <c r="H46" s="577"/>
      <c r="I46" s="577"/>
      <c r="J46" s="577"/>
      <c r="K46" s="577"/>
      <c r="L46" s="577"/>
    </row>
    <row r="47" spans="5:12" ht="15">
      <c r="E47" s="577"/>
      <c r="F47" s="577"/>
      <c r="G47" s="577"/>
      <c r="H47" s="577"/>
      <c r="I47" s="577"/>
      <c r="J47" s="577"/>
      <c r="K47" s="577"/>
      <c r="L47" s="577"/>
    </row>
    <row r="48" spans="5:12" ht="15">
      <c r="E48" s="577"/>
      <c r="F48" s="577"/>
      <c r="G48" s="577"/>
      <c r="H48" s="577"/>
      <c r="I48" s="577"/>
      <c r="J48" s="577"/>
      <c r="K48" s="577"/>
      <c r="L48" s="577"/>
    </row>
    <row r="49" spans="5:12" ht="15">
      <c r="E49" s="577"/>
      <c r="F49" s="577"/>
      <c r="G49" s="577"/>
      <c r="H49" s="577"/>
      <c r="I49" s="577"/>
      <c r="J49" s="577"/>
      <c r="K49" s="577"/>
      <c r="L49" s="577"/>
    </row>
    <row r="50" spans="5:12" ht="15">
      <c r="E50" s="577"/>
      <c r="F50" s="577"/>
      <c r="G50" s="577"/>
      <c r="H50" s="577"/>
      <c r="I50" s="577"/>
      <c r="J50" s="577"/>
      <c r="K50" s="577"/>
      <c r="L50" s="577"/>
    </row>
    <row r="51" spans="5:12" ht="15">
      <c r="E51" s="577"/>
      <c r="F51" s="577"/>
      <c r="G51" s="577"/>
      <c r="H51" s="577"/>
      <c r="I51" s="577"/>
      <c r="J51" s="577"/>
      <c r="K51" s="577"/>
      <c r="L51" s="577"/>
    </row>
    <row r="52" spans="5:12" ht="15">
      <c r="E52" s="577"/>
      <c r="F52" s="577"/>
      <c r="G52" s="577"/>
      <c r="H52" s="577"/>
      <c r="I52" s="577"/>
      <c r="J52" s="577"/>
      <c r="K52" s="577"/>
      <c r="L52" s="577"/>
    </row>
    <row r="53" spans="5:12" ht="15">
      <c r="E53" s="577"/>
      <c r="F53" s="577"/>
      <c r="G53" s="577"/>
      <c r="H53" s="577"/>
      <c r="I53" s="577"/>
      <c r="J53" s="577"/>
      <c r="K53" s="577"/>
      <c r="L53" s="577"/>
    </row>
    <row r="54" spans="5:12" ht="15">
      <c r="E54" s="577"/>
      <c r="F54" s="577"/>
      <c r="G54" s="577"/>
      <c r="H54" s="577"/>
      <c r="I54" s="577"/>
      <c r="J54" s="577"/>
      <c r="K54" s="577"/>
      <c r="L54" s="577"/>
    </row>
    <row r="55" spans="5:12" ht="15">
      <c r="E55" s="577"/>
      <c r="F55" s="577"/>
      <c r="G55" s="577"/>
      <c r="H55" s="577"/>
      <c r="I55" s="577"/>
      <c r="J55" s="577"/>
      <c r="K55" s="577"/>
      <c r="L55" s="577"/>
    </row>
    <row r="56" spans="5:12" ht="15">
      <c r="E56" s="577"/>
      <c r="F56" s="577"/>
      <c r="G56" s="577"/>
      <c r="H56" s="577"/>
      <c r="I56" s="577"/>
      <c r="J56" s="577"/>
      <c r="K56" s="577"/>
      <c r="L56" s="577"/>
    </row>
    <row r="57" spans="5:12" ht="15">
      <c r="E57" s="577"/>
      <c r="F57" s="577"/>
      <c r="G57" s="577"/>
      <c r="H57" s="577"/>
      <c r="I57" s="577"/>
      <c r="J57" s="577"/>
      <c r="K57" s="577"/>
      <c r="L57" s="577"/>
    </row>
    <row r="58" spans="5:12" ht="15">
      <c r="E58" s="577"/>
      <c r="F58" s="577"/>
      <c r="G58" s="577"/>
      <c r="H58" s="577"/>
      <c r="I58" s="577"/>
      <c r="J58" s="577"/>
      <c r="K58" s="577"/>
      <c r="L58" s="577"/>
    </row>
    <row r="59" spans="5:12" ht="15">
      <c r="E59" s="577"/>
      <c r="F59" s="577"/>
      <c r="G59" s="577"/>
      <c r="H59" s="577"/>
      <c r="I59" s="577"/>
      <c r="J59" s="577"/>
      <c r="K59" s="577"/>
      <c r="L59" s="577"/>
    </row>
    <row r="60" spans="5:12" ht="15">
      <c r="E60" s="577"/>
      <c r="F60" s="577"/>
      <c r="G60" s="577"/>
      <c r="H60" s="577"/>
      <c r="I60" s="577"/>
      <c r="J60" s="577"/>
      <c r="K60" s="577"/>
      <c r="L60" s="577"/>
    </row>
    <row r="61" spans="5:12" ht="15">
      <c r="E61" s="577"/>
      <c r="F61" s="577"/>
      <c r="G61" s="577"/>
      <c r="H61" s="577"/>
      <c r="I61" s="577"/>
      <c r="J61" s="577"/>
      <c r="K61" s="577"/>
      <c r="L61" s="577"/>
    </row>
    <row r="62" spans="5:12" ht="15">
      <c r="E62" s="577"/>
      <c r="F62" s="577"/>
      <c r="G62" s="577"/>
      <c r="H62" s="577"/>
      <c r="I62" s="577"/>
      <c r="J62" s="577"/>
      <c r="K62" s="577"/>
      <c r="L62" s="577"/>
    </row>
    <row r="63" spans="5:12" ht="15">
      <c r="E63" s="577"/>
      <c r="F63" s="577"/>
      <c r="G63" s="577"/>
      <c r="H63" s="577"/>
      <c r="I63" s="577"/>
      <c r="J63" s="577"/>
      <c r="K63" s="577"/>
      <c r="L63" s="577"/>
    </row>
    <row r="64" spans="5:12" ht="15">
      <c r="E64" s="577"/>
      <c r="F64" s="577"/>
      <c r="G64" s="577"/>
      <c r="H64" s="577"/>
      <c r="I64" s="577"/>
      <c r="J64" s="577"/>
      <c r="K64" s="577"/>
      <c r="L64" s="577"/>
    </row>
    <row r="65" spans="5:12" ht="15">
      <c r="E65" s="577"/>
      <c r="F65" s="577"/>
      <c r="G65" s="577"/>
      <c r="H65" s="577"/>
      <c r="I65" s="577"/>
      <c r="J65" s="577"/>
      <c r="K65" s="577"/>
      <c r="L65" s="577"/>
    </row>
    <row r="66" spans="5:12" ht="15">
      <c r="E66" s="577"/>
      <c r="F66" s="577"/>
      <c r="G66" s="577"/>
      <c r="H66" s="577"/>
      <c r="I66" s="577"/>
      <c r="J66" s="577"/>
      <c r="K66" s="577"/>
      <c r="L66" s="577"/>
    </row>
    <row r="67" spans="5:12" ht="15">
      <c r="E67" s="577"/>
      <c r="F67" s="577"/>
      <c r="G67" s="577"/>
      <c r="H67" s="577"/>
      <c r="I67" s="577"/>
      <c r="J67" s="577"/>
      <c r="K67" s="577"/>
      <c r="L67" s="577"/>
    </row>
    <row r="68" spans="5:12" ht="15">
      <c r="E68" s="577"/>
      <c r="F68" s="577"/>
      <c r="G68" s="577"/>
      <c r="H68" s="577"/>
      <c r="I68" s="577"/>
      <c r="J68" s="577"/>
      <c r="K68" s="577"/>
      <c r="L68" s="577"/>
    </row>
    <row r="69" spans="5:12" ht="15">
      <c r="E69" s="577"/>
      <c r="F69" s="577"/>
      <c r="G69" s="577"/>
      <c r="H69" s="577"/>
      <c r="I69" s="577"/>
      <c r="J69" s="577"/>
      <c r="K69" s="577"/>
      <c r="L69" s="577"/>
    </row>
    <row r="70" spans="5:12" ht="15">
      <c r="E70" s="577"/>
      <c r="F70" s="577"/>
      <c r="G70" s="577"/>
      <c r="H70" s="577"/>
      <c r="I70" s="577"/>
      <c r="J70" s="577"/>
      <c r="K70" s="577"/>
      <c r="L70" s="577"/>
    </row>
    <row r="71" spans="5:12" ht="15">
      <c r="E71" s="577"/>
      <c r="F71" s="577"/>
      <c r="G71" s="577"/>
      <c r="H71" s="577"/>
      <c r="I71" s="577"/>
      <c r="J71" s="577"/>
      <c r="K71" s="577"/>
      <c r="L71" s="577"/>
    </row>
    <row r="72" spans="5:12" ht="15">
      <c r="E72" s="577"/>
      <c r="F72" s="577"/>
      <c r="G72" s="577"/>
      <c r="H72" s="577"/>
      <c r="I72" s="577"/>
      <c r="J72" s="577"/>
      <c r="K72" s="577"/>
      <c r="L72" s="577"/>
    </row>
    <row r="73" spans="5:12" ht="15">
      <c r="E73" s="577"/>
      <c r="F73" s="577"/>
      <c r="G73" s="577"/>
      <c r="H73" s="577"/>
      <c r="I73" s="577"/>
      <c r="J73" s="577"/>
      <c r="K73" s="577"/>
      <c r="L73" s="577"/>
    </row>
    <row r="74" spans="5:12" ht="15">
      <c r="E74" s="577"/>
      <c r="F74" s="577"/>
      <c r="G74" s="577"/>
      <c r="H74" s="577"/>
      <c r="I74" s="577"/>
      <c r="J74" s="577"/>
      <c r="K74" s="577"/>
      <c r="L74" s="577"/>
    </row>
    <row r="75" spans="5:12" ht="15">
      <c r="E75" s="577"/>
      <c r="F75" s="577"/>
      <c r="G75" s="577"/>
      <c r="H75" s="577"/>
      <c r="I75" s="577"/>
      <c r="J75" s="577"/>
      <c r="K75" s="577"/>
      <c r="L75" s="577"/>
    </row>
    <row r="76" spans="5:12" ht="15">
      <c r="E76" s="577"/>
      <c r="F76" s="577"/>
      <c r="G76" s="577"/>
      <c r="H76" s="577"/>
      <c r="I76" s="577"/>
      <c r="J76" s="577"/>
      <c r="K76" s="577"/>
      <c r="L76" s="577"/>
    </row>
    <row r="77" spans="5:12" ht="15">
      <c r="E77" s="577"/>
      <c r="F77" s="577"/>
      <c r="G77" s="577"/>
      <c r="H77" s="577"/>
      <c r="I77" s="577"/>
      <c r="J77" s="577"/>
      <c r="K77" s="577"/>
      <c r="L77" s="577"/>
    </row>
    <row r="78" spans="5:12" ht="15">
      <c r="E78" s="577"/>
      <c r="F78" s="577"/>
      <c r="G78" s="577"/>
      <c r="H78" s="577"/>
      <c r="I78" s="577"/>
      <c r="J78" s="577"/>
      <c r="K78" s="577"/>
      <c r="L78" s="577"/>
    </row>
    <row r="79" spans="5:12" ht="15">
      <c r="E79" s="577"/>
      <c r="F79" s="577"/>
      <c r="G79" s="577"/>
      <c r="H79" s="577"/>
      <c r="I79" s="577"/>
      <c r="J79" s="577"/>
      <c r="K79" s="577"/>
      <c r="L79" s="577"/>
    </row>
    <row r="80" spans="5:12" ht="15">
      <c r="E80" s="577"/>
      <c r="F80" s="577"/>
      <c r="G80" s="577"/>
      <c r="H80" s="577"/>
      <c r="I80" s="577"/>
      <c r="J80" s="577"/>
      <c r="K80" s="577"/>
      <c r="L80" s="577"/>
    </row>
    <row r="81" spans="5:12" ht="15">
      <c r="E81" s="577"/>
      <c r="F81" s="577"/>
      <c r="G81" s="577"/>
      <c r="H81" s="577"/>
      <c r="I81" s="577"/>
      <c r="J81" s="577"/>
      <c r="K81" s="577"/>
      <c r="L81" s="577"/>
    </row>
    <row r="82" spans="5:12" ht="15">
      <c r="E82" s="577"/>
      <c r="F82" s="577"/>
      <c r="G82" s="577"/>
      <c r="H82" s="577"/>
      <c r="I82" s="577"/>
      <c r="J82" s="577"/>
      <c r="K82" s="577"/>
      <c r="L82" s="577"/>
    </row>
    <row r="83" spans="5:12" ht="15">
      <c r="E83" s="577"/>
      <c r="F83" s="577"/>
      <c r="G83" s="577"/>
      <c r="H83" s="577"/>
      <c r="I83" s="577"/>
      <c r="J83" s="577"/>
      <c r="K83" s="577"/>
      <c r="L83" s="577"/>
    </row>
    <row r="84" spans="5:12" ht="15">
      <c r="E84" s="577"/>
      <c r="F84" s="577"/>
      <c r="G84" s="577"/>
      <c r="H84" s="577"/>
      <c r="I84" s="577"/>
      <c r="J84" s="577"/>
      <c r="K84" s="577"/>
      <c r="L84" s="577"/>
    </row>
    <row r="85" spans="5:12" ht="15">
      <c r="E85" s="577"/>
      <c r="F85" s="577"/>
      <c r="G85" s="577"/>
      <c r="H85" s="577"/>
      <c r="I85" s="577"/>
      <c r="J85" s="577"/>
      <c r="K85" s="577"/>
      <c r="L85" s="577"/>
    </row>
    <row r="86" spans="5:12" ht="15">
      <c r="E86" s="577"/>
      <c r="F86" s="577"/>
      <c r="G86" s="577"/>
      <c r="H86" s="577"/>
      <c r="I86" s="577"/>
      <c r="J86" s="577"/>
      <c r="K86" s="577"/>
      <c r="L86" s="577"/>
    </row>
    <row r="87" spans="5:12" ht="15">
      <c r="E87" s="577"/>
      <c r="F87" s="577"/>
      <c r="G87" s="577"/>
      <c r="H87" s="577"/>
      <c r="I87" s="577"/>
      <c r="J87" s="577"/>
      <c r="K87" s="577"/>
      <c r="L87" s="577"/>
    </row>
    <row r="88" spans="5:12" ht="15">
      <c r="E88" s="577"/>
      <c r="F88" s="577"/>
      <c r="G88" s="577"/>
      <c r="H88" s="577"/>
      <c r="I88" s="577"/>
      <c r="J88" s="577"/>
      <c r="K88" s="577"/>
      <c r="L88" s="577"/>
    </row>
    <row r="89" spans="5:12" ht="15">
      <c r="E89" s="577"/>
      <c r="F89" s="577"/>
      <c r="G89" s="577"/>
      <c r="H89" s="577"/>
      <c r="I89" s="577"/>
      <c r="J89" s="577"/>
      <c r="K89" s="577"/>
      <c r="L89" s="577"/>
    </row>
    <row r="90" spans="5:12" ht="15">
      <c r="E90" s="577"/>
      <c r="F90" s="577"/>
      <c r="G90" s="577"/>
      <c r="H90" s="577"/>
      <c r="I90" s="577"/>
      <c r="J90" s="577"/>
      <c r="K90" s="577"/>
      <c r="L90" s="577"/>
    </row>
    <row r="91" spans="5:12" ht="15">
      <c r="E91" s="577"/>
      <c r="F91" s="577"/>
      <c r="G91" s="577"/>
      <c r="H91" s="577"/>
      <c r="I91" s="577"/>
      <c r="J91" s="577"/>
      <c r="K91" s="577"/>
      <c r="L91" s="577"/>
    </row>
    <row r="92" spans="5:12" ht="15">
      <c r="E92" s="577"/>
      <c r="F92" s="577"/>
      <c r="G92" s="577"/>
      <c r="H92" s="577"/>
      <c r="I92" s="577"/>
      <c r="J92" s="577"/>
      <c r="K92" s="577"/>
      <c r="L92" s="577"/>
    </row>
    <row r="93" spans="5:12" ht="15">
      <c r="E93" s="577"/>
      <c r="F93" s="577"/>
      <c r="G93" s="577"/>
      <c r="H93" s="577"/>
      <c r="I93" s="577"/>
      <c r="J93" s="577"/>
      <c r="K93" s="577"/>
      <c r="L93" s="577"/>
    </row>
    <row r="94" spans="5:12" ht="15">
      <c r="E94" s="577"/>
      <c r="F94" s="577"/>
      <c r="G94" s="577"/>
      <c r="H94" s="577"/>
      <c r="I94" s="577"/>
      <c r="J94" s="577"/>
      <c r="K94" s="577"/>
      <c r="L94" s="577"/>
    </row>
    <row r="95" spans="5:12" ht="15">
      <c r="E95" s="577"/>
      <c r="F95" s="577"/>
      <c r="G95" s="577"/>
      <c r="H95" s="577"/>
      <c r="I95" s="577"/>
      <c r="J95" s="577"/>
      <c r="K95" s="577"/>
      <c r="L95" s="577"/>
    </row>
    <row r="96" spans="5:12" ht="15">
      <c r="E96" s="577"/>
      <c r="F96" s="577"/>
      <c r="G96" s="577"/>
      <c r="H96" s="577"/>
      <c r="I96" s="577"/>
      <c r="J96" s="577"/>
      <c r="K96" s="577"/>
      <c r="L96" s="577"/>
    </row>
    <row r="97" spans="5:12" ht="15">
      <c r="E97" s="577"/>
      <c r="F97" s="577"/>
      <c r="G97" s="577"/>
      <c r="H97" s="577"/>
      <c r="I97" s="577"/>
      <c r="J97" s="577"/>
      <c r="K97" s="577"/>
      <c r="L97" s="577"/>
    </row>
    <row r="98" spans="5:12" ht="15">
      <c r="E98" s="577"/>
      <c r="F98" s="577"/>
      <c r="G98" s="577"/>
      <c r="H98" s="577"/>
      <c r="I98" s="577"/>
      <c r="J98" s="577"/>
      <c r="K98" s="577"/>
      <c r="L98" s="577"/>
    </row>
    <row r="99" spans="5:12" ht="15">
      <c r="E99" s="577"/>
      <c r="F99" s="577"/>
      <c r="G99" s="577"/>
      <c r="H99" s="577"/>
      <c r="I99" s="577"/>
      <c r="J99" s="577"/>
      <c r="K99" s="577"/>
      <c r="L99" s="577"/>
    </row>
    <row r="100" spans="5:12" ht="15">
      <c r="E100" s="577"/>
      <c r="F100" s="577"/>
      <c r="G100" s="577"/>
      <c r="H100" s="577"/>
      <c r="I100" s="577"/>
      <c r="J100" s="577"/>
      <c r="K100" s="577"/>
      <c r="L100" s="577"/>
    </row>
    <row r="101" spans="5:12" ht="15">
      <c r="E101" s="577"/>
      <c r="F101" s="577"/>
      <c r="G101" s="577"/>
      <c r="H101" s="577"/>
      <c r="I101" s="577"/>
      <c r="J101" s="577"/>
      <c r="K101" s="577"/>
      <c r="L101" s="577"/>
    </row>
    <row r="102" spans="5:12" ht="15">
      <c r="E102" s="577"/>
      <c r="F102" s="577"/>
      <c r="G102" s="577"/>
      <c r="H102" s="577"/>
      <c r="I102" s="577"/>
      <c r="J102" s="577"/>
      <c r="K102" s="577"/>
      <c r="L102" s="577"/>
    </row>
    <row r="103" spans="5:12" ht="15">
      <c r="E103" s="577"/>
      <c r="F103" s="577"/>
      <c r="G103" s="577"/>
      <c r="H103" s="577"/>
      <c r="I103" s="577"/>
      <c r="J103" s="577"/>
      <c r="K103" s="577"/>
      <c r="L103" s="577"/>
    </row>
    <row r="104" spans="5:12" ht="15">
      <c r="E104" s="577"/>
      <c r="F104" s="577"/>
      <c r="G104" s="577"/>
      <c r="H104" s="577"/>
      <c r="I104" s="577"/>
      <c r="J104" s="577"/>
      <c r="K104" s="577"/>
      <c r="L104" s="577"/>
    </row>
    <row r="105" spans="5:12" ht="15">
      <c r="E105" s="577"/>
      <c r="F105" s="577"/>
      <c r="G105" s="577"/>
      <c r="H105" s="577"/>
      <c r="I105" s="577"/>
      <c r="J105" s="577"/>
      <c r="K105" s="577"/>
      <c r="L105" s="577"/>
    </row>
    <row r="106" spans="5:12" ht="15">
      <c r="E106" s="577"/>
      <c r="F106" s="577"/>
      <c r="G106" s="577"/>
      <c r="H106" s="577"/>
      <c r="I106" s="577"/>
      <c r="J106" s="577"/>
      <c r="K106" s="577"/>
      <c r="L106" s="577"/>
    </row>
    <row r="107" spans="5:12" ht="15">
      <c r="E107" s="577"/>
      <c r="F107" s="577"/>
      <c r="G107" s="577"/>
      <c r="H107" s="577"/>
      <c r="I107" s="577"/>
      <c r="J107" s="577"/>
      <c r="K107" s="577"/>
      <c r="L107" s="577"/>
    </row>
    <row r="108" spans="5:12" ht="15">
      <c r="E108" s="577"/>
      <c r="F108" s="577"/>
      <c r="G108" s="577"/>
      <c r="H108" s="577"/>
      <c r="I108" s="577"/>
      <c r="J108" s="577"/>
      <c r="K108" s="577"/>
      <c r="L108" s="577"/>
    </row>
    <row r="109" spans="5:12" ht="15">
      <c r="E109" s="577"/>
      <c r="F109" s="577"/>
      <c r="G109" s="577"/>
      <c r="H109" s="577"/>
      <c r="I109" s="577"/>
      <c r="J109" s="577"/>
      <c r="K109" s="577"/>
      <c r="L109" s="577"/>
    </row>
    <row r="110" spans="5:12" ht="15">
      <c r="E110" s="577"/>
      <c r="F110" s="577"/>
      <c r="G110" s="577"/>
      <c r="H110" s="577"/>
      <c r="I110" s="577"/>
      <c r="J110" s="577"/>
      <c r="K110" s="577"/>
      <c r="L110" s="577"/>
    </row>
    <row r="111" spans="5:12" ht="15">
      <c r="E111" s="577"/>
      <c r="F111" s="577"/>
      <c r="G111" s="577"/>
      <c r="H111" s="577"/>
      <c r="I111" s="577"/>
      <c r="J111" s="577"/>
      <c r="K111" s="577"/>
      <c r="L111" s="577"/>
    </row>
    <row r="112" spans="5:12" ht="15">
      <c r="E112" s="577"/>
      <c r="F112" s="577"/>
      <c r="G112" s="577"/>
      <c r="H112" s="577"/>
      <c r="I112" s="577"/>
      <c r="J112" s="577"/>
      <c r="K112" s="577"/>
      <c r="L112" s="577"/>
    </row>
    <row r="113" spans="5:12" ht="15">
      <c r="E113" s="577"/>
      <c r="F113" s="577"/>
      <c r="G113" s="577"/>
      <c r="H113" s="577"/>
      <c r="I113" s="577"/>
      <c r="J113" s="577"/>
      <c r="K113" s="577"/>
      <c r="L113" s="577"/>
    </row>
    <row r="114" spans="5:12" ht="15">
      <c r="E114" s="577"/>
      <c r="F114" s="577"/>
      <c r="G114" s="577"/>
      <c r="H114" s="577"/>
      <c r="I114" s="577"/>
      <c r="J114" s="577"/>
      <c r="K114" s="577"/>
      <c r="L114" s="577"/>
    </row>
    <row r="115" spans="5:12" ht="15">
      <c r="E115" s="577"/>
      <c r="F115" s="577"/>
      <c r="G115" s="577"/>
      <c r="H115" s="577"/>
      <c r="I115" s="577"/>
      <c r="J115" s="577"/>
      <c r="K115" s="577"/>
      <c r="L115" s="577"/>
    </row>
    <row r="116" spans="5:12" ht="15">
      <c r="E116" s="577"/>
      <c r="F116" s="577"/>
      <c r="G116" s="577"/>
      <c r="H116" s="577"/>
      <c r="I116" s="577"/>
      <c r="J116" s="577"/>
      <c r="K116" s="577"/>
      <c r="L116" s="577"/>
    </row>
    <row r="117" spans="5:12" ht="15">
      <c r="E117" s="577"/>
      <c r="F117" s="577"/>
      <c r="G117" s="577"/>
      <c r="H117" s="577"/>
      <c r="I117" s="577"/>
      <c r="J117" s="577"/>
      <c r="K117" s="577"/>
      <c r="L117" s="577"/>
    </row>
    <row r="118" spans="5:12" ht="15">
      <c r="E118" s="577"/>
      <c r="F118" s="577"/>
      <c r="G118" s="577"/>
      <c r="H118" s="577"/>
      <c r="I118" s="577"/>
      <c r="J118" s="577"/>
      <c r="K118" s="577"/>
      <c r="L118" s="577"/>
    </row>
    <row r="119" spans="5:12" ht="15">
      <c r="E119" s="577"/>
      <c r="F119" s="577"/>
      <c r="G119" s="577"/>
      <c r="H119" s="577"/>
      <c r="I119" s="577"/>
      <c r="J119" s="577"/>
      <c r="K119" s="577"/>
      <c r="L119" s="577"/>
    </row>
    <row r="120" spans="5:12" ht="15">
      <c r="E120" s="577"/>
      <c r="F120" s="577"/>
      <c r="G120" s="577"/>
      <c r="H120" s="577"/>
      <c r="I120" s="577"/>
      <c r="J120" s="577"/>
      <c r="K120" s="577"/>
      <c r="L120" s="577"/>
    </row>
    <row r="121" spans="5:12" ht="15">
      <c r="E121" s="577"/>
      <c r="F121" s="577"/>
      <c r="G121" s="577"/>
      <c r="H121" s="577"/>
      <c r="I121" s="577"/>
      <c r="J121" s="577"/>
      <c r="K121" s="577"/>
      <c r="L121" s="577"/>
    </row>
    <row r="122" spans="5:12" ht="15">
      <c r="E122" s="577"/>
      <c r="F122" s="577"/>
      <c r="G122" s="577"/>
      <c r="H122" s="577"/>
      <c r="I122" s="577"/>
      <c r="J122" s="577"/>
      <c r="K122" s="577"/>
      <c r="L122" s="577"/>
    </row>
    <row r="123" spans="5:12" ht="15">
      <c r="E123" s="577"/>
      <c r="F123" s="577"/>
      <c r="G123" s="577"/>
      <c r="H123" s="577"/>
      <c r="I123" s="577"/>
      <c r="J123" s="577"/>
      <c r="K123" s="577"/>
      <c r="L123" s="577"/>
    </row>
    <row r="124" spans="5:12" ht="15">
      <c r="E124" s="577"/>
      <c r="F124" s="577"/>
      <c r="G124" s="577"/>
      <c r="H124" s="577"/>
      <c r="I124" s="577"/>
      <c r="J124" s="577"/>
      <c r="K124" s="577"/>
      <c r="L124" s="577"/>
    </row>
    <row r="125" spans="5:12" ht="15">
      <c r="E125" s="577"/>
      <c r="F125" s="577"/>
      <c r="G125" s="577"/>
      <c r="H125" s="577"/>
      <c r="I125" s="577"/>
      <c r="J125" s="577"/>
      <c r="K125" s="577"/>
      <c r="L125" s="577"/>
    </row>
    <row r="126" spans="5:12" ht="15">
      <c r="E126" s="577"/>
      <c r="F126" s="577"/>
      <c r="G126" s="577"/>
      <c r="H126" s="577"/>
      <c r="I126" s="577"/>
      <c r="J126" s="577"/>
      <c r="K126" s="577"/>
      <c r="L126" s="577"/>
    </row>
    <row r="127" spans="5:12" ht="15">
      <c r="E127" s="577"/>
      <c r="F127" s="577"/>
      <c r="G127" s="577"/>
      <c r="H127" s="577"/>
      <c r="I127" s="577"/>
      <c r="J127" s="577"/>
      <c r="K127" s="577"/>
      <c r="L127" s="577"/>
    </row>
    <row r="128" spans="5:12" ht="15">
      <c r="E128" s="577"/>
      <c r="F128" s="577"/>
      <c r="G128" s="577"/>
      <c r="H128" s="577"/>
      <c r="I128" s="577"/>
      <c r="J128" s="577"/>
      <c r="K128" s="577"/>
      <c r="L128" s="577"/>
    </row>
    <row r="129" spans="5:12" ht="15">
      <c r="E129" s="577"/>
      <c r="F129" s="577"/>
      <c r="G129" s="577"/>
      <c r="H129" s="577"/>
      <c r="I129" s="577"/>
      <c r="J129" s="577"/>
      <c r="K129" s="577"/>
      <c r="L129" s="577"/>
    </row>
    <row r="130" spans="5:12" ht="15">
      <c r="E130" s="577"/>
      <c r="F130" s="577"/>
      <c r="G130" s="577"/>
      <c r="H130" s="577"/>
      <c r="I130" s="577"/>
      <c r="J130" s="577"/>
      <c r="K130" s="577"/>
      <c r="L130" s="577"/>
    </row>
    <row r="131" spans="5:12" ht="15">
      <c r="E131" s="577"/>
      <c r="F131" s="577"/>
      <c r="G131" s="577"/>
      <c r="H131" s="577"/>
      <c r="I131" s="577"/>
      <c r="J131" s="577"/>
      <c r="K131" s="577"/>
      <c r="L131" s="577"/>
    </row>
    <row r="132" spans="5:12" ht="15">
      <c r="E132" s="577"/>
      <c r="F132" s="577"/>
      <c r="G132" s="577"/>
      <c r="H132" s="577"/>
      <c r="I132" s="577"/>
      <c r="J132" s="577"/>
      <c r="K132" s="577"/>
      <c r="L132" s="577"/>
    </row>
    <row r="133" spans="5:12" ht="15">
      <c r="E133" s="577"/>
      <c r="F133" s="577"/>
      <c r="G133" s="577"/>
      <c r="H133" s="577"/>
      <c r="I133" s="577"/>
      <c r="J133" s="577"/>
      <c r="K133" s="577"/>
      <c r="L133" s="577"/>
    </row>
    <row r="134" spans="5:12" ht="15">
      <c r="E134" s="577"/>
      <c r="F134" s="577"/>
      <c r="G134" s="577"/>
      <c r="H134" s="577"/>
      <c r="I134" s="577"/>
      <c r="J134" s="577"/>
      <c r="K134" s="577"/>
      <c r="L134" s="577"/>
    </row>
    <row r="135" spans="5:12" ht="15">
      <c r="E135" s="577"/>
      <c r="F135" s="577"/>
      <c r="G135" s="577"/>
      <c r="H135" s="577"/>
      <c r="I135" s="577"/>
      <c r="J135" s="577"/>
      <c r="K135" s="577"/>
      <c r="L135" s="577"/>
    </row>
    <row r="136" spans="5:12" ht="15">
      <c r="E136" s="577"/>
      <c r="F136" s="577"/>
      <c r="G136" s="577"/>
      <c r="H136" s="577"/>
      <c r="I136" s="577"/>
      <c r="J136" s="577"/>
      <c r="K136" s="577"/>
      <c r="L136" s="577"/>
    </row>
    <row r="137" spans="5:12" ht="15">
      <c r="E137" s="577"/>
      <c r="F137" s="577"/>
      <c r="G137" s="577"/>
      <c r="H137" s="577"/>
      <c r="I137" s="577"/>
      <c r="J137" s="577"/>
      <c r="K137" s="577"/>
      <c r="L137" s="577"/>
    </row>
    <row r="138" spans="5:12" ht="15">
      <c r="E138" s="577"/>
      <c r="F138" s="577"/>
      <c r="G138" s="577"/>
      <c r="H138" s="577"/>
      <c r="I138" s="577"/>
      <c r="J138" s="577"/>
      <c r="K138" s="577"/>
      <c r="L138" s="577"/>
    </row>
    <row r="139" spans="5:12" ht="15">
      <c r="E139" s="577"/>
      <c r="F139" s="577"/>
      <c r="G139" s="577"/>
      <c r="H139" s="577"/>
      <c r="I139" s="577"/>
      <c r="J139" s="577"/>
      <c r="K139" s="577"/>
      <c r="L139" s="577"/>
    </row>
    <row r="140" spans="5:12" ht="15">
      <c r="E140" s="577"/>
      <c r="F140" s="577"/>
      <c r="G140" s="577"/>
      <c r="H140" s="577"/>
      <c r="I140" s="577"/>
      <c r="J140" s="577"/>
      <c r="K140" s="577"/>
      <c r="L140" s="577"/>
    </row>
    <row r="141" spans="5:12" ht="15">
      <c r="E141" s="577"/>
      <c r="F141" s="577"/>
      <c r="G141" s="577"/>
      <c r="H141" s="577"/>
      <c r="I141" s="577"/>
      <c r="J141" s="577"/>
      <c r="K141" s="577"/>
      <c r="L141" s="577"/>
    </row>
    <row r="142" spans="5:12" ht="15">
      <c r="E142" s="577"/>
      <c r="F142" s="577"/>
      <c r="G142" s="577"/>
      <c r="H142" s="577"/>
      <c r="I142" s="577"/>
      <c r="J142" s="577"/>
      <c r="K142" s="577"/>
      <c r="L142" s="577"/>
    </row>
    <row r="143" spans="5:12" ht="15">
      <c r="E143" s="577"/>
      <c r="F143" s="577"/>
      <c r="G143" s="577"/>
      <c r="H143" s="577"/>
      <c r="I143" s="577"/>
      <c r="J143" s="577"/>
      <c r="K143" s="577"/>
      <c r="L143" s="577"/>
    </row>
    <row r="144" spans="5:12" ht="15">
      <c r="E144" s="577"/>
      <c r="F144" s="577"/>
      <c r="G144" s="577"/>
      <c r="H144" s="577"/>
      <c r="I144" s="577"/>
      <c r="J144" s="577"/>
      <c r="K144" s="577"/>
      <c r="L144" s="577"/>
    </row>
    <row r="145" spans="5:12" ht="15">
      <c r="E145" s="577"/>
      <c r="F145" s="577"/>
      <c r="G145" s="577"/>
      <c r="H145" s="577"/>
      <c r="I145" s="577"/>
      <c r="J145" s="577"/>
      <c r="K145" s="577"/>
      <c r="L145" s="577"/>
    </row>
    <row r="146" spans="5:12" ht="15">
      <c r="E146" s="577"/>
      <c r="F146" s="577"/>
      <c r="G146" s="577"/>
      <c r="H146" s="577"/>
      <c r="I146" s="577"/>
      <c r="J146" s="577"/>
      <c r="K146" s="577"/>
      <c r="L146" s="577"/>
    </row>
    <row r="147" spans="5:12" ht="15">
      <c r="E147" s="577"/>
      <c r="F147" s="577"/>
      <c r="G147" s="577"/>
      <c r="H147" s="577"/>
      <c r="I147" s="577"/>
      <c r="J147" s="577"/>
      <c r="K147" s="577"/>
      <c r="L147" s="577"/>
    </row>
    <row r="148" spans="5:12" ht="15">
      <c r="E148" s="577"/>
      <c r="F148" s="577"/>
      <c r="G148" s="577"/>
      <c r="H148" s="577"/>
      <c r="I148" s="577"/>
      <c r="J148" s="577"/>
      <c r="K148" s="577"/>
      <c r="L148" s="577"/>
    </row>
    <row r="149" spans="5:12" ht="15">
      <c r="E149" s="577"/>
      <c r="F149" s="577"/>
      <c r="G149" s="577"/>
      <c r="H149" s="577"/>
      <c r="I149" s="577"/>
      <c r="J149" s="577"/>
      <c r="K149" s="577"/>
      <c r="L149" s="577"/>
    </row>
    <row r="150" spans="5:12" ht="15">
      <c r="E150" s="577"/>
      <c r="F150" s="577"/>
      <c r="G150" s="577"/>
      <c r="H150" s="577"/>
      <c r="I150" s="577"/>
      <c r="J150" s="577"/>
      <c r="K150" s="577"/>
      <c r="L150" s="577"/>
    </row>
    <row r="151" spans="5:12" ht="15">
      <c r="E151" s="577"/>
      <c r="F151" s="577"/>
      <c r="G151" s="577"/>
      <c r="H151" s="577"/>
      <c r="I151" s="577"/>
      <c r="J151" s="577"/>
      <c r="K151" s="577"/>
      <c r="L151" s="577"/>
    </row>
    <row r="152" spans="5:12" ht="15">
      <c r="E152" s="577"/>
      <c r="F152" s="577"/>
      <c r="G152" s="577"/>
      <c r="H152" s="577"/>
      <c r="I152" s="577"/>
      <c r="J152" s="577"/>
      <c r="K152" s="577"/>
      <c r="L152" s="577"/>
    </row>
    <row r="153" spans="5:12" ht="15">
      <c r="E153" s="577"/>
      <c r="F153" s="577"/>
      <c r="G153" s="577"/>
      <c r="H153" s="577"/>
      <c r="I153" s="577"/>
      <c r="J153" s="577"/>
      <c r="K153" s="577"/>
      <c r="L153" s="577"/>
    </row>
    <row r="154" spans="5:12" ht="15">
      <c r="E154" s="577"/>
      <c r="F154" s="577"/>
      <c r="G154" s="577"/>
      <c r="H154" s="577"/>
      <c r="I154" s="577"/>
      <c r="J154" s="577"/>
      <c r="K154" s="577"/>
      <c r="L154" s="577"/>
    </row>
    <row r="155" spans="5:12" ht="15">
      <c r="E155" s="577"/>
      <c r="F155" s="577"/>
      <c r="G155" s="577"/>
      <c r="H155" s="577"/>
      <c r="I155" s="577"/>
      <c r="J155" s="577"/>
      <c r="K155" s="577"/>
      <c r="L155" s="577"/>
    </row>
    <row r="156" spans="5:12" ht="15">
      <c r="E156" s="577"/>
      <c r="F156" s="577"/>
      <c r="G156" s="577"/>
      <c r="H156" s="577"/>
      <c r="I156" s="577"/>
      <c r="J156" s="577"/>
      <c r="K156" s="577"/>
      <c r="L156" s="577"/>
    </row>
    <row r="157" spans="5:12" ht="15">
      <c r="E157" s="577"/>
      <c r="F157" s="577"/>
      <c r="G157" s="577"/>
      <c r="H157" s="577"/>
      <c r="I157" s="577"/>
      <c r="J157" s="577"/>
      <c r="K157" s="577"/>
      <c r="L157" s="577"/>
    </row>
    <row r="158" spans="5:12" ht="15">
      <c r="E158" s="577"/>
      <c r="F158" s="577"/>
      <c r="G158" s="577"/>
      <c r="H158" s="577"/>
      <c r="I158" s="577"/>
      <c r="J158" s="577"/>
      <c r="K158" s="577"/>
      <c r="L158" s="577"/>
    </row>
    <row r="159" spans="5:12" ht="15">
      <c r="E159" s="577"/>
      <c r="F159" s="577"/>
      <c r="G159" s="577"/>
      <c r="H159" s="577"/>
      <c r="I159" s="577"/>
      <c r="J159" s="577"/>
      <c r="K159" s="577"/>
      <c r="L159" s="577"/>
    </row>
    <row r="160" spans="5:12" ht="15">
      <c r="E160" s="577"/>
      <c r="F160" s="577"/>
      <c r="G160" s="577"/>
      <c r="H160" s="577"/>
      <c r="I160" s="577"/>
      <c r="J160" s="577"/>
      <c r="K160" s="577"/>
      <c r="L160" s="577"/>
    </row>
    <row r="161" spans="5:12" ht="15">
      <c r="E161" s="577"/>
      <c r="F161" s="577"/>
      <c r="G161" s="577"/>
      <c r="H161" s="577"/>
      <c r="I161" s="577"/>
      <c r="J161" s="577"/>
      <c r="K161" s="577"/>
      <c r="L161" s="577"/>
    </row>
    <row r="162" spans="5:12" ht="15">
      <c r="E162" s="577"/>
      <c r="F162" s="577"/>
      <c r="G162" s="577"/>
      <c r="H162" s="577"/>
      <c r="I162" s="577"/>
      <c r="J162" s="577"/>
      <c r="K162" s="577"/>
      <c r="L162" s="577"/>
    </row>
    <row r="163" spans="5:12" ht="15">
      <c r="E163" s="577"/>
      <c r="F163" s="577"/>
      <c r="G163" s="577"/>
      <c r="H163" s="577"/>
      <c r="I163" s="577"/>
      <c r="J163" s="577"/>
      <c r="K163" s="577"/>
      <c r="L163" s="577"/>
    </row>
    <row r="164" spans="5:12" ht="15">
      <c r="E164" s="577"/>
      <c r="F164" s="577"/>
      <c r="G164" s="577"/>
      <c r="H164" s="577"/>
      <c r="I164" s="577"/>
      <c r="J164" s="577"/>
      <c r="K164" s="577"/>
      <c r="L164" s="577"/>
    </row>
    <row r="165" spans="5:12" ht="15">
      <c r="E165" s="577"/>
      <c r="F165" s="577"/>
      <c r="G165" s="577"/>
      <c r="H165" s="577"/>
      <c r="I165" s="577"/>
      <c r="J165" s="577"/>
      <c r="K165" s="577"/>
      <c r="L165" s="577"/>
    </row>
    <row r="166" spans="5:12" ht="15">
      <c r="E166" s="577"/>
      <c r="F166" s="577"/>
      <c r="G166" s="577"/>
      <c r="H166" s="577"/>
      <c r="I166" s="577"/>
      <c r="J166" s="577"/>
      <c r="K166" s="577"/>
      <c r="L166" s="577"/>
    </row>
    <row r="167" spans="5:12" ht="15">
      <c r="E167" s="577"/>
      <c r="F167" s="577"/>
      <c r="G167" s="577"/>
      <c r="H167" s="577"/>
      <c r="I167" s="577"/>
      <c r="J167" s="577"/>
      <c r="K167" s="577"/>
      <c r="L167" s="577"/>
    </row>
    <row r="168" spans="5:12" ht="15">
      <c r="E168" s="577"/>
      <c r="F168" s="577"/>
      <c r="G168" s="577"/>
      <c r="H168" s="577"/>
      <c r="I168" s="577"/>
      <c r="J168" s="577"/>
      <c r="K168" s="577"/>
      <c r="L168" s="577"/>
    </row>
    <row r="169" spans="5:12" ht="15">
      <c r="E169" s="577"/>
      <c r="F169" s="577"/>
      <c r="G169" s="577"/>
      <c r="H169" s="577"/>
      <c r="I169" s="577"/>
      <c r="J169" s="577"/>
      <c r="K169" s="577"/>
      <c r="L169" s="577"/>
    </row>
    <row r="170" spans="5:12" ht="15">
      <c r="E170" s="577"/>
      <c r="F170" s="577"/>
      <c r="G170" s="577"/>
      <c r="H170" s="577"/>
      <c r="I170" s="577"/>
      <c r="J170" s="577"/>
      <c r="K170" s="577"/>
      <c r="L170" s="577"/>
    </row>
    <row r="171" spans="5:12" ht="15">
      <c r="E171" s="577"/>
      <c r="F171" s="577"/>
      <c r="G171" s="577"/>
      <c r="H171" s="577"/>
      <c r="I171" s="577"/>
      <c r="J171" s="577"/>
      <c r="K171" s="577"/>
      <c r="L171" s="577"/>
    </row>
    <row r="172" spans="5:12" ht="15">
      <c r="E172" s="577"/>
      <c r="F172" s="577"/>
      <c r="G172" s="577"/>
      <c r="H172" s="577"/>
      <c r="I172" s="577"/>
      <c r="J172" s="577"/>
      <c r="K172" s="577"/>
      <c r="L172" s="577"/>
    </row>
    <row r="173" spans="5:12" ht="15">
      <c r="E173" s="577"/>
      <c r="F173" s="577"/>
      <c r="G173" s="577"/>
      <c r="H173" s="577"/>
      <c r="I173" s="577"/>
      <c r="J173" s="577"/>
      <c r="K173" s="577"/>
      <c r="L173" s="577"/>
    </row>
    <row r="174" spans="5:12" ht="15">
      <c r="E174" s="577"/>
      <c r="F174" s="577"/>
      <c r="G174" s="577"/>
      <c r="H174" s="577"/>
      <c r="I174" s="577"/>
      <c r="J174" s="577"/>
      <c r="K174" s="577"/>
      <c r="L174" s="577"/>
    </row>
    <row r="175" spans="5:12" ht="15">
      <c r="E175" s="577"/>
      <c r="F175" s="577"/>
      <c r="G175" s="577"/>
      <c r="H175" s="577"/>
      <c r="I175" s="577"/>
      <c r="J175" s="577"/>
      <c r="K175" s="577"/>
      <c r="L175" s="577"/>
    </row>
    <row r="176" spans="5:12" ht="15">
      <c r="E176" s="577"/>
      <c r="F176" s="577"/>
      <c r="G176" s="577"/>
      <c r="H176" s="577"/>
      <c r="I176" s="577"/>
      <c r="J176" s="577"/>
      <c r="K176" s="577"/>
      <c r="L176" s="577"/>
    </row>
    <row r="177" spans="5:12" ht="15">
      <c r="E177" s="577"/>
      <c r="F177" s="577"/>
      <c r="G177" s="577"/>
      <c r="H177" s="577"/>
      <c r="I177" s="577"/>
      <c r="J177" s="577"/>
      <c r="K177" s="577"/>
      <c r="L177" s="577"/>
    </row>
    <row r="178" spans="5:12" ht="15">
      <c r="E178" s="577"/>
      <c r="F178" s="577"/>
      <c r="G178" s="577"/>
      <c r="H178" s="577"/>
      <c r="I178" s="577"/>
      <c r="J178" s="577"/>
      <c r="K178" s="577"/>
      <c r="L178" s="577"/>
    </row>
    <row r="179" spans="5:12" ht="15">
      <c r="E179" s="577"/>
      <c r="F179" s="577"/>
      <c r="G179" s="577"/>
      <c r="H179" s="577"/>
      <c r="I179" s="577"/>
      <c r="J179" s="577"/>
      <c r="K179" s="577"/>
      <c r="L179" s="577"/>
    </row>
    <row r="180" spans="5:12" ht="15">
      <c r="E180" s="577"/>
      <c r="F180" s="577"/>
      <c r="G180" s="577"/>
      <c r="H180" s="577"/>
      <c r="I180" s="577"/>
      <c r="J180" s="577"/>
      <c r="K180" s="577"/>
      <c r="L180" s="577"/>
    </row>
    <row r="181" spans="5:12" ht="15">
      <c r="E181" s="577"/>
      <c r="F181" s="577"/>
      <c r="G181" s="577"/>
      <c r="H181" s="577"/>
      <c r="I181" s="577"/>
      <c r="J181" s="577"/>
      <c r="K181" s="577"/>
      <c r="L181" s="577"/>
    </row>
    <row r="182" spans="5:12" ht="15">
      <c r="E182" s="577"/>
      <c r="F182" s="577"/>
      <c r="G182" s="577"/>
      <c r="H182" s="577"/>
      <c r="I182" s="577"/>
      <c r="J182" s="577"/>
      <c r="K182" s="577"/>
      <c r="L182" s="577"/>
    </row>
    <row r="183" spans="5:12" ht="15">
      <c r="E183" s="577"/>
      <c r="F183" s="577"/>
      <c r="G183" s="577"/>
      <c r="H183" s="577"/>
      <c r="I183" s="577"/>
      <c r="J183" s="577"/>
      <c r="K183" s="577"/>
      <c r="L183" s="577"/>
    </row>
    <row r="184" spans="5:12" ht="15">
      <c r="E184" s="577"/>
      <c r="F184" s="577"/>
      <c r="G184" s="577"/>
      <c r="H184" s="577"/>
      <c r="I184" s="577"/>
      <c r="J184" s="577"/>
      <c r="K184" s="577"/>
      <c r="L184" s="577"/>
    </row>
    <row r="185" spans="5:12" ht="15">
      <c r="E185" s="577"/>
      <c r="F185" s="577"/>
      <c r="G185" s="577"/>
      <c r="H185" s="577"/>
      <c r="I185" s="577"/>
      <c r="J185" s="577"/>
      <c r="K185" s="577"/>
      <c r="L185" s="577"/>
    </row>
    <row r="186" spans="5:12" ht="15">
      <c r="E186" s="577"/>
      <c r="F186" s="577"/>
      <c r="G186" s="577"/>
      <c r="H186" s="577"/>
      <c r="I186" s="577"/>
      <c r="J186" s="577"/>
      <c r="K186" s="577"/>
      <c r="L186" s="577"/>
    </row>
    <row r="187" spans="5:12" ht="15">
      <c r="E187" s="577"/>
      <c r="F187" s="577"/>
      <c r="G187" s="577"/>
      <c r="H187" s="577"/>
      <c r="I187" s="577"/>
      <c r="J187" s="577"/>
      <c r="K187" s="577"/>
      <c r="L187" s="577"/>
    </row>
    <row r="188" spans="5:12" ht="15">
      <c r="E188" s="577"/>
      <c r="F188" s="577"/>
      <c r="G188" s="577"/>
      <c r="H188" s="577"/>
      <c r="I188" s="577"/>
      <c r="J188" s="577"/>
      <c r="K188" s="577"/>
      <c r="L188" s="577"/>
    </row>
    <row r="189" spans="5:12" ht="15">
      <c r="E189" s="577"/>
      <c r="F189" s="577"/>
      <c r="G189" s="577"/>
      <c r="H189" s="577"/>
      <c r="I189" s="577"/>
      <c r="J189" s="577"/>
      <c r="K189" s="577"/>
      <c r="L189" s="577"/>
    </row>
    <row r="190" spans="5:12" ht="15">
      <c r="E190" s="577"/>
      <c r="F190" s="577"/>
      <c r="G190" s="577"/>
      <c r="H190" s="577"/>
      <c r="I190" s="577"/>
      <c r="J190" s="577"/>
      <c r="K190" s="577"/>
      <c r="L190" s="577"/>
    </row>
    <row r="191" spans="5:12" ht="15">
      <c r="E191" s="577"/>
      <c r="F191" s="577"/>
      <c r="G191" s="577"/>
      <c r="H191" s="577"/>
      <c r="I191" s="577"/>
      <c r="J191" s="577"/>
      <c r="K191" s="577"/>
      <c r="L191" s="577"/>
    </row>
    <row r="192" spans="5:12" ht="15">
      <c r="E192" s="577"/>
      <c r="F192" s="577"/>
      <c r="G192" s="577"/>
      <c r="H192" s="577"/>
      <c r="I192" s="577"/>
      <c r="J192" s="577"/>
      <c r="K192" s="577"/>
      <c r="L192" s="577"/>
    </row>
    <row r="193" spans="5:12" ht="15">
      <c r="E193" s="577"/>
      <c r="F193" s="577"/>
      <c r="G193" s="577"/>
      <c r="H193" s="577"/>
      <c r="I193" s="577"/>
      <c r="J193" s="577"/>
      <c r="K193" s="577"/>
      <c r="L193" s="577"/>
    </row>
    <row r="194" spans="5:12" ht="15">
      <c r="E194" s="577"/>
      <c r="F194" s="577"/>
      <c r="G194" s="577"/>
      <c r="H194" s="577"/>
      <c r="I194" s="577"/>
      <c r="J194" s="577"/>
      <c r="K194" s="577"/>
      <c r="L194" s="577"/>
    </row>
    <row r="195" spans="5:12" ht="15">
      <c r="E195" s="577"/>
      <c r="F195" s="577"/>
      <c r="G195" s="577"/>
      <c r="H195" s="577"/>
      <c r="I195" s="577"/>
      <c r="J195" s="577"/>
      <c r="K195" s="577"/>
      <c r="L195" s="577"/>
    </row>
    <row r="196" spans="5:12" ht="15">
      <c r="E196" s="577"/>
      <c r="F196" s="577"/>
      <c r="G196" s="577"/>
      <c r="H196" s="577"/>
      <c r="I196" s="577"/>
      <c r="J196" s="577"/>
      <c r="K196" s="577"/>
      <c r="L196" s="577"/>
    </row>
    <row r="197" spans="5:12" ht="15">
      <c r="E197" s="577"/>
      <c r="F197" s="577"/>
      <c r="G197" s="577"/>
      <c r="H197" s="577"/>
      <c r="I197" s="577"/>
      <c r="J197" s="577"/>
      <c r="K197" s="577"/>
      <c r="L197" s="577"/>
    </row>
    <row r="198" spans="5:12" ht="15">
      <c r="E198" s="577"/>
      <c r="F198" s="577"/>
      <c r="G198" s="577"/>
      <c r="H198" s="577"/>
      <c r="I198" s="577"/>
      <c r="J198" s="577"/>
      <c r="K198" s="577"/>
      <c r="L198" s="577"/>
    </row>
    <row r="199" spans="5:12" ht="15">
      <c r="E199" s="577"/>
      <c r="F199" s="577"/>
      <c r="G199" s="577"/>
      <c r="H199" s="577"/>
      <c r="I199" s="577"/>
      <c r="J199" s="577"/>
      <c r="K199" s="577"/>
      <c r="L199" s="577"/>
    </row>
    <row r="200" spans="5:12" ht="15">
      <c r="E200" s="577"/>
      <c r="F200" s="577"/>
      <c r="G200" s="577"/>
      <c r="H200" s="577"/>
      <c r="I200" s="577"/>
      <c r="J200" s="577"/>
      <c r="K200" s="577"/>
      <c r="L200" s="577"/>
    </row>
    <row r="201" spans="5:12" ht="15">
      <c r="E201" s="577"/>
      <c r="F201" s="577"/>
      <c r="G201" s="577"/>
      <c r="H201" s="577"/>
      <c r="I201" s="577"/>
      <c r="J201" s="577"/>
      <c r="K201" s="577"/>
      <c r="L201" s="577"/>
    </row>
    <row r="202" spans="5:12" ht="15">
      <c r="E202" s="577"/>
      <c r="F202" s="577"/>
      <c r="G202" s="577"/>
      <c r="H202" s="577"/>
      <c r="I202" s="577"/>
      <c r="J202" s="577"/>
      <c r="K202" s="577"/>
      <c r="L202" s="577"/>
    </row>
    <row r="203" spans="5:12" ht="15">
      <c r="E203" s="577"/>
      <c r="F203" s="577"/>
      <c r="G203" s="577"/>
      <c r="H203" s="577"/>
      <c r="I203" s="577"/>
      <c r="J203" s="577"/>
      <c r="K203" s="577"/>
      <c r="L203" s="577"/>
    </row>
    <row r="204" spans="5:12" ht="15">
      <c r="E204" s="577"/>
      <c r="F204" s="577"/>
      <c r="G204" s="577"/>
      <c r="H204" s="577"/>
      <c r="I204" s="577"/>
      <c r="J204" s="577"/>
      <c r="K204" s="577"/>
      <c r="L204" s="577"/>
    </row>
    <row r="205" spans="5:12" ht="15">
      <c r="E205" s="577"/>
      <c r="F205" s="577"/>
      <c r="G205" s="577"/>
      <c r="H205" s="577"/>
      <c r="I205" s="577"/>
      <c r="J205" s="577"/>
      <c r="K205" s="577"/>
      <c r="L205" s="577"/>
    </row>
    <row r="206" spans="5:12" ht="15">
      <c r="E206" s="577"/>
      <c r="F206" s="577"/>
      <c r="G206" s="577"/>
      <c r="H206" s="577"/>
      <c r="I206" s="577"/>
      <c r="J206" s="577"/>
      <c r="K206" s="577"/>
      <c r="L206" s="577"/>
    </row>
    <row r="207" spans="5:12" ht="15">
      <c r="E207" s="577"/>
      <c r="F207" s="577"/>
      <c r="G207" s="577"/>
      <c r="H207" s="577"/>
      <c r="I207" s="577"/>
      <c r="J207" s="577"/>
      <c r="K207" s="577"/>
      <c r="L207" s="577"/>
    </row>
    <row r="208" spans="5:12" ht="15">
      <c r="E208" s="577"/>
      <c r="F208" s="577"/>
      <c r="G208" s="577"/>
      <c r="H208" s="577"/>
      <c r="I208" s="577"/>
      <c r="J208" s="577"/>
      <c r="K208" s="577"/>
      <c r="L208" s="577"/>
    </row>
    <row r="209" spans="5:12" ht="15">
      <c r="E209" s="577"/>
      <c r="F209" s="577"/>
      <c r="G209" s="577"/>
      <c r="H209" s="577"/>
      <c r="I209" s="577"/>
      <c r="J209" s="577"/>
      <c r="K209" s="577"/>
      <c r="L209" s="577"/>
    </row>
    <row r="210" spans="5:12" ht="15">
      <c r="E210" s="577"/>
      <c r="F210" s="577"/>
      <c r="G210" s="577"/>
      <c r="H210" s="577"/>
      <c r="I210" s="577"/>
      <c r="J210" s="577"/>
      <c r="K210" s="577"/>
      <c r="L210" s="577"/>
    </row>
    <row r="211" spans="5:12" ht="15">
      <c r="E211" s="577"/>
      <c r="F211" s="577"/>
      <c r="G211" s="577"/>
      <c r="H211" s="577"/>
      <c r="I211" s="577"/>
      <c r="J211" s="577"/>
      <c r="K211" s="577"/>
      <c r="L211" s="577"/>
    </row>
    <row r="212" spans="5:12" ht="15">
      <c r="E212" s="577"/>
      <c r="F212" s="577"/>
      <c r="G212" s="577"/>
      <c r="H212" s="577"/>
      <c r="I212" s="577"/>
      <c r="J212" s="577"/>
      <c r="K212" s="577"/>
      <c r="L212" s="577"/>
    </row>
    <row r="213" spans="5:12" ht="15">
      <c r="E213" s="577"/>
      <c r="F213" s="577"/>
      <c r="G213" s="577"/>
      <c r="H213" s="577"/>
      <c r="I213" s="577"/>
      <c r="J213" s="577"/>
      <c r="K213" s="577"/>
      <c r="L213" s="577"/>
    </row>
    <row r="214" spans="5:12" ht="15">
      <c r="E214" s="577"/>
      <c r="F214" s="577"/>
      <c r="G214" s="577"/>
      <c r="H214" s="577"/>
      <c r="I214" s="577"/>
      <c r="J214" s="577"/>
      <c r="K214" s="577"/>
      <c r="L214" s="577"/>
    </row>
    <row r="215" spans="5:12" ht="15">
      <c r="E215" s="577"/>
      <c r="F215" s="577"/>
      <c r="G215" s="577"/>
      <c r="H215" s="577"/>
      <c r="I215" s="577"/>
      <c r="J215" s="577"/>
      <c r="K215" s="577"/>
      <c r="L215" s="577"/>
    </row>
    <row r="216" spans="5:12" ht="15">
      <c r="E216" s="577"/>
      <c r="F216" s="577"/>
      <c r="G216" s="577"/>
      <c r="H216" s="577"/>
      <c r="I216" s="577"/>
      <c r="J216" s="577"/>
      <c r="K216" s="577"/>
      <c r="L216" s="577"/>
    </row>
    <row r="217" spans="5:12" ht="15">
      <c r="E217" s="577"/>
      <c r="F217" s="577"/>
      <c r="G217" s="577"/>
      <c r="H217" s="577"/>
      <c r="I217" s="577"/>
      <c r="J217" s="577"/>
      <c r="K217" s="577"/>
      <c r="L217" s="577"/>
    </row>
    <row r="218" spans="5:12" ht="15">
      <c r="E218" s="577"/>
      <c r="F218" s="577"/>
      <c r="G218" s="577"/>
      <c r="H218" s="577"/>
      <c r="I218" s="577"/>
      <c r="J218" s="577"/>
      <c r="K218" s="577"/>
      <c r="L218" s="577"/>
    </row>
    <row r="219" spans="5:12" ht="15">
      <c r="E219" s="577"/>
      <c r="F219" s="577"/>
      <c r="G219" s="577"/>
      <c r="H219" s="577"/>
      <c r="I219" s="577"/>
      <c r="J219" s="577"/>
      <c r="K219" s="577"/>
      <c r="L219" s="577"/>
    </row>
    <row r="220" spans="5:12" ht="15">
      <c r="E220" s="577"/>
      <c r="F220" s="577"/>
      <c r="G220" s="577"/>
      <c r="H220" s="577"/>
      <c r="I220" s="577"/>
      <c r="J220" s="577"/>
      <c r="K220" s="577"/>
      <c r="L220" s="577"/>
    </row>
    <row r="221" spans="5:12" ht="15">
      <c r="E221" s="577"/>
      <c r="F221" s="577"/>
      <c r="G221" s="577"/>
      <c r="H221" s="577"/>
      <c r="I221" s="577"/>
      <c r="J221" s="577"/>
      <c r="K221" s="577"/>
      <c r="L221" s="577"/>
    </row>
    <row r="222" spans="5:12" ht="15">
      <c r="E222" s="577"/>
      <c r="F222" s="577"/>
      <c r="G222" s="577"/>
      <c r="H222" s="577"/>
      <c r="I222" s="577"/>
      <c r="J222" s="577"/>
      <c r="K222" s="577"/>
      <c r="L222" s="577"/>
    </row>
    <row r="223" spans="5:12" ht="15">
      <c r="E223" s="577"/>
      <c r="F223" s="577"/>
      <c r="G223" s="577"/>
      <c r="H223" s="577"/>
      <c r="I223" s="577"/>
      <c r="J223" s="577"/>
      <c r="K223" s="577"/>
      <c r="L223" s="577"/>
    </row>
    <row r="224" spans="5:12" ht="15">
      <c r="E224" s="577"/>
      <c r="F224" s="577"/>
      <c r="G224" s="577"/>
      <c r="H224" s="577"/>
      <c r="I224" s="577"/>
      <c r="J224" s="577"/>
      <c r="K224" s="577"/>
      <c r="L224" s="577"/>
    </row>
    <row r="225" spans="5:12" ht="15">
      <c r="E225" s="577"/>
      <c r="F225" s="577"/>
      <c r="G225" s="577"/>
      <c r="H225" s="577"/>
      <c r="I225" s="577"/>
      <c r="J225" s="577"/>
      <c r="K225" s="577"/>
      <c r="L225" s="577"/>
    </row>
    <row r="226" spans="5:12" ht="15">
      <c r="E226" s="577"/>
      <c r="F226" s="577"/>
      <c r="G226" s="577"/>
      <c r="H226" s="577"/>
      <c r="I226" s="577"/>
      <c r="J226" s="577"/>
      <c r="K226" s="577"/>
      <c r="L226" s="577"/>
    </row>
    <row r="227" spans="5:12" ht="15">
      <c r="E227" s="577"/>
      <c r="F227" s="577"/>
      <c r="G227" s="577"/>
      <c r="H227" s="577"/>
      <c r="I227" s="577"/>
      <c r="J227" s="577"/>
      <c r="K227" s="577"/>
      <c r="L227" s="577"/>
    </row>
    <row r="228" spans="5:12" ht="15">
      <c r="E228" s="577"/>
      <c r="F228" s="577"/>
      <c r="G228" s="577"/>
      <c r="H228" s="577"/>
      <c r="I228" s="577"/>
      <c r="J228" s="577"/>
      <c r="K228" s="577"/>
      <c r="L228" s="577"/>
    </row>
    <row r="229" spans="5:12" ht="15">
      <c r="E229" s="577"/>
      <c r="F229" s="577"/>
      <c r="G229" s="577"/>
      <c r="H229" s="577"/>
      <c r="I229" s="577"/>
      <c r="J229" s="577"/>
      <c r="K229" s="577"/>
      <c r="L229" s="577"/>
    </row>
    <row r="230" spans="5:12" ht="15">
      <c r="E230" s="577"/>
      <c r="F230" s="577"/>
      <c r="G230" s="577"/>
      <c r="H230" s="577"/>
      <c r="I230" s="577"/>
      <c r="J230" s="577"/>
      <c r="K230" s="577"/>
      <c r="L230" s="577"/>
    </row>
    <row r="231" spans="5:12" ht="15">
      <c r="E231" s="577"/>
      <c r="F231" s="577"/>
      <c r="G231" s="577"/>
      <c r="H231" s="577"/>
      <c r="I231" s="577"/>
      <c r="J231" s="577"/>
      <c r="K231" s="577"/>
      <c r="L231" s="577"/>
    </row>
    <row r="232" spans="5:12" ht="15">
      <c r="E232" s="577"/>
      <c r="F232" s="577"/>
      <c r="G232" s="577"/>
      <c r="H232" s="577"/>
      <c r="I232" s="577"/>
      <c r="J232" s="577"/>
      <c r="K232" s="577"/>
      <c r="L232" s="577"/>
    </row>
    <row r="233" spans="5:12" ht="15">
      <c r="E233" s="577"/>
      <c r="F233" s="577"/>
      <c r="G233" s="577"/>
      <c r="H233" s="577"/>
      <c r="I233" s="577"/>
      <c r="J233" s="577"/>
      <c r="K233" s="577"/>
      <c r="L233" s="577"/>
    </row>
    <row r="234" spans="5:12" ht="15">
      <c r="E234" s="577"/>
      <c r="F234" s="577"/>
      <c r="G234" s="577"/>
      <c r="H234" s="577"/>
      <c r="I234" s="577"/>
      <c r="J234" s="577"/>
      <c r="K234" s="577"/>
      <c r="L234" s="577"/>
    </row>
    <row r="235" spans="5:12" ht="15">
      <c r="E235" s="577"/>
      <c r="F235" s="577"/>
      <c r="G235" s="577"/>
      <c r="H235" s="577"/>
      <c r="I235" s="577"/>
      <c r="J235" s="577"/>
      <c r="K235" s="577"/>
      <c r="L235" s="577"/>
    </row>
    <row r="236" spans="5:12" ht="15">
      <c r="E236" s="577"/>
      <c r="F236" s="577"/>
      <c r="G236" s="577"/>
      <c r="H236" s="577"/>
      <c r="I236" s="577"/>
      <c r="J236" s="577"/>
      <c r="K236" s="577"/>
      <c r="L236" s="577"/>
    </row>
    <row r="237" spans="5:12" ht="15">
      <c r="E237" s="577"/>
      <c r="F237" s="577"/>
      <c r="G237" s="577"/>
      <c r="H237" s="577"/>
      <c r="I237" s="577"/>
      <c r="J237" s="577"/>
      <c r="K237" s="577"/>
      <c r="L237" s="577"/>
    </row>
    <row r="238" spans="5:12" ht="15">
      <c r="E238" s="577"/>
      <c r="F238" s="577"/>
      <c r="G238" s="577"/>
      <c r="H238" s="577"/>
      <c r="I238" s="577"/>
      <c r="J238" s="577"/>
      <c r="K238" s="577"/>
      <c r="L238" s="577"/>
    </row>
    <row r="239" spans="5:12" ht="15">
      <c r="E239" s="577"/>
      <c r="F239" s="577"/>
      <c r="G239" s="577"/>
      <c r="H239" s="577"/>
      <c r="I239" s="577"/>
      <c r="J239" s="577"/>
      <c r="K239" s="577"/>
      <c r="L239" s="577"/>
    </row>
    <row r="240" spans="5:12" ht="15">
      <c r="E240" s="577"/>
      <c r="F240" s="577"/>
      <c r="G240" s="577"/>
      <c r="H240" s="577"/>
      <c r="I240" s="577"/>
      <c r="J240" s="577"/>
      <c r="K240" s="577"/>
      <c r="L240" s="577"/>
    </row>
    <row r="241" spans="5:12" ht="15">
      <c r="E241" s="577"/>
      <c r="F241" s="577"/>
      <c r="G241" s="577"/>
      <c r="H241" s="577"/>
      <c r="I241" s="577"/>
      <c r="J241" s="577"/>
      <c r="K241" s="577"/>
      <c r="L241" s="577"/>
    </row>
    <row r="242" spans="5:12" ht="15">
      <c r="E242" s="577"/>
      <c r="F242" s="577"/>
      <c r="G242" s="577"/>
      <c r="H242" s="577"/>
      <c r="I242" s="577"/>
      <c r="J242" s="577"/>
      <c r="K242" s="577"/>
      <c r="L242" s="577"/>
    </row>
    <row r="243" spans="5:12" ht="15">
      <c r="E243" s="577"/>
      <c r="F243" s="577"/>
      <c r="G243" s="577"/>
      <c r="H243" s="577"/>
      <c r="I243" s="577"/>
      <c r="J243" s="577"/>
      <c r="K243" s="577"/>
      <c r="L243" s="577"/>
    </row>
    <row r="244" spans="5:12" ht="15">
      <c r="E244" s="577"/>
      <c r="F244" s="577"/>
      <c r="G244" s="577"/>
      <c r="H244" s="577"/>
      <c r="I244" s="577"/>
      <c r="J244" s="577"/>
      <c r="K244" s="577"/>
      <c r="L244" s="577"/>
    </row>
    <row r="245" spans="5:12" ht="15">
      <c r="E245" s="577"/>
      <c r="F245" s="577"/>
      <c r="G245" s="577"/>
      <c r="H245" s="577"/>
      <c r="I245" s="577"/>
      <c r="J245" s="577"/>
      <c r="K245" s="577"/>
      <c r="L245" s="577"/>
    </row>
    <row r="246" spans="5:12" ht="15">
      <c r="E246" s="577"/>
      <c r="F246" s="577"/>
      <c r="G246" s="577"/>
      <c r="H246" s="577"/>
      <c r="I246" s="577"/>
      <c r="J246" s="577"/>
      <c r="K246" s="577"/>
      <c r="L246" s="577"/>
    </row>
    <row r="247" spans="5:12" ht="15">
      <c r="E247" s="577"/>
      <c r="F247" s="577"/>
      <c r="G247" s="577"/>
      <c r="H247" s="577"/>
      <c r="I247" s="577"/>
      <c r="J247" s="577"/>
      <c r="K247" s="577"/>
      <c r="L247" s="577"/>
    </row>
    <row r="248" spans="5:12" ht="15">
      <c r="E248" s="577"/>
      <c r="F248" s="577"/>
      <c r="G248" s="577"/>
      <c r="H248" s="577"/>
      <c r="I248" s="577"/>
      <c r="J248" s="577"/>
      <c r="K248" s="577"/>
      <c r="L248" s="577"/>
    </row>
    <row r="249" spans="5:12" ht="15">
      <c r="E249" s="577"/>
      <c r="F249" s="577"/>
      <c r="G249" s="577"/>
      <c r="H249" s="577"/>
      <c r="I249" s="577"/>
      <c r="J249" s="577"/>
      <c r="K249" s="577"/>
      <c r="L249" s="577"/>
    </row>
  </sheetData>
  <sheetProtection/>
  <mergeCells count="74">
    <mergeCell ref="G12:I12"/>
    <mergeCell ref="W13:W14"/>
    <mergeCell ref="Y15:Y17"/>
    <mergeCell ref="X13:X14"/>
    <mergeCell ref="J12:M12"/>
    <mergeCell ref="N12:S12"/>
    <mergeCell ref="G13:G14"/>
    <mergeCell ref="H13:H14"/>
    <mergeCell ref="I13:I14"/>
    <mergeCell ref="J13:J14"/>
    <mergeCell ref="N13:N14"/>
    <mergeCell ref="K13:K14"/>
    <mergeCell ref="Y13:Y14"/>
    <mergeCell ref="Y19:Y21"/>
    <mergeCell ref="Y22:Y24"/>
    <mergeCell ref="Y25:Y27"/>
    <mergeCell ref="E13:E14"/>
    <mergeCell ref="F13:F14"/>
    <mergeCell ref="L13:L14"/>
    <mergeCell ref="U13:U14"/>
    <mergeCell ref="V13:V14"/>
    <mergeCell ref="J8:M8"/>
    <mergeCell ref="N8:X8"/>
    <mergeCell ref="N9:X9"/>
    <mergeCell ref="T12:X12"/>
    <mergeCell ref="B13:B14"/>
    <mergeCell ref="C13:C14"/>
    <mergeCell ref="D13:D14"/>
    <mergeCell ref="B10:C10"/>
    <mergeCell ref="D10:Y10"/>
    <mergeCell ref="B12:F12"/>
    <mergeCell ref="B2:G6"/>
    <mergeCell ref="H2:S4"/>
    <mergeCell ref="T2:Y4"/>
    <mergeCell ref="H5:S5"/>
    <mergeCell ref="T5:Y5"/>
    <mergeCell ref="H6:S6"/>
    <mergeCell ref="T6:Y6"/>
    <mergeCell ref="G15:G37"/>
    <mergeCell ref="H15:H37"/>
    <mergeCell ref="D32:D37"/>
    <mergeCell ref="E32:E37"/>
    <mergeCell ref="J32:J37"/>
    <mergeCell ref="I15:I37"/>
    <mergeCell ref="B15:B37"/>
    <mergeCell ref="C15:C37"/>
    <mergeCell ref="D15:D17"/>
    <mergeCell ref="E15:E17"/>
    <mergeCell ref="J15:J17"/>
    <mergeCell ref="J19:J27"/>
    <mergeCell ref="D29:D30"/>
    <mergeCell ref="E29:E30"/>
    <mergeCell ref="J29:J30"/>
    <mergeCell ref="F15:F37"/>
    <mergeCell ref="T32:T37"/>
    <mergeCell ref="K29:K30"/>
    <mergeCell ref="Y29:Y30"/>
    <mergeCell ref="N32:N37"/>
    <mergeCell ref="O32:O37"/>
    <mergeCell ref="T13:T14"/>
    <mergeCell ref="M32:M37"/>
    <mergeCell ref="K32:K37"/>
    <mergeCell ref="L32:L37"/>
    <mergeCell ref="Y32:Y37"/>
    <mergeCell ref="D19:D27"/>
    <mergeCell ref="E19:E27"/>
    <mergeCell ref="V32:V37"/>
    <mergeCell ref="W32:W37"/>
    <mergeCell ref="X32:X37"/>
    <mergeCell ref="P32:P37"/>
    <mergeCell ref="Q32:Q37"/>
    <mergeCell ref="R32:R37"/>
    <mergeCell ref="S32:S37"/>
    <mergeCell ref="U32:U37"/>
  </mergeCells>
  <printOptions/>
  <pageMargins left="1.37" right="0.7086614173228347" top="0.7480314960629921" bottom="0.7480314960629921" header="0.31496062992125984" footer="0.31496062992125984"/>
  <pageSetup horizontalDpi="600" verticalDpi="600" orientation="landscape" paperSize="5" scale="5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2:AI115"/>
  <sheetViews>
    <sheetView showGridLines="0" showRowColHeaders="0" zoomScalePageLayoutView="0" workbookViewId="0" topLeftCell="A1">
      <selection activeCell="B8" sqref="B8:B10"/>
    </sheetView>
  </sheetViews>
  <sheetFormatPr defaultColWidth="11.421875" defaultRowHeight="15"/>
  <cols>
    <col min="1" max="1" width="3.57421875" style="0" customWidth="1"/>
    <col min="4" max="4" width="13.28125" style="0" customWidth="1"/>
    <col min="7" max="7" width="13.00390625" style="0" customWidth="1"/>
    <col min="12" max="12" width="12.28125" style="0" customWidth="1"/>
    <col min="20" max="20" width="14.421875" style="0" customWidth="1"/>
    <col min="21" max="21" width="14.8515625" style="0" customWidth="1"/>
    <col min="22" max="22" width="14.00390625" style="0" customWidth="1"/>
    <col min="23" max="23" width="14.140625" style="0" customWidth="1"/>
    <col min="24" max="24" width="16.140625" style="0" customWidth="1"/>
  </cols>
  <sheetData>
    <row r="2" spans="2:25" ht="15" customHeight="1">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ustomHeight="1">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ustomHeight="1">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s="2" customFormat="1" ht="9">
      <c r="B7" s="996"/>
      <c r="C7" s="996"/>
      <c r="D7" s="996"/>
      <c r="E7" s="996"/>
      <c r="F7" s="996"/>
      <c r="G7" s="996"/>
      <c r="H7" s="996"/>
      <c r="I7" s="996"/>
      <c r="J7" s="996"/>
      <c r="K7" s="996"/>
      <c r="L7" s="996"/>
      <c r="M7" s="996"/>
      <c r="N7" s="996"/>
      <c r="O7" s="996"/>
      <c r="P7" s="996"/>
      <c r="Q7" s="996"/>
      <c r="R7" s="996"/>
      <c r="S7" s="996"/>
      <c r="T7" s="996"/>
      <c r="U7" s="996"/>
      <c r="V7" s="996"/>
      <c r="W7" s="996"/>
      <c r="X7" s="996"/>
      <c r="Y7" s="996"/>
    </row>
    <row r="8" spans="2:25" ht="15">
      <c r="B8" s="1031" t="s">
        <v>103</v>
      </c>
      <c r="C8" s="1574" t="s">
        <v>1366</v>
      </c>
      <c r="D8" s="1575"/>
      <c r="E8" s="1575"/>
      <c r="F8" s="1575"/>
      <c r="G8" s="488"/>
      <c r="H8" s="488"/>
      <c r="I8" s="488"/>
      <c r="J8" s="488"/>
      <c r="K8" s="488"/>
      <c r="L8" s="488"/>
      <c r="M8" s="488"/>
      <c r="N8" s="1467"/>
      <c r="O8" s="1467"/>
      <c r="P8" s="1467"/>
      <c r="Q8" s="1467"/>
      <c r="R8" s="1467"/>
      <c r="S8" s="1467"/>
      <c r="T8" s="1467"/>
      <c r="U8" s="1467"/>
      <c r="V8" s="1467"/>
      <c r="W8" s="1467"/>
      <c r="X8" s="1467"/>
      <c r="Y8" s="1032"/>
    </row>
    <row r="9" spans="2:25" ht="16.5" customHeight="1">
      <c r="B9" s="1031" t="s">
        <v>154</v>
      </c>
      <c r="C9" s="1579" t="s">
        <v>1367</v>
      </c>
      <c r="D9" s="1580"/>
      <c r="E9" s="1580"/>
      <c r="F9" s="1580"/>
      <c r="G9" s="1580"/>
      <c r="H9" s="1580"/>
      <c r="I9" s="1580"/>
      <c r="J9" s="1580"/>
      <c r="K9" s="1580"/>
      <c r="L9" s="1580"/>
      <c r="M9" s="1580"/>
      <c r="N9" s="1580"/>
      <c r="O9" s="1580"/>
      <c r="P9" s="1580"/>
      <c r="Q9" s="1580"/>
      <c r="R9" s="1580"/>
      <c r="S9" s="1580"/>
      <c r="T9" s="1580"/>
      <c r="U9" s="1580"/>
      <c r="V9" s="1580"/>
      <c r="W9" s="1580"/>
      <c r="X9" s="1580"/>
      <c r="Y9" s="1032"/>
    </row>
    <row r="10" spans="2:25" ht="27.75" customHeight="1">
      <c r="B10" s="1057" t="s">
        <v>1384</v>
      </c>
      <c r="C10" s="1581" t="s">
        <v>1382</v>
      </c>
      <c r="D10" s="1582"/>
      <c r="E10" s="1582"/>
      <c r="F10" s="1582"/>
      <c r="G10" s="1582"/>
      <c r="H10" s="1582"/>
      <c r="I10" s="1582"/>
      <c r="J10" s="1582"/>
      <c r="K10" s="1582"/>
      <c r="L10" s="1582"/>
      <c r="M10" s="1582"/>
      <c r="N10" s="1582"/>
      <c r="O10" s="1582"/>
      <c r="P10" s="1582"/>
      <c r="Q10" s="1582"/>
      <c r="R10" s="1582"/>
      <c r="S10" s="1582"/>
      <c r="T10" s="1582"/>
      <c r="U10" s="1582"/>
      <c r="V10" s="1582"/>
      <c r="W10" s="1582"/>
      <c r="X10" s="1582"/>
      <c r="Y10" s="1583"/>
    </row>
    <row r="11" spans="2:25" ht="12.75" customHeight="1">
      <c r="B11" s="996"/>
      <c r="C11" s="996"/>
      <c r="D11" s="1483"/>
      <c r="E11" s="1483"/>
      <c r="F11" s="1483"/>
      <c r="G11" s="1483"/>
      <c r="H11" s="1483"/>
      <c r="I11" s="1483"/>
      <c r="J11" s="996"/>
      <c r="K11" s="996"/>
      <c r="L11" s="996"/>
      <c r="M11" s="996"/>
      <c r="N11" s="996"/>
      <c r="O11" s="996"/>
      <c r="P11" s="996"/>
      <c r="Q11" s="996"/>
      <c r="R11" s="996"/>
      <c r="S11" s="996"/>
      <c r="T11" s="996"/>
      <c r="U11" s="996"/>
      <c r="V11" s="996"/>
      <c r="W11" s="996"/>
      <c r="X11" s="996"/>
      <c r="Y11" s="996"/>
    </row>
    <row r="12" spans="2:25" s="1019" customFormat="1" ht="27" customHeight="1">
      <c r="B12" s="1479" t="s">
        <v>103</v>
      </c>
      <c r="C12" s="1477" t="s">
        <v>140</v>
      </c>
      <c r="D12" s="1481" t="s">
        <v>0</v>
      </c>
      <c r="E12" s="1473" t="s">
        <v>140</v>
      </c>
      <c r="F12" s="1503" t="s">
        <v>1409</v>
      </c>
      <c r="G12" s="1473" t="s">
        <v>104</v>
      </c>
      <c r="H12" s="1473" t="s">
        <v>142</v>
      </c>
      <c r="I12" s="1473" t="s">
        <v>143</v>
      </c>
      <c r="J12" s="1473" t="s">
        <v>1</v>
      </c>
      <c r="K12" s="1473" t="s">
        <v>2</v>
      </c>
      <c r="L12" s="1472" t="s">
        <v>140</v>
      </c>
      <c r="M12" s="1472" t="s">
        <v>3</v>
      </c>
      <c r="N12" s="1472" t="s">
        <v>4</v>
      </c>
      <c r="O12" s="1476" t="s">
        <v>5</v>
      </c>
      <c r="P12" s="1570" t="s">
        <v>1410</v>
      </c>
      <c r="Q12" s="1572" t="s">
        <v>1411</v>
      </c>
      <c r="R12" s="1572" t="s">
        <v>1412</v>
      </c>
      <c r="S12" s="1572" t="s">
        <v>143</v>
      </c>
      <c r="T12" s="1572">
        <v>2012</v>
      </c>
      <c r="U12" s="1024">
        <v>2013</v>
      </c>
      <c r="V12" s="1024">
        <v>2014</v>
      </c>
      <c r="W12" s="1024">
        <v>2015</v>
      </c>
      <c r="X12" s="1024" t="s">
        <v>146</v>
      </c>
      <c r="Y12" s="1021" t="s">
        <v>147</v>
      </c>
    </row>
    <row r="13" spans="1:25" s="1023" customFormat="1" ht="19.5" customHeight="1" thickBot="1">
      <c r="A13" s="1020"/>
      <c r="B13" s="1480"/>
      <c r="C13" s="1478"/>
      <c r="D13" s="1482"/>
      <c r="E13" s="1474"/>
      <c r="F13" s="1503"/>
      <c r="G13" s="1474"/>
      <c r="H13" s="1475"/>
      <c r="I13" s="1475"/>
      <c r="J13" s="1474"/>
      <c r="K13" s="1474"/>
      <c r="L13" s="1472"/>
      <c r="M13" s="1472"/>
      <c r="N13" s="1472"/>
      <c r="O13" s="1476"/>
      <c r="P13" s="1571"/>
      <c r="Q13" s="1573"/>
      <c r="R13" s="1573"/>
      <c r="S13" s="1573"/>
      <c r="T13" s="1573"/>
      <c r="U13" s="1025"/>
      <c r="V13" s="1025"/>
      <c r="W13" s="1025"/>
      <c r="X13" s="1025"/>
      <c r="Y13" s="1025"/>
    </row>
    <row r="14" spans="1:35" s="10" customFormat="1" ht="75" customHeight="1">
      <c r="A14" s="1004"/>
      <c r="B14" s="1520" t="s">
        <v>111</v>
      </c>
      <c r="C14" s="1523">
        <v>13.12</v>
      </c>
      <c r="D14" s="1469" t="s">
        <v>155</v>
      </c>
      <c r="E14" s="1504">
        <v>0.1</v>
      </c>
      <c r="F14" s="1524">
        <v>1</v>
      </c>
      <c r="G14" s="1518" t="s">
        <v>112</v>
      </c>
      <c r="H14" s="1525">
        <v>0.9</v>
      </c>
      <c r="I14" s="1484">
        <v>1</v>
      </c>
      <c r="J14" s="1491" t="s">
        <v>901</v>
      </c>
      <c r="K14" s="1468" t="s">
        <v>170</v>
      </c>
      <c r="L14" s="1494">
        <v>0.1</v>
      </c>
      <c r="M14" s="100">
        <v>1400</v>
      </c>
      <c r="N14" s="12" t="s">
        <v>209</v>
      </c>
      <c r="O14" s="834" t="s">
        <v>253</v>
      </c>
      <c r="P14" s="101">
        <v>0.25</v>
      </c>
      <c r="Q14" s="102">
        <v>0.5</v>
      </c>
      <c r="R14" s="102">
        <v>0.75</v>
      </c>
      <c r="S14" s="102">
        <v>1</v>
      </c>
      <c r="T14" s="1510">
        <v>14548</v>
      </c>
      <c r="U14" s="1510">
        <f>(T14*1.05)</f>
        <v>15275.400000000001</v>
      </c>
      <c r="V14" s="1510">
        <f>(U14*1.05)</f>
        <v>16039.170000000002</v>
      </c>
      <c r="W14" s="1510">
        <f>(T14*1.05)</f>
        <v>15275.400000000001</v>
      </c>
      <c r="X14" s="1510">
        <f>SUM(T14:W14)</f>
        <v>61137.97000000001</v>
      </c>
      <c r="Y14" s="1513" t="s">
        <v>902</v>
      </c>
      <c r="Z14" s="13"/>
      <c r="AA14" s="13"/>
      <c r="AB14" s="13"/>
      <c r="AC14" s="13"/>
      <c r="AD14" s="13"/>
      <c r="AE14" s="13"/>
      <c r="AF14" s="13"/>
      <c r="AG14" s="13"/>
      <c r="AH14" s="13"/>
      <c r="AI14" s="13"/>
    </row>
    <row r="15" spans="1:35" s="10" customFormat="1" ht="161.25" customHeight="1">
      <c r="A15" s="1004"/>
      <c r="B15" s="1521"/>
      <c r="C15" s="1523"/>
      <c r="D15" s="1470"/>
      <c r="E15" s="1505"/>
      <c r="F15" s="1524"/>
      <c r="G15" s="1518"/>
      <c r="H15" s="1526"/>
      <c r="I15" s="1485"/>
      <c r="J15" s="1492"/>
      <c r="K15" s="1468"/>
      <c r="L15" s="1495"/>
      <c r="M15" s="103">
        <v>1</v>
      </c>
      <c r="N15" s="12" t="s">
        <v>210</v>
      </c>
      <c r="O15" s="92" t="s">
        <v>12</v>
      </c>
      <c r="P15" s="101">
        <v>0.25</v>
      </c>
      <c r="Q15" s="102">
        <v>0.5</v>
      </c>
      <c r="R15" s="102">
        <v>0.75</v>
      </c>
      <c r="S15" s="102">
        <v>1</v>
      </c>
      <c r="T15" s="1511"/>
      <c r="U15" s="1511"/>
      <c r="V15" s="1511"/>
      <c r="W15" s="1511"/>
      <c r="X15" s="1511"/>
      <c r="Y15" s="1505"/>
      <c r="Z15" s="13"/>
      <c r="AA15" s="13"/>
      <c r="AB15" s="13"/>
      <c r="AC15" s="13"/>
      <c r="AD15" s="13"/>
      <c r="AE15" s="13"/>
      <c r="AF15" s="13"/>
      <c r="AG15" s="13"/>
      <c r="AH15" s="13"/>
      <c r="AI15" s="13"/>
    </row>
    <row r="16" spans="1:35" s="10" customFormat="1" ht="120">
      <c r="A16" s="1004"/>
      <c r="B16" s="1521"/>
      <c r="C16" s="1523"/>
      <c r="D16" s="1470"/>
      <c r="E16" s="1505"/>
      <c r="F16" s="1524"/>
      <c r="G16" s="1518"/>
      <c r="H16" s="1526"/>
      <c r="I16" s="1485"/>
      <c r="J16" s="1492"/>
      <c r="K16" s="1468"/>
      <c r="L16" s="1495"/>
      <c r="M16" s="104">
        <v>1</v>
      </c>
      <c r="N16" s="12" t="s">
        <v>211</v>
      </c>
      <c r="O16" s="105" t="s">
        <v>12</v>
      </c>
      <c r="P16" s="101">
        <v>0.25</v>
      </c>
      <c r="Q16" s="102">
        <v>0.5</v>
      </c>
      <c r="R16" s="102">
        <v>0.75</v>
      </c>
      <c r="S16" s="102">
        <v>1</v>
      </c>
      <c r="T16" s="1511"/>
      <c r="U16" s="1511"/>
      <c r="V16" s="1511"/>
      <c r="W16" s="1511"/>
      <c r="X16" s="1511"/>
      <c r="Y16" s="1505"/>
      <c r="Z16" s="13"/>
      <c r="AA16" s="13"/>
      <c r="AB16" s="13"/>
      <c r="AC16" s="13"/>
      <c r="AD16" s="13"/>
      <c r="AE16" s="13"/>
      <c r="AF16" s="13"/>
      <c r="AG16" s="13"/>
      <c r="AH16" s="13"/>
      <c r="AI16" s="13"/>
    </row>
    <row r="17" spans="1:35" s="10" customFormat="1" ht="128.25" customHeight="1">
      <c r="A17" s="1004"/>
      <c r="B17" s="1521"/>
      <c r="C17" s="1523"/>
      <c r="D17" s="1471"/>
      <c r="E17" s="1506"/>
      <c r="F17" s="1524"/>
      <c r="G17" s="1518"/>
      <c r="H17" s="1527"/>
      <c r="I17" s="1486"/>
      <c r="J17" s="1493"/>
      <c r="K17" s="1468"/>
      <c r="L17" s="1496"/>
      <c r="M17" s="104">
        <v>1</v>
      </c>
      <c r="N17" s="12" t="s">
        <v>212</v>
      </c>
      <c r="O17" s="105" t="s">
        <v>12</v>
      </c>
      <c r="P17" s="101">
        <v>0.25</v>
      </c>
      <c r="Q17" s="102">
        <v>0.5</v>
      </c>
      <c r="R17" s="102">
        <v>0.75</v>
      </c>
      <c r="S17" s="102">
        <v>1</v>
      </c>
      <c r="T17" s="1512"/>
      <c r="U17" s="1512"/>
      <c r="V17" s="1512"/>
      <c r="W17" s="1512"/>
      <c r="X17" s="1512"/>
      <c r="Y17" s="1505"/>
      <c r="Z17" s="13"/>
      <c r="AA17" s="13"/>
      <c r="AB17" s="13"/>
      <c r="AC17" s="13"/>
      <c r="AD17" s="13"/>
      <c r="AE17" s="13"/>
      <c r="AF17" s="13"/>
      <c r="AG17" s="13"/>
      <c r="AH17" s="13"/>
      <c r="AI17" s="13"/>
    </row>
    <row r="18" spans="1:35" s="520" customFormat="1" ht="20.25" customHeight="1">
      <c r="A18" s="1004"/>
      <c r="B18" s="1521"/>
      <c r="C18" s="1523"/>
      <c r="D18" s="669"/>
      <c r="E18" s="454"/>
      <c r="F18" s="467"/>
      <c r="G18" s="453"/>
      <c r="H18" s="468"/>
      <c r="I18" s="470"/>
      <c r="J18" s="461"/>
      <c r="K18" s="464"/>
      <c r="L18" s="680">
        <f>SUM(L14)</f>
        <v>0.1</v>
      </c>
      <c r="M18" s="104"/>
      <c r="N18" s="12"/>
      <c r="O18" s="105"/>
      <c r="P18" s="101"/>
      <c r="Q18" s="102"/>
      <c r="R18" s="102"/>
      <c r="S18" s="102"/>
      <c r="T18" s="450"/>
      <c r="U18" s="451"/>
      <c r="V18" s="451"/>
      <c r="W18" s="451"/>
      <c r="X18" s="451"/>
      <c r="Y18" s="1505"/>
      <c r="Z18" s="13"/>
      <c r="AA18" s="13"/>
      <c r="AB18" s="13"/>
      <c r="AC18" s="13"/>
      <c r="AD18" s="13"/>
      <c r="AE18" s="13"/>
      <c r="AF18" s="13"/>
      <c r="AG18" s="13"/>
      <c r="AH18" s="13"/>
      <c r="AI18" s="13"/>
    </row>
    <row r="19" spans="1:35" s="10" customFormat="1" ht="72">
      <c r="A19" s="1004"/>
      <c r="B19" s="1521"/>
      <c r="C19" s="1523"/>
      <c r="D19" s="1515" t="s">
        <v>156</v>
      </c>
      <c r="E19" s="1504">
        <v>0.1</v>
      </c>
      <c r="F19" s="1516">
        <v>0.8</v>
      </c>
      <c r="G19" s="1517" t="s">
        <v>116</v>
      </c>
      <c r="H19" s="1488">
        <v>0.5</v>
      </c>
      <c r="I19" s="1514">
        <v>0.8</v>
      </c>
      <c r="J19" s="1468" t="s">
        <v>903</v>
      </c>
      <c r="K19" s="1468" t="s">
        <v>904</v>
      </c>
      <c r="L19" s="1540">
        <v>0.04</v>
      </c>
      <c r="M19" s="93">
        <v>4</v>
      </c>
      <c r="N19" s="12" t="s">
        <v>213</v>
      </c>
      <c r="O19" s="92">
        <v>4</v>
      </c>
      <c r="P19" s="106">
        <v>1</v>
      </c>
      <c r="Q19" s="107">
        <v>2</v>
      </c>
      <c r="R19" s="107">
        <v>3</v>
      </c>
      <c r="S19" s="107">
        <v>4</v>
      </c>
      <c r="T19" s="1510">
        <v>1350</v>
      </c>
      <c r="U19" s="1545">
        <v>1415</v>
      </c>
      <c r="V19" s="1545">
        <f>(U19*1.05)</f>
        <v>1485.75</v>
      </c>
      <c r="W19" s="1545">
        <f>(V19*1.05)</f>
        <v>1560.0375000000001</v>
      </c>
      <c r="X19" s="1546">
        <f>SUM(T19:W19)</f>
        <v>5810.7875</v>
      </c>
      <c r="Y19" s="1505"/>
      <c r="Z19" s="13"/>
      <c r="AA19" s="13"/>
      <c r="AB19" s="13"/>
      <c r="AC19" s="13"/>
      <c r="AD19" s="13"/>
      <c r="AE19" s="13"/>
      <c r="AF19" s="13"/>
      <c r="AG19" s="13"/>
      <c r="AH19" s="13"/>
      <c r="AI19" s="13"/>
    </row>
    <row r="20" spans="1:35" s="10" customFormat="1" ht="72">
      <c r="A20" s="1004"/>
      <c r="B20" s="1521"/>
      <c r="C20" s="1523"/>
      <c r="D20" s="1515"/>
      <c r="E20" s="1505"/>
      <c r="F20" s="1516"/>
      <c r="G20" s="1518"/>
      <c r="H20" s="1485"/>
      <c r="I20" s="1514"/>
      <c r="J20" s="1468"/>
      <c r="K20" s="1468"/>
      <c r="L20" s="1541"/>
      <c r="M20" s="103">
        <v>1</v>
      </c>
      <c r="N20" s="12" t="s">
        <v>214</v>
      </c>
      <c r="O20" s="108">
        <v>1</v>
      </c>
      <c r="P20" s="101">
        <v>0.25</v>
      </c>
      <c r="Q20" s="102">
        <v>0.5</v>
      </c>
      <c r="R20" s="102">
        <v>0.75</v>
      </c>
      <c r="S20" s="102">
        <v>1</v>
      </c>
      <c r="T20" s="1511"/>
      <c r="U20" s="1545"/>
      <c r="V20" s="1545"/>
      <c r="W20" s="1545"/>
      <c r="X20" s="1546"/>
      <c r="Y20" s="1505"/>
      <c r="Z20" s="13"/>
      <c r="AA20" s="13"/>
      <c r="AB20" s="13"/>
      <c r="AC20" s="13"/>
      <c r="AD20" s="13"/>
      <c r="AE20" s="13"/>
      <c r="AF20" s="13"/>
      <c r="AG20" s="13"/>
      <c r="AH20" s="13"/>
      <c r="AI20" s="13"/>
    </row>
    <row r="21" spans="1:35" s="10" customFormat="1" ht="60">
      <c r="A21" s="1004"/>
      <c r="B21" s="1521"/>
      <c r="C21" s="1523"/>
      <c r="D21" s="1515"/>
      <c r="E21" s="1505"/>
      <c r="F21" s="1516"/>
      <c r="G21" s="1518"/>
      <c r="H21" s="1485"/>
      <c r="I21" s="1514"/>
      <c r="J21" s="1468"/>
      <c r="K21" s="1468"/>
      <c r="L21" s="1541"/>
      <c r="M21" s="103">
        <v>1</v>
      </c>
      <c r="N21" s="12" t="s">
        <v>215</v>
      </c>
      <c r="O21" s="108">
        <v>1</v>
      </c>
      <c r="P21" s="101">
        <v>0.25</v>
      </c>
      <c r="Q21" s="102">
        <v>0.5</v>
      </c>
      <c r="R21" s="102">
        <v>0.75</v>
      </c>
      <c r="S21" s="102">
        <v>1</v>
      </c>
      <c r="T21" s="1511"/>
      <c r="U21" s="1545"/>
      <c r="V21" s="1545"/>
      <c r="W21" s="1545"/>
      <c r="X21" s="1546"/>
      <c r="Y21" s="1505"/>
      <c r="Z21" s="13"/>
      <c r="AA21" s="13"/>
      <c r="AB21" s="13"/>
      <c r="AC21" s="13"/>
      <c r="AD21" s="13"/>
      <c r="AE21" s="13"/>
      <c r="AF21" s="13"/>
      <c r="AG21" s="13"/>
      <c r="AH21" s="13"/>
      <c r="AI21" s="13"/>
    </row>
    <row r="22" spans="1:35" s="10" customFormat="1" ht="87" customHeight="1">
      <c r="A22" s="1004"/>
      <c r="B22" s="1521"/>
      <c r="C22" s="1523"/>
      <c r="D22" s="1515"/>
      <c r="E22" s="1505"/>
      <c r="F22" s="1516"/>
      <c r="G22" s="1518"/>
      <c r="H22" s="1485"/>
      <c r="I22" s="1514"/>
      <c r="J22" s="1468"/>
      <c r="K22" s="1468"/>
      <c r="L22" s="1541"/>
      <c r="M22" s="103">
        <v>1</v>
      </c>
      <c r="N22" s="12" t="s">
        <v>216</v>
      </c>
      <c r="O22" s="108">
        <v>1</v>
      </c>
      <c r="P22" s="101">
        <v>0.25</v>
      </c>
      <c r="Q22" s="102">
        <v>0.5</v>
      </c>
      <c r="R22" s="102">
        <v>0.75</v>
      </c>
      <c r="S22" s="102">
        <v>1</v>
      </c>
      <c r="T22" s="1511"/>
      <c r="U22" s="1545"/>
      <c r="V22" s="1545"/>
      <c r="W22" s="1545"/>
      <c r="X22" s="1546"/>
      <c r="Y22" s="1505"/>
      <c r="Z22" s="13"/>
      <c r="AA22" s="13"/>
      <c r="AB22" s="13"/>
      <c r="AC22" s="13"/>
      <c r="AD22" s="13"/>
      <c r="AE22" s="13"/>
      <c r="AF22" s="13"/>
      <c r="AG22" s="13"/>
      <c r="AH22" s="13"/>
      <c r="AI22" s="13"/>
    </row>
    <row r="23" spans="1:35" s="10" customFormat="1" ht="105" customHeight="1">
      <c r="A23" s="1004"/>
      <c r="B23" s="1521"/>
      <c r="C23" s="1523"/>
      <c r="D23" s="1515"/>
      <c r="E23" s="1505"/>
      <c r="F23" s="1516"/>
      <c r="G23" s="1518"/>
      <c r="H23" s="1485"/>
      <c r="I23" s="1514"/>
      <c r="J23" s="1468"/>
      <c r="K23" s="1468"/>
      <c r="L23" s="1541"/>
      <c r="M23" s="103">
        <v>1</v>
      </c>
      <c r="N23" s="12" t="s">
        <v>217</v>
      </c>
      <c r="O23" s="108">
        <v>1</v>
      </c>
      <c r="P23" s="101">
        <v>0.25</v>
      </c>
      <c r="Q23" s="102">
        <v>0.5</v>
      </c>
      <c r="R23" s="102">
        <v>0.75</v>
      </c>
      <c r="S23" s="102">
        <v>1</v>
      </c>
      <c r="T23" s="1511"/>
      <c r="U23" s="1545"/>
      <c r="V23" s="1545"/>
      <c r="W23" s="1545"/>
      <c r="X23" s="1546"/>
      <c r="Y23" s="1505"/>
      <c r="Z23" s="13"/>
      <c r="AA23" s="13"/>
      <c r="AB23" s="13"/>
      <c r="AC23" s="13"/>
      <c r="AD23" s="13"/>
      <c r="AE23" s="13"/>
      <c r="AF23" s="13"/>
      <c r="AG23" s="13"/>
      <c r="AH23" s="13"/>
      <c r="AI23" s="13"/>
    </row>
    <row r="24" spans="1:35" s="10" customFormat="1" ht="120">
      <c r="A24" s="1004"/>
      <c r="B24" s="1521"/>
      <c r="C24" s="1523"/>
      <c r="D24" s="1515"/>
      <c r="E24" s="1505"/>
      <c r="F24" s="1516"/>
      <c r="G24" s="1518"/>
      <c r="H24" s="1485"/>
      <c r="I24" s="1514"/>
      <c r="J24" s="1468"/>
      <c r="K24" s="1468"/>
      <c r="L24" s="1541"/>
      <c r="M24" s="103">
        <v>1</v>
      </c>
      <c r="N24" s="12" t="s">
        <v>218</v>
      </c>
      <c r="O24" s="108">
        <v>1</v>
      </c>
      <c r="P24" s="101">
        <v>0.25</v>
      </c>
      <c r="Q24" s="102">
        <v>0.5</v>
      </c>
      <c r="R24" s="102">
        <v>0.75</v>
      </c>
      <c r="S24" s="102">
        <v>1</v>
      </c>
      <c r="T24" s="1511"/>
      <c r="U24" s="1545"/>
      <c r="V24" s="1545"/>
      <c r="W24" s="1545"/>
      <c r="X24" s="1546"/>
      <c r="Y24" s="1505"/>
      <c r="Z24" s="13"/>
      <c r="AA24" s="13"/>
      <c r="AB24" s="13"/>
      <c r="AC24" s="13"/>
      <c r="AD24" s="13"/>
      <c r="AE24" s="13"/>
      <c r="AF24" s="13"/>
      <c r="AG24" s="13"/>
      <c r="AH24" s="13"/>
      <c r="AI24" s="13"/>
    </row>
    <row r="25" spans="1:35" s="10" customFormat="1" ht="120">
      <c r="A25" s="1004"/>
      <c r="B25" s="1521"/>
      <c r="C25" s="1523"/>
      <c r="D25" s="1515"/>
      <c r="E25" s="1505"/>
      <c r="F25" s="1516"/>
      <c r="G25" s="1518"/>
      <c r="H25" s="1485"/>
      <c r="I25" s="1514"/>
      <c r="J25" s="1468" t="s">
        <v>187</v>
      </c>
      <c r="K25" s="1468" t="s">
        <v>905</v>
      </c>
      <c r="L25" s="1540">
        <v>0.02</v>
      </c>
      <c r="M25" s="93">
        <v>15</v>
      </c>
      <c r="N25" s="105" t="s">
        <v>219</v>
      </c>
      <c r="O25" s="92">
        <v>15</v>
      </c>
      <c r="P25" s="109">
        <v>4</v>
      </c>
      <c r="Q25" s="110">
        <v>8</v>
      </c>
      <c r="R25" s="110">
        <v>12</v>
      </c>
      <c r="S25" s="110">
        <v>15</v>
      </c>
      <c r="T25" s="1545">
        <v>640</v>
      </c>
      <c r="U25" s="1545">
        <v>672</v>
      </c>
      <c r="V25" s="1545">
        <v>705</v>
      </c>
      <c r="W25" s="1545">
        <v>740</v>
      </c>
      <c r="X25" s="1546">
        <f>SUM(T25:W25)</f>
        <v>2757</v>
      </c>
      <c r="Y25" s="1505"/>
      <c r="Z25" s="13"/>
      <c r="AA25" s="13"/>
      <c r="AB25" s="13"/>
      <c r="AC25" s="13"/>
      <c r="AD25" s="13"/>
      <c r="AE25" s="13"/>
      <c r="AF25" s="13"/>
      <c r="AG25" s="13"/>
      <c r="AH25" s="13"/>
      <c r="AI25" s="13"/>
    </row>
    <row r="26" spans="1:35" s="10" customFormat="1" ht="148.5" customHeight="1">
      <c r="A26" s="1004"/>
      <c r="B26" s="1521"/>
      <c r="C26" s="1523"/>
      <c r="D26" s="1515"/>
      <c r="E26" s="1505"/>
      <c r="F26" s="1516"/>
      <c r="G26" s="1518"/>
      <c r="H26" s="1485"/>
      <c r="I26" s="1514"/>
      <c r="J26" s="1468"/>
      <c r="K26" s="1468"/>
      <c r="L26" s="1541"/>
      <c r="M26" s="93">
        <v>4</v>
      </c>
      <c r="N26" s="12" t="s">
        <v>220</v>
      </c>
      <c r="O26" s="92">
        <v>4</v>
      </c>
      <c r="P26" s="109">
        <v>1</v>
      </c>
      <c r="Q26" s="110">
        <v>2</v>
      </c>
      <c r="R26" s="110">
        <v>3</v>
      </c>
      <c r="S26" s="110">
        <v>4</v>
      </c>
      <c r="T26" s="1545"/>
      <c r="U26" s="1545"/>
      <c r="V26" s="1545"/>
      <c r="W26" s="1545"/>
      <c r="X26" s="1546"/>
      <c r="Y26" s="1505"/>
      <c r="Z26" s="13"/>
      <c r="AA26" s="13"/>
      <c r="AB26" s="13"/>
      <c r="AC26" s="13"/>
      <c r="AD26" s="13"/>
      <c r="AE26" s="13"/>
      <c r="AF26" s="13"/>
      <c r="AG26" s="13"/>
      <c r="AH26" s="13"/>
      <c r="AI26" s="13"/>
    </row>
    <row r="27" spans="1:35" s="10" customFormat="1" ht="66" customHeight="1">
      <c r="A27" s="1004"/>
      <c r="B27" s="1521"/>
      <c r="C27" s="1523"/>
      <c r="D27" s="1515"/>
      <c r="E27" s="1505"/>
      <c r="F27" s="1516"/>
      <c r="G27" s="1518"/>
      <c r="H27" s="1485"/>
      <c r="I27" s="1514"/>
      <c r="J27" s="1491" t="s">
        <v>906</v>
      </c>
      <c r="K27" s="1491" t="s">
        <v>907</v>
      </c>
      <c r="L27" s="1540">
        <v>0.01</v>
      </c>
      <c r="M27" s="103">
        <v>0.1</v>
      </c>
      <c r="N27" s="12" t="s">
        <v>221</v>
      </c>
      <c r="O27" s="92">
        <v>6000</v>
      </c>
      <c r="P27" s="111">
        <v>0.025</v>
      </c>
      <c r="Q27" s="112">
        <v>0.05</v>
      </c>
      <c r="R27" s="112">
        <v>0.075</v>
      </c>
      <c r="S27" s="112">
        <v>0.1</v>
      </c>
      <c r="T27" s="113"/>
      <c r="U27" s="1510"/>
      <c r="V27" s="1510"/>
      <c r="W27" s="1510"/>
      <c r="X27" s="114"/>
      <c r="Y27" s="1505"/>
      <c r="Z27" s="13"/>
      <c r="AA27" s="13"/>
      <c r="AB27" s="13"/>
      <c r="AC27" s="13"/>
      <c r="AD27" s="13"/>
      <c r="AE27" s="13"/>
      <c r="AF27" s="13"/>
      <c r="AG27" s="13"/>
      <c r="AH27" s="13"/>
      <c r="AI27" s="13"/>
    </row>
    <row r="28" spans="1:35" s="10" customFormat="1" ht="63.75" customHeight="1">
      <c r="A28" s="1004"/>
      <c r="B28" s="1521"/>
      <c r="C28" s="1523"/>
      <c r="D28" s="1515"/>
      <c r="E28" s="1505"/>
      <c r="F28" s="1516"/>
      <c r="G28" s="1518"/>
      <c r="H28" s="1485"/>
      <c r="I28" s="1514"/>
      <c r="J28" s="1492"/>
      <c r="K28" s="1492"/>
      <c r="L28" s="1541"/>
      <c r="M28" s="110">
        <v>1</v>
      </c>
      <c r="N28" s="12" t="s">
        <v>222</v>
      </c>
      <c r="O28" s="92">
        <v>0</v>
      </c>
      <c r="P28" s="115">
        <v>0</v>
      </c>
      <c r="Q28" s="102">
        <v>0.25</v>
      </c>
      <c r="R28" s="102">
        <v>0.6</v>
      </c>
      <c r="S28" s="102">
        <v>1</v>
      </c>
      <c r="T28" s="116">
        <v>13780</v>
      </c>
      <c r="U28" s="1511"/>
      <c r="V28" s="1511"/>
      <c r="W28" s="1511"/>
      <c r="X28" s="116">
        <v>13780</v>
      </c>
      <c r="Y28" s="1505"/>
      <c r="Z28" s="13"/>
      <c r="AA28" s="13"/>
      <c r="AB28" s="13"/>
      <c r="AC28" s="13"/>
      <c r="AD28" s="13"/>
      <c r="AE28" s="13"/>
      <c r="AF28" s="13"/>
      <c r="AG28" s="13"/>
      <c r="AH28" s="13"/>
      <c r="AI28" s="13"/>
    </row>
    <row r="29" spans="1:35" s="10" customFormat="1" ht="144">
      <c r="A29" s="1004"/>
      <c r="B29" s="1521"/>
      <c r="C29" s="1523"/>
      <c r="D29" s="1515"/>
      <c r="E29" s="1505"/>
      <c r="F29" s="1516"/>
      <c r="G29" s="1518"/>
      <c r="H29" s="1485"/>
      <c r="I29" s="1514"/>
      <c r="J29" s="1492"/>
      <c r="K29" s="1492"/>
      <c r="L29" s="1541"/>
      <c r="M29" s="110">
        <v>1</v>
      </c>
      <c r="N29" s="105" t="s">
        <v>223</v>
      </c>
      <c r="O29" s="92">
        <v>0</v>
      </c>
      <c r="P29" s="109">
        <v>0</v>
      </c>
      <c r="Q29" s="110">
        <v>1</v>
      </c>
      <c r="R29" s="110">
        <v>0</v>
      </c>
      <c r="S29" s="110">
        <v>1</v>
      </c>
      <c r="T29" s="1545"/>
      <c r="U29" s="1511"/>
      <c r="V29" s="1511"/>
      <c r="W29" s="1511"/>
      <c r="X29" s="1547"/>
      <c r="Y29" s="1505"/>
      <c r="Z29" s="13"/>
      <c r="AA29" s="13"/>
      <c r="AB29" s="13"/>
      <c r="AC29" s="13"/>
      <c r="AD29" s="13"/>
      <c r="AE29" s="13"/>
      <c r="AF29" s="13"/>
      <c r="AG29" s="13"/>
      <c r="AH29" s="13"/>
      <c r="AI29" s="13"/>
    </row>
    <row r="30" spans="1:35" s="10" customFormat="1" ht="96">
      <c r="A30" s="1004"/>
      <c r="B30" s="1521"/>
      <c r="C30" s="1523"/>
      <c r="D30" s="1515"/>
      <c r="E30" s="1505"/>
      <c r="F30" s="1516"/>
      <c r="G30" s="1518"/>
      <c r="H30" s="1485"/>
      <c r="I30" s="1514"/>
      <c r="J30" s="1492"/>
      <c r="K30" s="1492"/>
      <c r="L30" s="1541"/>
      <c r="M30" s="110">
        <v>1</v>
      </c>
      <c r="N30" s="12" t="s">
        <v>224</v>
      </c>
      <c r="O30" s="92">
        <v>2</v>
      </c>
      <c r="P30" s="115">
        <v>0</v>
      </c>
      <c r="Q30" s="102">
        <v>0.2</v>
      </c>
      <c r="R30" s="102">
        <v>0.5</v>
      </c>
      <c r="S30" s="102">
        <v>1</v>
      </c>
      <c r="T30" s="1545"/>
      <c r="U30" s="1511"/>
      <c r="V30" s="1511"/>
      <c r="W30" s="1511"/>
      <c r="X30" s="1548"/>
      <c r="Y30" s="1505"/>
      <c r="Z30" s="13"/>
      <c r="AA30" s="13"/>
      <c r="AB30" s="13"/>
      <c r="AC30" s="13"/>
      <c r="AD30" s="13"/>
      <c r="AE30" s="13"/>
      <c r="AF30" s="13"/>
      <c r="AG30" s="13"/>
      <c r="AH30" s="13"/>
      <c r="AI30" s="13"/>
    </row>
    <row r="31" spans="1:35" s="10" customFormat="1" ht="48">
      <c r="A31" s="1004"/>
      <c r="B31" s="1521"/>
      <c r="C31" s="1523"/>
      <c r="D31" s="1515"/>
      <c r="E31" s="1505"/>
      <c r="F31" s="1516"/>
      <c r="G31" s="1518"/>
      <c r="H31" s="1485"/>
      <c r="I31" s="1514"/>
      <c r="J31" s="1492"/>
      <c r="K31" s="1492"/>
      <c r="L31" s="1541"/>
      <c r="M31" s="110">
        <v>1</v>
      </c>
      <c r="N31" s="12" t="s">
        <v>225</v>
      </c>
      <c r="O31" s="92">
        <v>0</v>
      </c>
      <c r="P31" s="115">
        <v>0</v>
      </c>
      <c r="Q31" s="102">
        <v>0.15</v>
      </c>
      <c r="R31" s="102">
        <v>0.6</v>
      </c>
      <c r="S31" s="102">
        <v>1</v>
      </c>
      <c r="T31" s="1545"/>
      <c r="U31" s="1511"/>
      <c r="V31" s="1511"/>
      <c r="W31" s="1511"/>
      <c r="X31" s="1548"/>
      <c r="Y31" s="1505"/>
      <c r="Z31" s="13"/>
      <c r="AA31" s="13"/>
      <c r="AB31" s="13"/>
      <c r="AC31" s="13"/>
      <c r="AD31" s="13"/>
      <c r="AE31" s="13"/>
      <c r="AF31" s="13"/>
      <c r="AG31" s="13"/>
      <c r="AH31" s="13"/>
      <c r="AI31" s="13"/>
    </row>
    <row r="32" spans="1:35" s="10" customFormat="1" ht="60">
      <c r="A32" s="1004"/>
      <c r="B32" s="1521"/>
      <c r="C32" s="1523"/>
      <c r="D32" s="1515"/>
      <c r="E32" s="1505"/>
      <c r="F32" s="1516"/>
      <c r="G32" s="1519"/>
      <c r="H32" s="1485"/>
      <c r="I32" s="1514"/>
      <c r="J32" s="1493"/>
      <c r="K32" s="1493"/>
      <c r="L32" s="1541"/>
      <c r="M32" s="110">
        <v>1</v>
      </c>
      <c r="N32" s="105" t="s">
        <v>908</v>
      </c>
      <c r="O32" s="92">
        <v>0</v>
      </c>
      <c r="P32" s="115">
        <v>0</v>
      </c>
      <c r="Q32" s="102">
        <v>0.1</v>
      </c>
      <c r="R32" s="102">
        <v>0.4</v>
      </c>
      <c r="S32" s="102">
        <v>1</v>
      </c>
      <c r="T32" s="1545"/>
      <c r="U32" s="1512"/>
      <c r="V32" s="1512"/>
      <c r="W32" s="1512"/>
      <c r="X32" s="1549"/>
      <c r="Y32" s="1505"/>
      <c r="Z32" s="13"/>
      <c r="AA32" s="13"/>
      <c r="AB32" s="13"/>
      <c r="AC32" s="13"/>
      <c r="AD32" s="13"/>
      <c r="AE32" s="13"/>
      <c r="AF32" s="13"/>
      <c r="AG32" s="13"/>
      <c r="AH32" s="13"/>
      <c r="AI32" s="13"/>
    </row>
    <row r="33" spans="1:35" s="10" customFormat="1" ht="124.5" customHeight="1">
      <c r="A33" s="1004"/>
      <c r="B33" s="1521"/>
      <c r="C33" s="1523"/>
      <c r="D33" s="1515"/>
      <c r="E33" s="1506"/>
      <c r="F33" s="117" t="s">
        <v>909</v>
      </c>
      <c r="G33" s="118" t="s">
        <v>910</v>
      </c>
      <c r="H33" s="119">
        <v>0</v>
      </c>
      <c r="I33" s="120" t="s">
        <v>911</v>
      </c>
      <c r="J33" s="843" t="s">
        <v>903</v>
      </c>
      <c r="K33" s="121" t="s">
        <v>904</v>
      </c>
      <c r="L33" s="661">
        <v>0.03</v>
      </c>
      <c r="M33" s="122">
        <v>6</v>
      </c>
      <c r="N33" s="123" t="s">
        <v>912</v>
      </c>
      <c r="O33" s="123">
        <v>0</v>
      </c>
      <c r="P33" s="124">
        <v>0</v>
      </c>
      <c r="Q33" s="125">
        <v>3</v>
      </c>
      <c r="R33" s="125">
        <v>5</v>
      </c>
      <c r="S33" s="125">
        <v>6</v>
      </c>
      <c r="T33" s="116">
        <v>3200</v>
      </c>
      <c r="U33" s="116">
        <v>1700</v>
      </c>
      <c r="V33" s="116">
        <v>1700</v>
      </c>
      <c r="W33" s="116">
        <v>3100</v>
      </c>
      <c r="X33" s="126">
        <f>SUM(T33:W33)</f>
        <v>9700</v>
      </c>
      <c r="Y33" s="1505"/>
      <c r="Z33" s="13"/>
      <c r="AA33" s="13"/>
      <c r="AB33" s="13"/>
      <c r="AC33" s="13"/>
      <c r="AD33" s="13"/>
      <c r="AE33" s="13"/>
      <c r="AF33" s="13"/>
      <c r="AG33" s="13"/>
      <c r="AH33" s="13"/>
      <c r="AI33" s="13"/>
    </row>
    <row r="34" spans="1:35" s="520" customFormat="1" ht="15">
      <c r="A34" s="1004"/>
      <c r="B34" s="1521"/>
      <c r="C34" s="1523"/>
      <c r="D34" s="670"/>
      <c r="E34" s="454"/>
      <c r="F34" s="469"/>
      <c r="G34" s="118"/>
      <c r="H34" s="671"/>
      <c r="I34" s="120"/>
      <c r="J34" s="672"/>
      <c r="K34" s="121"/>
      <c r="L34" s="681">
        <f>SUM(L19:L33)</f>
        <v>0.09999999999999999</v>
      </c>
      <c r="M34" s="122"/>
      <c r="N34" s="123"/>
      <c r="O34" s="123"/>
      <c r="P34" s="124"/>
      <c r="Q34" s="125"/>
      <c r="R34" s="125"/>
      <c r="S34" s="125"/>
      <c r="T34" s="673"/>
      <c r="U34" s="673"/>
      <c r="V34" s="673"/>
      <c r="W34" s="673"/>
      <c r="X34" s="674"/>
      <c r="Y34" s="1505"/>
      <c r="Z34" s="13"/>
      <c r="AA34" s="13"/>
      <c r="AB34" s="13"/>
      <c r="AC34" s="13"/>
      <c r="AD34" s="13"/>
      <c r="AE34" s="13"/>
      <c r="AF34" s="13"/>
      <c r="AG34" s="13"/>
      <c r="AH34" s="13"/>
      <c r="AI34" s="13"/>
    </row>
    <row r="35" spans="1:35" s="10" customFormat="1" ht="90.75" customHeight="1">
      <c r="A35" s="1004"/>
      <c r="B35" s="1521"/>
      <c r="C35" s="1523"/>
      <c r="D35" s="1528" t="s">
        <v>157</v>
      </c>
      <c r="E35" s="1504">
        <v>0.1</v>
      </c>
      <c r="F35" s="1529" t="s">
        <v>117</v>
      </c>
      <c r="G35" s="1530" t="s">
        <v>118</v>
      </c>
      <c r="H35" s="761">
        <v>240</v>
      </c>
      <c r="I35" s="1487">
        <v>0.25</v>
      </c>
      <c r="J35" s="128" t="s">
        <v>188</v>
      </c>
      <c r="K35" s="27" t="s">
        <v>171</v>
      </c>
      <c r="L35" s="661">
        <v>0.05</v>
      </c>
      <c r="M35" s="129" t="s">
        <v>195</v>
      </c>
      <c r="N35" s="12" t="s">
        <v>226</v>
      </c>
      <c r="O35" s="123" t="s">
        <v>913</v>
      </c>
      <c r="P35" s="109">
        <v>2.75</v>
      </c>
      <c r="Q35" s="110">
        <v>5.5</v>
      </c>
      <c r="R35" s="110">
        <v>8.25</v>
      </c>
      <c r="S35" s="110">
        <v>11</v>
      </c>
      <c r="T35" s="1510">
        <v>120000000</v>
      </c>
      <c r="U35" s="1510">
        <f>(T35*1.05)</f>
        <v>126000000</v>
      </c>
      <c r="V35" s="1510">
        <f>(U35*1.05)</f>
        <v>132300000</v>
      </c>
      <c r="W35" s="1510">
        <f>(V35*1.05)</f>
        <v>138915000</v>
      </c>
      <c r="X35" s="1547">
        <f>SUM(T35:W35)</f>
        <v>517215000</v>
      </c>
      <c r="Y35" s="1505"/>
      <c r="Z35" s="13"/>
      <c r="AA35" s="13"/>
      <c r="AB35" s="13"/>
      <c r="AC35" s="13"/>
      <c r="AD35" s="13"/>
      <c r="AE35" s="13"/>
      <c r="AF35" s="13"/>
      <c r="AG35" s="13"/>
      <c r="AH35" s="13"/>
      <c r="AI35" s="13"/>
    </row>
    <row r="36" spans="1:35" s="10" customFormat="1" ht="144">
      <c r="A36" s="1004"/>
      <c r="B36" s="1521"/>
      <c r="C36" s="1523"/>
      <c r="D36" s="1528"/>
      <c r="E36" s="1506"/>
      <c r="F36" s="1529"/>
      <c r="G36" s="1530"/>
      <c r="H36" s="762">
        <v>161</v>
      </c>
      <c r="I36" s="1487"/>
      <c r="J36" s="92" t="s">
        <v>914</v>
      </c>
      <c r="K36" s="27" t="s">
        <v>172</v>
      </c>
      <c r="L36" s="661">
        <v>0.05</v>
      </c>
      <c r="M36" s="129" t="s">
        <v>196</v>
      </c>
      <c r="N36" s="12" t="s">
        <v>227</v>
      </c>
      <c r="O36" s="123" t="s">
        <v>915</v>
      </c>
      <c r="P36" s="109">
        <v>1</v>
      </c>
      <c r="Q36" s="110">
        <v>2</v>
      </c>
      <c r="R36" s="110">
        <v>3</v>
      </c>
      <c r="S36" s="110">
        <v>3</v>
      </c>
      <c r="T36" s="1512"/>
      <c r="U36" s="1512"/>
      <c r="V36" s="1512"/>
      <c r="W36" s="1512"/>
      <c r="X36" s="1549"/>
      <c r="Y36" s="1505"/>
      <c r="Z36" s="13"/>
      <c r="AA36" s="13"/>
      <c r="AB36" s="13"/>
      <c r="AC36" s="13"/>
      <c r="AD36" s="13"/>
      <c r="AE36" s="13"/>
      <c r="AF36" s="13"/>
      <c r="AG36" s="13"/>
      <c r="AH36" s="13"/>
      <c r="AI36" s="13"/>
    </row>
    <row r="37" spans="1:35" s="520" customFormat="1" ht="15">
      <c r="A37" s="1004"/>
      <c r="B37" s="1521"/>
      <c r="C37" s="1523"/>
      <c r="D37" s="675"/>
      <c r="E37" s="454"/>
      <c r="F37" s="457"/>
      <c r="G37" s="456"/>
      <c r="H37" s="127"/>
      <c r="I37" s="449"/>
      <c r="J37" s="459"/>
      <c r="K37" s="676"/>
      <c r="L37" s="682">
        <f>SUM(L35:L36)</f>
        <v>0.1</v>
      </c>
      <c r="M37" s="129"/>
      <c r="N37" s="12"/>
      <c r="O37" s="123"/>
      <c r="P37" s="109"/>
      <c r="Q37" s="110"/>
      <c r="R37" s="110"/>
      <c r="S37" s="110"/>
      <c r="T37" s="450"/>
      <c r="U37" s="450"/>
      <c r="V37" s="450"/>
      <c r="W37" s="450"/>
      <c r="X37" s="466"/>
      <c r="Y37" s="1505"/>
      <c r="Z37" s="13"/>
      <c r="AA37" s="13"/>
      <c r="AB37" s="13"/>
      <c r="AC37" s="13"/>
      <c r="AD37" s="13"/>
      <c r="AE37" s="13"/>
      <c r="AF37" s="13"/>
      <c r="AG37" s="13"/>
      <c r="AH37" s="13"/>
      <c r="AI37" s="13"/>
    </row>
    <row r="38" spans="1:35" s="10" customFormat="1" ht="108">
      <c r="A38" s="1004"/>
      <c r="B38" s="1521"/>
      <c r="C38" s="1523"/>
      <c r="D38" s="1500" t="s">
        <v>158</v>
      </c>
      <c r="E38" s="1504">
        <v>0.1</v>
      </c>
      <c r="F38" s="1507">
        <v>1</v>
      </c>
      <c r="G38" s="1497" t="s">
        <v>916</v>
      </c>
      <c r="H38" s="1488">
        <v>1</v>
      </c>
      <c r="I38" s="1488">
        <v>1</v>
      </c>
      <c r="J38" s="1491" t="s">
        <v>917</v>
      </c>
      <c r="K38" s="1519" t="s">
        <v>918</v>
      </c>
      <c r="L38" s="1540">
        <v>0.04</v>
      </c>
      <c r="M38" s="85">
        <v>32</v>
      </c>
      <c r="N38" s="130" t="s">
        <v>919</v>
      </c>
      <c r="O38" s="105">
        <v>32</v>
      </c>
      <c r="P38" s="109">
        <v>8</v>
      </c>
      <c r="Q38" s="110">
        <v>16</v>
      </c>
      <c r="R38" s="110">
        <v>24</v>
      </c>
      <c r="S38" s="110">
        <v>32</v>
      </c>
      <c r="T38" s="1542">
        <v>35000000</v>
      </c>
      <c r="U38" s="1542">
        <f>(T38*1.05)</f>
        <v>36750000</v>
      </c>
      <c r="V38" s="1542">
        <f>(U38*1.05)</f>
        <v>38587500</v>
      </c>
      <c r="W38" s="1542">
        <f>(V38*1.05)</f>
        <v>40516875</v>
      </c>
      <c r="X38" s="1550">
        <f>SUM(T38:W38)</f>
        <v>150854375</v>
      </c>
      <c r="Y38" s="1505"/>
      <c r="Z38" s="13"/>
      <c r="AA38" s="13"/>
      <c r="AB38" s="13"/>
      <c r="AC38" s="13"/>
      <c r="AD38" s="13"/>
      <c r="AE38" s="13"/>
      <c r="AF38" s="13"/>
      <c r="AG38" s="13"/>
      <c r="AH38" s="13"/>
      <c r="AI38" s="13"/>
    </row>
    <row r="39" spans="1:35" s="10" customFormat="1" ht="180">
      <c r="A39" s="1004"/>
      <c r="B39" s="1521"/>
      <c r="C39" s="1523"/>
      <c r="D39" s="1501"/>
      <c r="E39" s="1505"/>
      <c r="F39" s="1508"/>
      <c r="G39" s="1498"/>
      <c r="H39" s="1489"/>
      <c r="I39" s="1489"/>
      <c r="J39" s="1492"/>
      <c r="K39" s="1538"/>
      <c r="L39" s="1541"/>
      <c r="M39" s="89" t="s">
        <v>197</v>
      </c>
      <c r="N39" s="12" t="s">
        <v>920</v>
      </c>
      <c r="O39" s="105">
        <v>0</v>
      </c>
      <c r="P39" s="109">
        <v>8</v>
      </c>
      <c r="Q39" s="110">
        <v>16</v>
      </c>
      <c r="R39" s="110">
        <v>24</v>
      </c>
      <c r="S39" s="110">
        <v>32</v>
      </c>
      <c r="T39" s="1543"/>
      <c r="U39" s="1543"/>
      <c r="V39" s="1543"/>
      <c r="W39" s="1543"/>
      <c r="X39" s="1551"/>
      <c r="Y39" s="1505"/>
      <c r="Z39" s="13"/>
      <c r="AA39" s="13"/>
      <c r="AB39" s="13"/>
      <c r="AC39" s="13"/>
      <c r="AD39" s="13"/>
      <c r="AE39" s="13"/>
      <c r="AF39" s="13"/>
      <c r="AG39" s="13"/>
      <c r="AH39" s="13"/>
      <c r="AI39" s="13"/>
    </row>
    <row r="40" spans="1:35" s="10" customFormat="1" ht="99.75" customHeight="1">
      <c r="A40" s="1004"/>
      <c r="B40" s="1521"/>
      <c r="C40" s="1523"/>
      <c r="D40" s="1501"/>
      <c r="E40" s="1505"/>
      <c r="F40" s="1508"/>
      <c r="G40" s="1498"/>
      <c r="H40" s="1489"/>
      <c r="I40" s="1489"/>
      <c r="J40" s="1492"/>
      <c r="K40" s="1517"/>
      <c r="L40" s="1541"/>
      <c r="M40" s="89">
        <v>18</v>
      </c>
      <c r="N40" s="12" t="s">
        <v>921</v>
      </c>
      <c r="O40" s="105">
        <v>12</v>
      </c>
      <c r="P40" s="109">
        <v>4</v>
      </c>
      <c r="Q40" s="110">
        <v>9</v>
      </c>
      <c r="R40" s="110">
        <v>15</v>
      </c>
      <c r="S40" s="110">
        <v>18</v>
      </c>
      <c r="T40" s="1544"/>
      <c r="U40" s="1544"/>
      <c r="V40" s="1544"/>
      <c r="W40" s="1544"/>
      <c r="X40" s="1552"/>
      <c r="Y40" s="1505"/>
      <c r="Z40" s="13"/>
      <c r="AA40" s="13"/>
      <c r="AB40" s="13"/>
      <c r="AC40" s="13"/>
      <c r="AD40" s="13"/>
      <c r="AE40" s="13"/>
      <c r="AF40" s="13"/>
      <c r="AG40" s="13"/>
      <c r="AH40" s="13"/>
      <c r="AI40" s="13"/>
    </row>
    <row r="41" spans="1:35" s="10" customFormat="1" ht="226.5" customHeight="1">
      <c r="A41" s="1004"/>
      <c r="B41" s="1521"/>
      <c r="C41" s="1523"/>
      <c r="D41" s="1501"/>
      <c r="E41" s="1505"/>
      <c r="F41" s="1508"/>
      <c r="G41" s="1498"/>
      <c r="H41" s="1489"/>
      <c r="I41" s="1489"/>
      <c r="J41" s="1492"/>
      <c r="K41" s="31" t="s">
        <v>922</v>
      </c>
      <c r="L41" s="661">
        <v>0.02</v>
      </c>
      <c r="M41" s="129">
        <v>32</v>
      </c>
      <c r="N41" s="105" t="s">
        <v>923</v>
      </c>
      <c r="O41" s="105">
        <v>32</v>
      </c>
      <c r="P41" s="109">
        <v>8</v>
      </c>
      <c r="Q41" s="110">
        <v>16</v>
      </c>
      <c r="R41" s="110">
        <v>24</v>
      </c>
      <c r="S41" s="110">
        <v>32</v>
      </c>
      <c r="T41" s="131">
        <v>35000000</v>
      </c>
      <c r="U41" s="131">
        <f aca="true" t="shared" si="0" ref="U41:W42">(T41*1.05)</f>
        <v>36750000</v>
      </c>
      <c r="V41" s="131">
        <f t="shared" si="0"/>
        <v>38587500</v>
      </c>
      <c r="W41" s="131">
        <f t="shared" si="0"/>
        <v>40516875</v>
      </c>
      <c r="X41" s="132">
        <f>SUM(T41:W41)</f>
        <v>150854375</v>
      </c>
      <c r="Y41" s="1505"/>
      <c r="Z41" s="13"/>
      <c r="AA41" s="13"/>
      <c r="AB41" s="13"/>
      <c r="AC41" s="13"/>
      <c r="AD41" s="13"/>
      <c r="AE41" s="13"/>
      <c r="AF41" s="13"/>
      <c r="AG41" s="13"/>
      <c r="AH41" s="13"/>
      <c r="AI41" s="13"/>
    </row>
    <row r="42" spans="1:35" s="10" customFormat="1" ht="120" customHeight="1">
      <c r="A42" s="1004"/>
      <c r="B42" s="1521"/>
      <c r="C42" s="1523"/>
      <c r="D42" s="1501"/>
      <c r="E42" s="1505"/>
      <c r="F42" s="1508"/>
      <c r="G42" s="1498"/>
      <c r="H42" s="1489"/>
      <c r="I42" s="1489"/>
      <c r="J42" s="1492"/>
      <c r="K42" s="1468" t="s">
        <v>924</v>
      </c>
      <c r="L42" s="1540">
        <v>0.02</v>
      </c>
      <c r="M42" s="133">
        <v>32</v>
      </c>
      <c r="N42" s="12" t="s">
        <v>925</v>
      </c>
      <c r="O42" s="92">
        <v>32</v>
      </c>
      <c r="P42" s="109">
        <v>8</v>
      </c>
      <c r="Q42" s="110">
        <v>16</v>
      </c>
      <c r="R42" s="110">
        <v>24</v>
      </c>
      <c r="S42" s="110">
        <v>32</v>
      </c>
      <c r="T42" s="1542">
        <v>50000000</v>
      </c>
      <c r="U42" s="1542">
        <f t="shared" si="0"/>
        <v>52500000</v>
      </c>
      <c r="V42" s="1542">
        <f t="shared" si="0"/>
        <v>55125000</v>
      </c>
      <c r="W42" s="1542">
        <f t="shared" si="0"/>
        <v>57881250</v>
      </c>
      <c r="X42" s="1550">
        <f>SUM(T42:W42)</f>
        <v>215506250</v>
      </c>
      <c r="Y42" s="1505"/>
      <c r="Z42" s="13"/>
      <c r="AA42" s="13"/>
      <c r="AB42" s="13"/>
      <c r="AC42" s="13"/>
      <c r="AD42" s="13"/>
      <c r="AE42" s="13"/>
      <c r="AF42" s="13"/>
      <c r="AG42" s="13"/>
      <c r="AH42" s="13"/>
      <c r="AI42" s="13"/>
    </row>
    <row r="43" spans="1:35" s="10" customFormat="1" ht="53.25" customHeight="1">
      <c r="A43" s="1004"/>
      <c r="B43" s="1521"/>
      <c r="C43" s="1523"/>
      <c r="D43" s="1501"/>
      <c r="E43" s="1505"/>
      <c r="F43" s="1508"/>
      <c r="G43" s="1498"/>
      <c r="H43" s="1489"/>
      <c r="I43" s="1489"/>
      <c r="J43" s="1492"/>
      <c r="K43" s="1468"/>
      <c r="L43" s="1541"/>
      <c r="M43" s="134">
        <v>1</v>
      </c>
      <c r="N43" s="135" t="s">
        <v>228</v>
      </c>
      <c r="O43" s="136">
        <v>0.3</v>
      </c>
      <c r="P43" s="115">
        <v>0.2</v>
      </c>
      <c r="Q43" s="102">
        <v>0.5</v>
      </c>
      <c r="R43" s="102">
        <v>0.8</v>
      </c>
      <c r="S43" s="102">
        <v>1</v>
      </c>
      <c r="T43" s="1543"/>
      <c r="U43" s="1543"/>
      <c r="V43" s="1543"/>
      <c r="W43" s="1543"/>
      <c r="X43" s="1551"/>
      <c r="Y43" s="1505"/>
      <c r="Z43" s="13"/>
      <c r="AA43" s="13"/>
      <c r="AB43" s="13"/>
      <c r="AC43" s="13"/>
      <c r="AD43" s="13"/>
      <c r="AE43" s="13"/>
      <c r="AF43" s="13"/>
      <c r="AG43" s="13"/>
      <c r="AH43" s="13"/>
      <c r="AI43" s="13"/>
    </row>
    <row r="44" spans="1:35" s="10" customFormat="1" ht="39" customHeight="1">
      <c r="A44" s="1004"/>
      <c r="B44" s="1521"/>
      <c r="C44" s="1523"/>
      <c r="D44" s="1501"/>
      <c r="E44" s="1505"/>
      <c r="F44" s="1508"/>
      <c r="G44" s="1498"/>
      <c r="H44" s="1489"/>
      <c r="I44" s="1489"/>
      <c r="J44" s="1492"/>
      <c r="K44" s="1468"/>
      <c r="L44" s="1541"/>
      <c r="M44" s="100">
        <v>6</v>
      </c>
      <c r="N44" s="12" t="s">
        <v>229</v>
      </c>
      <c r="O44" s="92">
        <v>0</v>
      </c>
      <c r="P44" s="109">
        <v>2</v>
      </c>
      <c r="Q44" s="110">
        <v>4</v>
      </c>
      <c r="R44" s="110">
        <v>5</v>
      </c>
      <c r="S44" s="110">
        <v>6</v>
      </c>
      <c r="T44" s="1544"/>
      <c r="U44" s="1544"/>
      <c r="V44" s="1544"/>
      <c r="W44" s="1544"/>
      <c r="X44" s="1552"/>
      <c r="Y44" s="1505"/>
      <c r="Z44" s="13"/>
      <c r="AA44" s="13"/>
      <c r="AB44" s="13"/>
      <c r="AC44" s="13"/>
      <c r="AD44" s="13"/>
      <c r="AE44" s="13"/>
      <c r="AF44" s="13"/>
      <c r="AG44" s="13"/>
      <c r="AH44" s="13"/>
      <c r="AI44" s="13"/>
    </row>
    <row r="45" spans="1:35" s="10" customFormat="1" ht="120">
      <c r="A45" s="1004"/>
      <c r="B45" s="1521"/>
      <c r="C45" s="1523"/>
      <c r="D45" s="1501"/>
      <c r="E45" s="1505"/>
      <c r="F45" s="1508"/>
      <c r="G45" s="1498"/>
      <c r="H45" s="1489"/>
      <c r="I45" s="1489"/>
      <c r="J45" s="1492"/>
      <c r="K45" s="1468" t="s">
        <v>926</v>
      </c>
      <c r="L45" s="1540">
        <v>0.02</v>
      </c>
      <c r="M45" s="129">
        <v>1</v>
      </c>
      <c r="N45" s="135" t="s">
        <v>927</v>
      </c>
      <c r="O45" s="137">
        <v>1</v>
      </c>
      <c r="P45" s="109">
        <v>0.25</v>
      </c>
      <c r="Q45" s="110">
        <v>0.5</v>
      </c>
      <c r="R45" s="110">
        <v>0.75</v>
      </c>
      <c r="S45" s="110">
        <v>1</v>
      </c>
      <c r="T45" s="1542">
        <v>730000000</v>
      </c>
      <c r="U45" s="1542">
        <f>(T45*1.05)</f>
        <v>766500000</v>
      </c>
      <c r="V45" s="1542">
        <f>(U45*1.05)</f>
        <v>804825000</v>
      </c>
      <c r="W45" s="1542">
        <f>(V45*1.05)</f>
        <v>845066250</v>
      </c>
      <c r="X45" s="1542">
        <f>SUM(T45:W45)</f>
        <v>3146391250</v>
      </c>
      <c r="Y45" s="1505"/>
      <c r="Z45" s="13"/>
      <c r="AA45" s="13"/>
      <c r="AB45" s="13"/>
      <c r="AC45" s="13"/>
      <c r="AD45" s="13"/>
      <c r="AE45" s="13"/>
      <c r="AF45" s="13"/>
      <c r="AG45" s="13"/>
      <c r="AH45" s="13"/>
      <c r="AI45" s="13"/>
    </row>
    <row r="46" spans="1:35" s="10" customFormat="1" ht="134.25" customHeight="1">
      <c r="A46" s="1004"/>
      <c r="B46" s="1521"/>
      <c r="C46" s="1523"/>
      <c r="D46" s="1501"/>
      <c r="E46" s="1505"/>
      <c r="F46" s="1508"/>
      <c r="G46" s="1498"/>
      <c r="H46" s="1489"/>
      <c r="I46" s="1489"/>
      <c r="J46" s="1492"/>
      <c r="K46" s="1468"/>
      <c r="L46" s="1541"/>
      <c r="M46" s="129">
        <v>1</v>
      </c>
      <c r="N46" s="135" t="s">
        <v>928</v>
      </c>
      <c r="O46" s="137">
        <v>1</v>
      </c>
      <c r="P46" s="109">
        <v>0.25</v>
      </c>
      <c r="Q46" s="110">
        <v>0.5</v>
      </c>
      <c r="R46" s="110">
        <v>0.75</v>
      </c>
      <c r="S46" s="110">
        <v>1</v>
      </c>
      <c r="T46" s="1543"/>
      <c r="U46" s="1543"/>
      <c r="V46" s="1543"/>
      <c r="W46" s="1543"/>
      <c r="X46" s="1543"/>
      <c r="Y46" s="1505"/>
      <c r="Z46" s="13"/>
      <c r="AA46" s="13"/>
      <c r="AB46" s="13"/>
      <c r="AC46" s="13"/>
      <c r="AD46" s="13"/>
      <c r="AE46" s="13"/>
      <c r="AF46" s="13"/>
      <c r="AG46" s="13"/>
      <c r="AH46" s="13"/>
      <c r="AI46" s="13"/>
    </row>
    <row r="47" spans="1:35" s="10" customFormat="1" ht="144">
      <c r="A47" s="1004"/>
      <c r="B47" s="1521"/>
      <c r="C47" s="1523"/>
      <c r="D47" s="1502"/>
      <c r="E47" s="1506"/>
      <c r="F47" s="1509"/>
      <c r="G47" s="1499"/>
      <c r="H47" s="1490"/>
      <c r="I47" s="1490"/>
      <c r="J47" s="1493"/>
      <c r="K47" s="1468"/>
      <c r="L47" s="1541"/>
      <c r="M47" s="129">
        <v>1</v>
      </c>
      <c r="N47" s="135" t="s">
        <v>929</v>
      </c>
      <c r="O47" s="137">
        <v>1</v>
      </c>
      <c r="P47" s="109">
        <v>0.25</v>
      </c>
      <c r="Q47" s="110">
        <v>0.5</v>
      </c>
      <c r="R47" s="110">
        <v>0.75</v>
      </c>
      <c r="S47" s="110">
        <v>1</v>
      </c>
      <c r="T47" s="1544"/>
      <c r="U47" s="1544"/>
      <c r="V47" s="1544"/>
      <c r="W47" s="1544"/>
      <c r="X47" s="1544"/>
      <c r="Y47" s="1505"/>
      <c r="Z47" s="13"/>
      <c r="AA47" s="13"/>
      <c r="AB47" s="13"/>
      <c r="AC47" s="13"/>
      <c r="AD47" s="13"/>
      <c r="AE47" s="13"/>
      <c r="AF47" s="13"/>
      <c r="AG47" s="13"/>
      <c r="AH47" s="13"/>
      <c r="AI47" s="13"/>
    </row>
    <row r="48" spans="1:35" s="520" customFormat="1" ht="15">
      <c r="A48" s="1004"/>
      <c r="B48" s="1521"/>
      <c r="C48" s="1523"/>
      <c r="D48" s="677"/>
      <c r="E48" s="454"/>
      <c r="F48" s="465"/>
      <c r="G48" s="462"/>
      <c r="H48" s="463"/>
      <c r="I48" s="463"/>
      <c r="J48" s="460"/>
      <c r="K48" s="459"/>
      <c r="L48" s="683">
        <f>SUM(L38:L47)</f>
        <v>0.1</v>
      </c>
      <c r="M48" s="129"/>
      <c r="N48" s="135"/>
      <c r="O48" s="137"/>
      <c r="P48" s="109"/>
      <c r="Q48" s="110"/>
      <c r="R48" s="110"/>
      <c r="S48" s="110"/>
      <c r="T48" s="458"/>
      <c r="U48" s="458"/>
      <c r="V48" s="458"/>
      <c r="W48" s="458"/>
      <c r="X48" s="458"/>
      <c r="Y48" s="1505"/>
      <c r="Z48" s="13"/>
      <c r="AA48" s="13"/>
      <c r="AB48" s="13"/>
      <c r="AC48" s="13"/>
      <c r="AD48" s="13"/>
      <c r="AE48" s="13"/>
      <c r="AF48" s="13"/>
      <c r="AG48" s="13"/>
      <c r="AH48" s="13"/>
      <c r="AI48" s="13"/>
    </row>
    <row r="49" spans="1:35" s="10" customFormat="1" ht="38.25" customHeight="1">
      <c r="A49" s="1004"/>
      <c r="B49" s="1521"/>
      <c r="C49" s="1523"/>
      <c r="D49" s="1553" t="s">
        <v>159</v>
      </c>
      <c r="E49" s="1504">
        <v>0.1</v>
      </c>
      <c r="F49" s="1507">
        <v>1</v>
      </c>
      <c r="G49" s="1497" t="s">
        <v>930</v>
      </c>
      <c r="H49" s="1488">
        <v>1</v>
      </c>
      <c r="I49" s="1488">
        <v>1</v>
      </c>
      <c r="J49" s="1491" t="s">
        <v>189</v>
      </c>
      <c r="K49" s="1519" t="s">
        <v>173</v>
      </c>
      <c r="L49" s="1540">
        <v>0.05</v>
      </c>
      <c r="M49" s="137">
        <v>30</v>
      </c>
      <c r="N49" s="12" t="s">
        <v>230</v>
      </c>
      <c r="O49" s="137">
        <v>0</v>
      </c>
      <c r="P49" s="109">
        <v>10</v>
      </c>
      <c r="Q49" s="110">
        <v>20</v>
      </c>
      <c r="R49" s="110">
        <v>30</v>
      </c>
      <c r="S49" s="110">
        <v>30</v>
      </c>
      <c r="T49" s="1542">
        <v>424000000</v>
      </c>
      <c r="U49" s="1542">
        <f>(T49*1.05)</f>
        <v>445200000</v>
      </c>
      <c r="V49" s="1542">
        <f>(U49*1.05)</f>
        <v>467460000</v>
      </c>
      <c r="W49" s="1542">
        <f>(V49*1.05)</f>
        <v>490833000</v>
      </c>
      <c r="X49" s="1542">
        <f>SUM(T49:W49)</f>
        <v>1827493000</v>
      </c>
      <c r="Y49" s="1505"/>
      <c r="Z49" s="13"/>
      <c r="AA49" s="13"/>
      <c r="AB49" s="13"/>
      <c r="AC49" s="13"/>
      <c r="AD49" s="13"/>
      <c r="AE49" s="13"/>
      <c r="AF49" s="13"/>
      <c r="AG49" s="13"/>
      <c r="AH49" s="13"/>
      <c r="AI49" s="13"/>
    </row>
    <row r="50" spans="1:35" s="10" customFormat="1" ht="45.75" customHeight="1">
      <c r="A50" s="1004"/>
      <c r="B50" s="1521"/>
      <c r="C50" s="1523"/>
      <c r="D50" s="1554"/>
      <c r="E50" s="1505"/>
      <c r="F50" s="1556"/>
      <c r="G50" s="1498"/>
      <c r="H50" s="1489"/>
      <c r="I50" s="1489"/>
      <c r="J50" s="1492"/>
      <c r="K50" s="1538"/>
      <c r="L50" s="1541"/>
      <c r="M50" s="137">
        <v>1</v>
      </c>
      <c r="N50" s="135" t="s">
        <v>931</v>
      </c>
      <c r="O50" s="138">
        <v>0.5</v>
      </c>
      <c r="P50" s="109">
        <v>0.25</v>
      </c>
      <c r="Q50" s="110">
        <v>0.5</v>
      </c>
      <c r="R50" s="110">
        <v>0.75</v>
      </c>
      <c r="S50" s="110">
        <v>1</v>
      </c>
      <c r="T50" s="1543"/>
      <c r="U50" s="1543"/>
      <c r="V50" s="1543"/>
      <c r="W50" s="1543"/>
      <c r="X50" s="1543"/>
      <c r="Y50" s="1505"/>
      <c r="Z50" s="13"/>
      <c r="AA50" s="13"/>
      <c r="AB50" s="13"/>
      <c r="AC50" s="13"/>
      <c r="AD50" s="13"/>
      <c r="AE50" s="13"/>
      <c r="AF50" s="13"/>
      <c r="AG50" s="13"/>
      <c r="AH50" s="13"/>
      <c r="AI50" s="13"/>
    </row>
    <row r="51" spans="1:35" s="10" customFormat="1" ht="132">
      <c r="A51" s="1004"/>
      <c r="B51" s="1521"/>
      <c r="C51" s="1523"/>
      <c r="D51" s="1554"/>
      <c r="E51" s="1505"/>
      <c r="F51" s="1556"/>
      <c r="G51" s="1498"/>
      <c r="H51" s="1489"/>
      <c r="I51" s="1489"/>
      <c r="J51" s="1492"/>
      <c r="K51" s="1538"/>
      <c r="L51" s="1541"/>
      <c r="M51" s="139">
        <v>0.6</v>
      </c>
      <c r="N51" s="135" t="s">
        <v>932</v>
      </c>
      <c r="O51" s="140">
        <v>0</v>
      </c>
      <c r="P51" s="109">
        <v>0</v>
      </c>
      <c r="Q51" s="102">
        <v>0.2</v>
      </c>
      <c r="R51" s="102">
        <v>0.4</v>
      </c>
      <c r="S51" s="102">
        <v>0.6</v>
      </c>
      <c r="T51" s="1543"/>
      <c r="U51" s="1543"/>
      <c r="V51" s="1543"/>
      <c r="W51" s="1543"/>
      <c r="X51" s="1543"/>
      <c r="Y51" s="1505"/>
      <c r="Z51" s="13"/>
      <c r="AA51" s="13"/>
      <c r="AB51" s="13"/>
      <c r="AC51" s="13"/>
      <c r="AD51" s="13"/>
      <c r="AE51" s="13"/>
      <c r="AF51" s="13"/>
      <c r="AG51" s="13"/>
      <c r="AH51" s="13"/>
      <c r="AI51" s="13"/>
    </row>
    <row r="52" spans="1:35" s="10" customFormat="1" ht="84">
      <c r="A52" s="1004"/>
      <c r="B52" s="1521"/>
      <c r="C52" s="1523"/>
      <c r="D52" s="1554"/>
      <c r="E52" s="1505"/>
      <c r="F52" s="1556"/>
      <c r="G52" s="1498"/>
      <c r="H52" s="1489"/>
      <c r="I52" s="1489"/>
      <c r="J52" s="1492"/>
      <c r="K52" s="1538"/>
      <c r="L52" s="1541"/>
      <c r="M52" s="129">
        <v>30</v>
      </c>
      <c r="N52" s="12" t="s">
        <v>231</v>
      </c>
      <c r="O52" s="137" t="s">
        <v>254</v>
      </c>
      <c r="P52" s="109">
        <v>30</v>
      </c>
      <c r="Q52" s="109">
        <v>30</v>
      </c>
      <c r="R52" s="109">
        <v>30</v>
      </c>
      <c r="S52" s="109">
        <v>30</v>
      </c>
      <c r="T52" s="1543"/>
      <c r="U52" s="1543"/>
      <c r="V52" s="1543"/>
      <c r="W52" s="1543"/>
      <c r="X52" s="1543"/>
      <c r="Y52" s="1505"/>
      <c r="Z52" s="13"/>
      <c r="AA52" s="13"/>
      <c r="AB52" s="13"/>
      <c r="AC52" s="13"/>
      <c r="AD52" s="13"/>
      <c r="AE52" s="13"/>
      <c r="AF52" s="13"/>
      <c r="AG52" s="13"/>
      <c r="AH52" s="13"/>
      <c r="AI52" s="13"/>
    </row>
    <row r="53" spans="1:35" s="10" customFormat="1" ht="178.5" customHeight="1">
      <c r="A53" s="1004"/>
      <c r="B53" s="1521"/>
      <c r="C53" s="1523"/>
      <c r="D53" s="1554"/>
      <c r="E53" s="1505"/>
      <c r="F53" s="1556"/>
      <c r="G53" s="1499"/>
      <c r="H53" s="1490"/>
      <c r="I53" s="1490"/>
      <c r="J53" s="1493"/>
      <c r="K53" s="1517"/>
      <c r="L53" s="1541"/>
      <c r="M53" s="129">
        <v>30</v>
      </c>
      <c r="N53" s="12" t="s">
        <v>232</v>
      </c>
      <c r="O53" s="105" t="s">
        <v>255</v>
      </c>
      <c r="P53" s="109">
        <v>0</v>
      </c>
      <c r="Q53" s="110">
        <v>10</v>
      </c>
      <c r="R53" s="110">
        <v>20</v>
      </c>
      <c r="S53" s="110">
        <v>30</v>
      </c>
      <c r="T53" s="1544"/>
      <c r="U53" s="1544"/>
      <c r="V53" s="1544"/>
      <c r="W53" s="1544"/>
      <c r="X53" s="1544"/>
      <c r="Y53" s="1505"/>
      <c r="Z53" s="13"/>
      <c r="AA53" s="13"/>
      <c r="AB53" s="13"/>
      <c r="AC53" s="13"/>
      <c r="AD53" s="13"/>
      <c r="AE53" s="13"/>
      <c r="AF53" s="13"/>
      <c r="AG53" s="13"/>
      <c r="AH53" s="13"/>
      <c r="AI53" s="13"/>
    </row>
    <row r="54" spans="1:35" s="10" customFormat="1" ht="267.75">
      <c r="A54" s="1004"/>
      <c r="B54" s="1521"/>
      <c r="C54" s="1523"/>
      <c r="D54" s="1555"/>
      <c r="E54" s="1506"/>
      <c r="F54" s="1557"/>
      <c r="G54" s="118" t="s">
        <v>933</v>
      </c>
      <c r="H54" s="141">
        <v>1</v>
      </c>
      <c r="I54" s="141">
        <v>1</v>
      </c>
      <c r="J54" s="142" t="s">
        <v>190</v>
      </c>
      <c r="K54" s="94" t="s">
        <v>934</v>
      </c>
      <c r="L54" s="661">
        <v>0.05</v>
      </c>
      <c r="M54" s="139">
        <v>1</v>
      </c>
      <c r="N54" s="123" t="s">
        <v>1332</v>
      </c>
      <c r="O54" s="143">
        <v>0.3</v>
      </c>
      <c r="P54" s="144">
        <v>0.1</v>
      </c>
      <c r="Q54" s="144">
        <v>0.3</v>
      </c>
      <c r="R54" s="102">
        <v>0.5</v>
      </c>
      <c r="S54" s="102">
        <v>1</v>
      </c>
      <c r="T54" s="131">
        <v>150000000</v>
      </c>
      <c r="U54" s="131">
        <f>(T54*1.05)</f>
        <v>157500000</v>
      </c>
      <c r="V54" s="131">
        <f>(U54*1.05)</f>
        <v>165375000</v>
      </c>
      <c r="W54" s="131">
        <f>(V54*1.05)</f>
        <v>173643750</v>
      </c>
      <c r="X54" s="131">
        <f>SUM(T54:W54)</f>
        <v>646518750</v>
      </c>
      <c r="Y54" s="1505"/>
      <c r="Z54" s="13"/>
      <c r="AA54" s="13"/>
      <c r="AB54" s="13"/>
      <c r="AC54" s="13"/>
      <c r="AD54" s="13"/>
      <c r="AE54" s="13"/>
      <c r="AF54" s="13"/>
      <c r="AG54" s="13"/>
      <c r="AH54" s="13"/>
      <c r="AI54" s="13"/>
    </row>
    <row r="55" spans="1:35" s="10" customFormat="1" ht="15">
      <c r="A55" s="1004"/>
      <c r="B55" s="1521"/>
      <c r="C55" s="1523"/>
      <c r="D55" s="1531" t="s">
        <v>160</v>
      </c>
      <c r="E55" s="1504">
        <v>0.5</v>
      </c>
      <c r="F55" s="86"/>
      <c r="G55" s="145"/>
      <c r="H55" s="16"/>
      <c r="I55" s="16"/>
      <c r="J55" s="146"/>
      <c r="K55" s="146"/>
      <c r="L55" s="684">
        <f>SUM(L49:L54)</f>
        <v>0.1</v>
      </c>
      <c r="M55" s="85"/>
      <c r="N55" s="147"/>
      <c r="O55" s="148"/>
      <c r="P55" s="149"/>
      <c r="Q55" s="84"/>
      <c r="R55" s="84"/>
      <c r="S55" s="84"/>
      <c r="T55" s="150"/>
      <c r="U55" s="150"/>
      <c r="V55" s="150"/>
      <c r="W55" s="150"/>
      <c r="X55" s="150"/>
      <c r="Y55" s="1505"/>
      <c r="Z55" s="13"/>
      <c r="AA55" s="13"/>
      <c r="AB55" s="13"/>
      <c r="AC55" s="13"/>
      <c r="AD55" s="13"/>
      <c r="AE55" s="13"/>
      <c r="AF55" s="13"/>
      <c r="AG55" s="13"/>
      <c r="AH55" s="13"/>
      <c r="AI55" s="13"/>
    </row>
    <row r="56" spans="1:35" s="10" customFormat="1" ht="127.5">
      <c r="A56" s="1004"/>
      <c r="B56" s="1521"/>
      <c r="C56" s="1523"/>
      <c r="D56" s="1531"/>
      <c r="E56" s="1505"/>
      <c r="F56" s="151">
        <v>0.127</v>
      </c>
      <c r="G56" s="152" t="s">
        <v>935</v>
      </c>
      <c r="H56" s="153">
        <v>12.7</v>
      </c>
      <c r="I56" s="154">
        <v>12.7</v>
      </c>
      <c r="J56" s="153" t="s">
        <v>191</v>
      </c>
      <c r="K56" s="153" t="s">
        <v>174</v>
      </c>
      <c r="L56" s="661">
        <v>0.02</v>
      </c>
      <c r="M56" s="129" t="s">
        <v>198</v>
      </c>
      <c r="N56" s="135" t="s">
        <v>233</v>
      </c>
      <c r="O56" s="155" t="s">
        <v>256</v>
      </c>
      <c r="P56" s="109">
        <v>12.7</v>
      </c>
      <c r="Q56" s="110">
        <v>12</v>
      </c>
      <c r="R56" s="110">
        <v>10.5</v>
      </c>
      <c r="S56" s="110">
        <v>10</v>
      </c>
      <c r="T56" s="156">
        <v>136000000</v>
      </c>
      <c r="U56" s="156">
        <f aca="true" t="shared" si="1" ref="U56:W57">(T56*1.05)</f>
        <v>142800000</v>
      </c>
      <c r="V56" s="156">
        <f t="shared" si="1"/>
        <v>149940000</v>
      </c>
      <c r="W56" s="156">
        <f t="shared" si="1"/>
        <v>157437000</v>
      </c>
      <c r="X56" s="156">
        <f>SUM(T56:W56)</f>
        <v>586177000</v>
      </c>
      <c r="Y56" s="1505"/>
      <c r="Z56" s="13"/>
      <c r="AA56" s="13"/>
      <c r="AB56" s="13"/>
      <c r="AC56" s="13"/>
      <c r="AD56" s="13"/>
      <c r="AE56" s="13"/>
      <c r="AF56" s="13"/>
      <c r="AG56" s="13"/>
      <c r="AH56" s="13"/>
      <c r="AI56" s="13"/>
    </row>
    <row r="57" spans="1:35" s="10" customFormat="1" ht="72">
      <c r="A57" s="1004"/>
      <c r="B57" s="1521"/>
      <c r="C57" s="1523"/>
      <c r="D57" s="1531"/>
      <c r="E57" s="1505"/>
      <c r="F57" s="1532" t="s">
        <v>936</v>
      </c>
      <c r="G57" s="1497" t="s">
        <v>937</v>
      </c>
      <c r="H57" s="1533">
        <v>11458</v>
      </c>
      <c r="I57" s="1565">
        <v>9167</v>
      </c>
      <c r="J57" s="1559" t="s">
        <v>192</v>
      </c>
      <c r="K57" s="1567" t="s">
        <v>938</v>
      </c>
      <c r="L57" s="1494">
        <v>0.03</v>
      </c>
      <c r="M57" s="153" t="s">
        <v>199</v>
      </c>
      <c r="N57" s="12" t="s">
        <v>234</v>
      </c>
      <c r="O57" s="105" t="s">
        <v>257</v>
      </c>
      <c r="P57" s="109">
        <v>0</v>
      </c>
      <c r="Q57" s="110">
        <v>0</v>
      </c>
      <c r="R57" s="110">
        <v>0</v>
      </c>
      <c r="S57" s="110">
        <v>0</v>
      </c>
      <c r="T57" s="1510">
        <v>2531</v>
      </c>
      <c r="U57" s="1510">
        <f t="shared" si="1"/>
        <v>2657.55</v>
      </c>
      <c r="V57" s="1510">
        <f t="shared" si="1"/>
        <v>2790.4275000000002</v>
      </c>
      <c r="W57" s="1510">
        <f t="shared" si="1"/>
        <v>2929.9488750000005</v>
      </c>
      <c r="X57" s="1510">
        <f>SUM(T57:W57)</f>
        <v>10908.926375000001</v>
      </c>
      <c r="Y57" s="1505"/>
      <c r="Z57" s="13"/>
      <c r="AA57" s="13"/>
      <c r="AB57" s="13"/>
      <c r="AC57" s="13"/>
      <c r="AD57" s="13"/>
      <c r="AE57" s="13"/>
      <c r="AF57" s="13"/>
      <c r="AG57" s="13"/>
      <c r="AH57" s="13"/>
      <c r="AI57" s="13"/>
    </row>
    <row r="58" spans="1:35" s="10" customFormat="1" ht="62.25" customHeight="1">
      <c r="A58" s="1004"/>
      <c r="B58" s="1521"/>
      <c r="C58" s="1523"/>
      <c r="D58" s="1531"/>
      <c r="E58" s="1505"/>
      <c r="F58" s="1509"/>
      <c r="G58" s="1517"/>
      <c r="H58" s="1534"/>
      <c r="I58" s="1566"/>
      <c r="J58" s="1559"/>
      <c r="K58" s="1567"/>
      <c r="L58" s="1496"/>
      <c r="M58" s="157">
        <v>0.2</v>
      </c>
      <c r="N58" s="135" t="s">
        <v>939</v>
      </c>
      <c r="O58" s="105" t="s">
        <v>258</v>
      </c>
      <c r="P58" s="158">
        <v>0.05</v>
      </c>
      <c r="Q58" s="144">
        <v>0.1</v>
      </c>
      <c r="R58" s="102">
        <v>0.15</v>
      </c>
      <c r="S58" s="102">
        <v>0.2</v>
      </c>
      <c r="T58" s="1512"/>
      <c r="U58" s="1512"/>
      <c r="V58" s="1512"/>
      <c r="W58" s="1512"/>
      <c r="X58" s="1512"/>
      <c r="Y58" s="1505"/>
      <c r="Z58" s="13"/>
      <c r="AA58" s="13"/>
      <c r="AB58" s="13"/>
      <c r="AC58" s="13"/>
      <c r="AD58" s="13"/>
      <c r="AE58" s="13"/>
      <c r="AF58" s="13"/>
      <c r="AG58" s="13"/>
      <c r="AH58" s="13"/>
      <c r="AI58" s="13"/>
    </row>
    <row r="59" spans="1:35" s="10" customFormat="1" ht="84">
      <c r="A59" s="1004"/>
      <c r="B59" s="1521"/>
      <c r="C59" s="1523"/>
      <c r="D59" s="1531"/>
      <c r="E59" s="1505"/>
      <c r="F59" s="1558">
        <v>0.8</v>
      </c>
      <c r="G59" s="1497" t="s">
        <v>940</v>
      </c>
      <c r="H59" s="1558">
        <v>0.75</v>
      </c>
      <c r="I59" s="1558">
        <v>0.8</v>
      </c>
      <c r="J59" s="1559"/>
      <c r="K59" s="1559" t="s">
        <v>327</v>
      </c>
      <c r="L59" s="1494">
        <v>0.03</v>
      </c>
      <c r="M59" s="157">
        <v>0.8</v>
      </c>
      <c r="N59" s="135" t="s">
        <v>941</v>
      </c>
      <c r="O59" s="159">
        <v>0.75</v>
      </c>
      <c r="P59" s="158">
        <v>0</v>
      </c>
      <c r="Q59" s="144">
        <v>0.01</v>
      </c>
      <c r="R59" s="102">
        <v>0.02</v>
      </c>
      <c r="S59" s="102">
        <v>0.02</v>
      </c>
      <c r="T59" s="1510">
        <v>700378000</v>
      </c>
      <c r="U59" s="1510">
        <f>(T59*1.05)</f>
        <v>735396900</v>
      </c>
      <c r="V59" s="1510">
        <f>(U59*1.05)</f>
        <v>772166745</v>
      </c>
      <c r="W59" s="1510">
        <f>(V59*1.05)</f>
        <v>810775082.25</v>
      </c>
      <c r="X59" s="1510">
        <f>SUM(T59:W59)</f>
        <v>3018716727.25</v>
      </c>
      <c r="Y59" s="1505"/>
      <c r="Z59" s="13"/>
      <c r="AA59" s="13"/>
      <c r="AB59" s="13"/>
      <c r="AC59" s="13"/>
      <c r="AD59" s="13"/>
      <c r="AE59" s="13"/>
      <c r="AF59" s="13"/>
      <c r="AG59" s="13"/>
      <c r="AH59" s="13"/>
      <c r="AI59" s="13"/>
    </row>
    <row r="60" spans="1:35" s="10" customFormat="1" ht="195" customHeight="1">
      <c r="A60" s="1004"/>
      <c r="B60" s="1521"/>
      <c r="C60" s="1523"/>
      <c r="D60" s="1531"/>
      <c r="E60" s="1505"/>
      <c r="F60" s="1536"/>
      <c r="G60" s="1538"/>
      <c r="H60" s="1536"/>
      <c r="I60" s="1536"/>
      <c r="J60" s="1559"/>
      <c r="K60" s="1559"/>
      <c r="L60" s="1495"/>
      <c r="M60" s="153">
        <v>0</v>
      </c>
      <c r="N60" s="105" t="s">
        <v>235</v>
      </c>
      <c r="O60" s="105" t="s">
        <v>259</v>
      </c>
      <c r="P60" s="115">
        <v>0</v>
      </c>
      <c r="Q60" s="102">
        <v>0</v>
      </c>
      <c r="R60" s="102">
        <v>0</v>
      </c>
      <c r="S60" s="102">
        <v>0</v>
      </c>
      <c r="T60" s="1511"/>
      <c r="U60" s="1511"/>
      <c r="V60" s="1511"/>
      <c r="W60" s="1511"/>
      <c r="X60" s="1511"/>
      <c r="Y60" s="1505"/>
      <c r="Z60" s="13"/>
      <c r="AA60" s="13"/>
      <c r="AB60" s="13"/>
      <c r="AC60" s="13"/>
      <c r="AD60" s="13"/>
      <c r="AE60" s="13"/>
      <c r="AF60" s="13"/>
      <c r="AG60" s="13"/>
      <c r="AH60" s="13"/>
      <c r="AI60" s="13"/>
    </row>
    <row r="61" spans="1:35" s="10" customFormat="1" ht="156">
      <c r="A61" s="1004"/>
      <c r="B61" s="1521"/>
      <c r="C61" s="1523"/>
      <c r="D61" s="1531"/>
      <c r="E61" s="1505"/>
      <c r="F61" s="1537"/>
      <c r="G61" s="1517"/>
      <c r="H61" s="1537"/>
      <c r="I61" s="1537"/>
      <c r="J61" s="1559"/>
      <c r="K61" s="1559"/>
      <c r="L61" s="1496"/>
      <c r="M61" s="153">
        <v>1</v>
      </c>
      <c r="N61" s="160" t="s">
        <v>942</v>
      </c>
      <c r="O61" s="105">
        <v>0</v>
      </c>
      <c r="P61" s="109">
        <v>0.25</v>
      </c>
      <c r="Q61" s="110">
        <v>0.5</v>
      </c>
      <c r="R61" s="110">
        <v>0.75</v>
      </c>
      <c r="S61" s="110">
        <v>1</v>
      </c>
      <c r="T61" s="1512"/>
      <c r="U61" s="1512"/>
      <c r="V61" s="1512"/>
      <c r="W61" s="1512"/>
      <c r="X61" s="1512"/>
      <c r="Y61" s="1505"/>
      <c r="Z61" s="13"/>
      <c r="AA61" s="13"/>
      <c r="AB61" s="13"/>
      <c r="AC61" s="13"/>
      <c r="AD61" s="13"/>
      <c r="AE61" s="13"/>
      <c r="AF61" s="13"/>
      <c r="AG61" s="13"/>
      <c r="AH61" s="13"/>
      <c r="AI61" s="13"/>
    </row>
    <row r="62" spans="1:35" s="10" customFormat="1" ht="61.5" customHeight="1">
      <c r="A62" s="1004"/>
      <c r="B62" s="1521"/>
      <c r="C62" s="1523"/>
      <c r="D62" s="1531"/>
      <c r="E62" s="1505"/>
      <c r="F62" s="161">
        <v>0.05</v>
      </c>
      <c r="G62" s="162" t="s">
        <v>943</v>
      </c>
      <c r="H62" s="161">
        <v>0.85</v>
      </c>
      <c r="I62" s="163">
        <v>0.9</v>
      </c>
      <c r="J62" s="1559"/>
      <c r="K62" s="153" t="s">
        <v>175</v>
      </c>
      <c r="L62" s="661">
        <v>0.05</v>
      </c>
      <c r="M62" s="164">
        <v>0.9</v>
      </c>
      <c r="N62" s="160" t="s">
        <v>236</v>
      </c>
      <c r="O62" s="165">
        <v>0.85</v>
      </c>
      <c r="P62" s="115">
        <v>0</v>
      </c>
      <c r="Q62" s="102">
        <v>0.01</v>
      </c>
      <c r="R62" s="102">
        <v>0.02</v>
      </c>
      <c r="S62" s="102">
        <v>0.02</v>
      </c>
      <c r="T62" s="166">
        <v>292000000</v>
      </c>
      <c r="U62" s="166">
        <f aca="true" t="shared" si="2" ref="U62:W64">(T62*1.05)</f>
        <v>306600000</v>
      </c>
      <c r="V62" s="166">
        <f t="shared" si="2"/>
        <v>321930000</v>
      </c>
      <c r="W62" s="166">
        <f t="shared" si="2"/>
        <v>338026500</v>
      </c>
      <c r="X62" s="166">
        <f>SUM(T62:W62)</f>
        <v>1258556500</v>
      </c>
      <c r="Y62" s="1505"/>
      <c r="Z62" s="13"/>
      <c r="AA62" s="13"/>
      <c r="AB62" s="13"/>
      <c r="AC62" s="13"/>
      <c r="AD62" s="13"/>
      <c r="AE62" s="13"/>
      <c r="AF62" s="13"/>
      <c r="AG62" s="13"/>
      <c r="AH62" s="13"/>
      <c r="AI62" s="13"/>
    </row>
    <row r="63" spans="1:35" s="10" customFormat="1" ht="63.75">
      <c r="A63" s="1004"/>
      <c r="B63" s="1521"/>
      <c r="C63" s="1523"/>
      <c r="D63" s="1531"/>
      <c r="E63" s="1505"/>
      <c r="F63" s="167" t="s">
        <v>911</v>
      </c>
      <c r="G63" s="168" t="s">
        <v>944</v>
      </c>
      <c r="H63" s="169">
        <v>1</v>
      </c>
      <c r="I63" s="170">
        <v>1</v>
      </c>
      <c r="J63" s="1559"/>
      <c r="K63" s="153" t="s">
        <v>176</v>
      </c>
      <c r="L63" s="661">
        <v>0.05</v>
      </c>
      <c r="M63" s="90" t="s">
        <v>200</v>
      </c>
      <c r="N63" s="160" t="s">
        <v>945</v>
      </c>
      <c r="O63" s="105" t="s">
        <v>260</v>
      </c>
      <c r="P63" s="109">
        <v>0</v>
      </c>
      <c r="Q63" s="110">
        <v>0</v>
      </c>
      <c r="R63" s="110">
        <v>0</v>
      </c>
      <c r="S63" s="110">
        <v>0</v>
      </c>
      <c r="T63" s="166">
        <v>148000000</v>
      </c>
      <c r="U63" s="166">
        <f t="shared" si="2"/>
        <v>155400000</v>
      </c>
      <c r="V63" s="166">
        <f t="shared" si="2"/>
        <v>163170000</v>
      </c>
      <c r="W63" s="166">
        <f t="shared" si="2"/>
        <v>171328500</v>
      </c>
      <c r="X63" s="166">
        <f>SUM(T63:W63)</f>
        <v>637898500</v>
      </c>
      <c r="Y63" s="1505"/>
      <c r="Z63" s="13"/>
      <c r="AA63" s="13"/>
      <c r="AB63" s="13"/>
      <c r="AC63" s="13"/>
      <c r="AD63" s="13"/>
      <c r="AE63" s="13"/>
      <c r="AF63" s="13"/>
      <c r="AG63" s="13"/>
      <c r="AH63" s="13"/>
      <c r="AI63" s="13"/>
    </row>
    <row r="64" spans="1:35" s="10" customFormat="1" ht="132">
      <c r="A64" s="1004"/>
      <c r="B64" s="1521"/>
      <c r="C64" s="1523"/>
      <c r="D64" s="1531"/>
      <c r="E64" s="1505"/>
      <c r="F64" s="1560">
        <v>0.055</v>
      </c>
      <c r="G64" s="1519" t="s">
        <v>946</v>
      </c>
      <c r="H64" s="1560">
        <v>0.105</v>
      </c>
      <c r="I64" s="1560">
        <v>0.055</v>
      </c>
      <c r="J64" s="1561" t="s">
        <v>193</v>
      </c>
      <c r="K64" s="1564" t="s">
        <v>177</v>
      </c>
      <c r="L64" s="1540">
        <v>0.03</v>
      </c>
      <c r="M64" s="89">
        <v>1</v>
      </c>
      <c r="N64" s="160" t="s">
        <v>947</v>
      </c>
      <c r="O64" s="105">
        <v>1</v>
      </c>
      <c r="P64" s="109">
        <v>0.25</v>
      </c>
      <c r="Q64" s="110">
        <v>0.5</v>
      </c>
      <c r="R64" s="110">
        <v>0.075</v>
      </c>
      <c r="S64" s="110">
        <v>1</v>
      </c>
      <c r="T64" s="1510">
        <v>725000000</v>
      </c>
      <c r="U64" s="1510">
        <f t="shared" si="2"/>
        <v>761250000</v>
      </c>
      <c r="V64" s="1510">
        <f t="shared" si="2"/>
        <v>799312500</v>
      </c>
      <c r="W64" s="1510">
        <f t="shared" si="2"/>
        <v>839278125</v>
      </c>
      <c r="X64" s="1510">
        <f>SUM(T64:W64)</f>
        <v>3124840625</v>
      </c>
      <c r="Y64" s="1505"/>
      <c r="Z64" s="13"/>
      <c r="AA64" s="13"/>
      <c r="AB64" s="13"/>
      <c r="AC64" s="13"/>
      <c r="AD64" s="13"/>
      <c r="AE64" s="13"/>
      <c r="AF64" s="13"/>
      <c r="AG64" s="13"/>
      <c r="AH64" s="13"/>
      <c r="AI64" s="13"/>
    </row>
    <row r="65" spans="1:35" s="10" customFormat="1" ht="132">
      <c r="A65" s="1004"/>
      <c r="B65" s="1521"/>
      <c r="C65" s="1523"/>
      <c r="D65" s="1531"/>
      <c r="E65" s="1505"/>
      <c r="F65" s="1536"/>
      <c r="G65" s="1538"/>
      <c r="H65" s="1536"/>
      <c r="I65" s="1536"/>
      <c r="J65" s="1562"/>
      <c r="K65" s="1564"/>
      <c r="L65" s="1541"/>
      <c r="M65" s="153" t="s">
        <v>201</v>
      </c>
      <c r="N65" s="171" t="s">
        <v>237</v>
      </c>
      <c r="O65" s="172" t="s">
        <v>261</v>
      </c>
      <c r="P65" s="109">
        <v>1</v>
      </c>
      <c r="Q65" s="110">
        <v>2</v>
      </c>
      <c r="R65" s="110">
        <v>3</v>
      </c>
      <c r="S65" s="110">
        <v>4</v>
      </c>
      <c r="T65" s="1511"/>
      <c r="U65" s="1511"/>
      <c r="V65" s="1511"/>
      <c r="W65" s="1511"/>
      <c r="X65" s="1511"/>
      <c r="Y65" s="1505"/>
      <c r="Z65" s="13"/>
      <c r="AA65" s="13"/>
      <c r="AB65" s="13"/>
      <c r="AC65" s="13"/>
      <c r="AD65" s="13"/>
      <c r="AE65" s="13"/>
      <c r="AF65" s="13"/>
      <c r="AG65" s="13"/>
      <c r="AH65" s="13"/>
      <c r="AI65" s="13"/>
    </row>
    <row r="66" spans="1:35" s="10" customFormat="1" ht="180">
      <c r="A66" s="1004"/>
      <c r="B66" s="1521"/>
      <c r="C66" s="1523"/>
      <c r="D66" s="1531"/>
      <c r="E66" s="1505"/>
      <c r="F66" s="1536"/>
      <c r="G66" s="1538"/>
      <c r="H66" s="1536"/>
      <c r="I66" s="1536"/>
      <c r="J66" s="1562"/>
      <c r="K66" s="1564"/>
      <c r="L66" s="1541"/>
      <c r="M66" s="153">
        <v>30</v>
      </c>
      <c r="N66" s="171" t="s">
        <v>238</v>
      </c>
      <c r="O66" s="105" t="s">
        <v>262</v>
      </c>
      <c r="P66" s="109">
        <v>2</v>
      </c>
      <c r="Q66" s="110">
        <v>10</v>
      </c>
      <c r="R66" s="110">
        <v>10</v>
      </c>
      <c r="S66" s="110">
        <v>8</v>
      </c>
      <c r="T66" s="1511"/>
      <c r="U66" s="1511"/>
      <c r="V66" s="1511"/>
      <c r="W66" s="1511"/>
      <c r="X66" s="1511"/>
      <c r="Y66" s="1505"/>
      <c r="Z66" s="13"/>
      <c r="AA66" s="13"/>
      <c r="AB66" s="13"/>
      <c r="AC66" s="13"/>
      <c r="AD66" s="13"/>
      <c r="AE66" s="13"/>
      <c r="AF66" s="13"/>
      <c r="AG66" s="13"/>
      <c r="AH66" s="13"/>
      <c r="AI66" s="13"/>
    </row>
    <row r="67" spans="1:35" s="10" customFormat="1" ht="15" customHeight="1">
      <c r="A67" s="1004"/>
      <c r="B67" s="1521"/>
      <c r="C67" s="1523"/>
      <c r="D67" s="1531"/>
      <c r="E67" s="1505"/>
      <c r="F67" s="1536"/>
      <c r="G67" s="1538"/>
      <c r="H67" s="1536"/>
      <c r="I67" s="1536"/>
      <c r="J67" s="1562"/>
      <c r="K67" s="1564"/>
      <c r="L67" s="1541"/>
      <c r="M67" s="153">
        <v>1</v>
      </c>
      <c r="N67" s="160" t="s">
        <v>948</v>
      </c>
      <c r="O67" s="105" t="s">
        <v>263</v>
      </c>
      <c r="P67" s="109">
        <v>0.25</v>
      </c>
      <c r="Q67" s="110">
        <v>0.5</v>
      </c>
      <c r="R67" s="110">
        <v>0.75</v>
      </c>
      <c r="S67" s="110">
        <v>1</v>
      </c>
      <c r="T67" s="1511"/>
      <c r="U67" s="1511"/>
      <c r="V67" s="1511"/>
      <c r="W67" s="1511"/>
      <c r="X67" s="1511"/>
      <c r="Y67" s="1505"/>
      <c r="Z67" s="13"/>
      <c r="AA67" s="13"/>
      <c r="AB67" s="13"/>
      <c r="AC67" s="13"/>
      <c r="AD67" s="13"/>
      <c r="AE67" s="13"/>
      <c r="AF67" s="13"/>
      <c r="AG67" s="13"/>
      <c r="AH67" s="13"/>
      <c r="AI67" s="13"/>
    </row>
    <row r="68" spans="1:35" s="10" customFormat="1" ht="164.25" customHeight="1">
      <c r="A68" s="1004"/>
      <c r="B68" s="1521"/>
      <c r="C68" s="1523"/>
      <c r="D68" s="1531"/>
      <c r="E68" s="1505"/>
      <c r="F68" s="1536"/>
      <c r="G68" s="1538"/>
      <c r="H68" s="1536"/>
      <c r="I68" s="1536"/>
      <c r="J68" s="1562"/>
      <c r="K68" s="1564"/>
      <c r="L68" s="1541"/>
      <c r="M68" s="157">
        <v>1</v>
      </c>
      <c r="N68" s="160" t="s">
        <v>239</v>
      </c>
      <c r="O68" s="159">
        <v>1</v>
      </c>
      <c r="P68" s="115">
        <v>0.25</v>
      </c>
      <c r="Q68" s="102">
        <v>0.5</v>
      </c>
      <c r="R68" s="102">
        <v>0.75</v>
      </c>
      <c r="S68" s="102">
        <v>1</v>
      </c>
      <c r="T68" s="1511"/>
      <c r="U68" s="1511"/>
      <c r="V68" s="1511"/>
      <c r="W68" s="1511"/>
      <c r="X68" s="1511"/>
      <c r="Y68" s="1505"/>
      <c r="Z68" s="13"/>
      <c r="AA68" s="13"/>
      <c r="AB68" s="13"/>
      <c r="AC68" s="13"/>
      <c r="AD68" s="13"/>
      <c r="AE68" s="13"/>
      <c r="AF68" s="13"/>
      <c r="AG68" s="13"/>
      <c r="AH68" s="13"/>
      <c r="AI68" s="13"/>
    </row>
    <row r="69" spans="1:35" s="10" customFormat="1" ht="108">
      <c r="A69" s="1004"/>
      <c r="B69" s="1521"/>
      <c r="C69" s="1523"/>
      <c r="D69" s="1531"/>
      <c r="E69" s="1505"/>
      <c r="F69" s="1537"/>
      <c r="G69" s="1517"/>
      <c r="H69" s="1537"/>
      <c r="I69" s="1537"/>
      <c r="J69" s="1562"/>
      <c r="K69" s="1564"/>
      <c r="L69" s="1541"/>
      <c r="M69" s="173">
        <v>1</v>
      </c>
      <c r="N69" s="174" t="s">
        <v>240</v>
      </c>
      <c r="O69" s="175">
        <v>1</v>
      </c>
      <c r="P69" s="115">
        <v>0.25</v>
      </c>
      <c r="Q69" s="102">
        <v>0.5</v>
      </c>
      <c r="R69" s="102">
        <v>0.75</v>
      </c>
      <c r="S69" s="102">
        <v>1</v>
      </c>
      <c r="T69" s="1512"/>
      <c r="U69" s="1512"/>
      <c r="V69" s="1512"/>
      <c r="W69" s="1512"/>
      <c r="X69" s="1512"/>
      <c r="Y69" s="1505"/>
      <c r="Z69" s="13"/>
      <c r="AA69" s="13"/>
      <c r="AB69" s="13"/>
      <c r="AC69" s="13"/>
      <c r="AD69" s="13"/>
      <c r="AE69" s="13"/>
      <c r="AF69" s="13"/>
      <c r="AG69" s="13"/>
      <c r="AH69" s="13"/>
      <c r="AI69" s="13"/>
    </row>
    <row r="70" spans="1:35" s="10" customFormat="1" ht="72">
      <c r="A70" s="1004"/>
      <c r="B70" s="1521"/>
      <c r="C70" s="1523"/>
      <c r="D70" s="1531"/>
      <c r="E70" s="1505"/>
      <c r="F70" s="1535" t="s">
        <v>114</v>
      </c>
      <c r="G70" s="1519" t="s">
        <v>949</v>
      </c>
      <c r="H70" s="1533">
        <v>19</v>
      </c>
      <c r="I70" s="1535">
        <v>15</v>
      </c>
      <c r="J70" s="1562"/>
      <c r="K70" s="1564" t="s">
        <v>178</v>
      </c>
      <c r="L70" s="1494">
        <v>0.05</v>
      </c>
      <c r="M70" s="176" t="s">
        <v>202</v>
      </c>
      <c r="N70" s="172" t="s">
        <v>950</v>
      </c>
      <c r="O70" s="123" t="s">
        <v>264</v>
      </c>
      <c r="P70" s="144">
        <v>0.55</v>
      </c>
      <c r="Q70" s="144">
        <v>0.52</v>
      </c>
      <c r="R70" s="144">
        <v>0.48</v>
      </c>
      <c r="S70" s="144">
        <v>0.45</v>
      </c>
      <c r="T70" s="1510">
        <v>2023</v>
      </c>
      <c r="U70" s="1510">
        <f>(T70*1.05)</f>
        <v>2124.15</v>
      </c>
      <c r="V70" s="1510">
        <f>(U70*1.05)</f>
        <v>2230.3575</v>
      </c>
      <c r="W70" s="1510">
        <f>(V70*1.05)</f>
        <v>2341.875375</v>
      </c>
      <c r="X70" s="1510">
        <f>SUM(T70:W70)</f>
        <v>8719.382875</v>
      </c>
      <c r="Y70" s="1505"/>
      <c r="Z70" s="13"/>
      <c r="AA70" s="13"/>
      <c r="AB70" s="13"/>
      <c r="AC70" s="13"/>
      <c r="AD70" s="13"/>
      <c r="AE70" s="13"/>
      <c r="AF70" s="13"/>
      <c r="AG70" s="13"/>
      <c r="AH70" s="13"/>
      <c r="AI70" s="13"/>
    </row>
    <row r="71" spans="1:35" s="10" customFormat="1" ht="96">
      <c r="A71" s="1004"/>
      <c r="B71" s="1521"/>
      <c r="C71" s="1523"/>
      <c r="D71" s="1531"/>
      <c r="E71" s="1505"/>
      <c r="F71" s="1536"/>
      <c r="G71" s="1538"/>
      <c r="H71" s="1539"/>
      <c r="I71" s="1536"/>
      <c r="J71" s="1562"/>
      <c r="K71" s="1564"/>
      <c r="L71" s="1495"/>
      <c r="M71" s="90" t="s">
        <v>203</v>
      </c>
      <c r="N71" s="160" t="s">
        <v>951</v>
      </c>
      <c r="O71" s="105" t="s">
        <v>265</v>
      </c>
      <c r="P71" s="102" t="s">
        <v>952</v>
      </c>
      <c r="Q71" s="102" t="s">
        <v>953</v>
      </c>
      <c r="R71" s="102" t="s">
        <v>954</v>
      </c>
      <c r="S71" s="102">
        <v>0.02</v>
      </c>
      <c r="T71" s="1511"/>
      <c r="U71" s="1511"/>
      <c r="V71" s="1511"/>
      <c r="W71" s="1511"/>
      <c r="X71" s="1511"/>
      <c r="Y71" s="1505"/>
      <c r="Z71" s="13"/>
      <c r="AA71" s="13"/>
      <c r="AB71" s="13"/>
      <c r="AC71" s="13"/>
      <c r="AD71" s="13"/>
      <c r="AE71" s="13"/>
      <c r="AF71" s="13"/>
      <c r="AG71" s="13"/>
      <c r="AH71" s="13"/>
      <c r="AI71" s="13"/>
    </row>
    <row r="72" spans="1:35" s="10" customFormat="1" ht="60">
      <c r="A72" s="1004"/>
      <c r="B72" s="1521"/>
      <c r="C72" s="1523"/>
      <c r="D72" s="1531"/>
      <c r="E72" s="1505"/>
      <c r="F72" s="1536"/>
      <c r="G72" s="1538"/>
      <c r="H72" s="1539"/>
      <c r="I72" s="1536"/>
      <c r="J72" s="1562"/>
      <c r="K72" s="1564"/>
      <c r="L72" s="1495"/>
      <c r="M72" s="90" t="s">
        <v>204</v>
      </c>
      <c r="N72" s="160" t="s">
        <v>241</v>
      </c>
      <c r="O72" s="105" t="s">
        <v>266</v>
      </c>
      <c r="P72" s="109">
        <v>2</v>
      </c>
      <c r="Q72" s="110">
        <v>2</v>
      </c>
      <c r="R72" s="110">
        <v>2</v>
      </c>
      <c r="S72" s="110">
        <v>2</v>
      </c>
      <c r="T72" s="1511"/>
      <c r="U72" s="1511"/>
      <c r="V72" s="1511"/>
      <c r="W72" s="1511"/>
      <c r="X72" s="1511"/>
      <c r="Y72" s="1505"/>
      <c r="Z72" s="13"/>
      <c r="AA72" s="13"/>
      <c r="AB72" s="13"/>
      <c r="AC72" s="13"/>
      <c r="AD72" s="13"/>
      <c r="AE72" s="13"/>
      <c r="AF72" s="13"/>
      <c r="AG72" s="13"/>
      <c r="AH72" s="13"/>
      <c r="AI72" s="13"/>
    </row>
    <row r="73" spans="1:35" s="10" customFormat="1" ht="72">
      <c r="A73" s="1004"/>
      <c r="B73" s="1521"/>
      <c r="C73" s="1523"/>
      <c r="D73" s="1531"/>
      <c r="E73" s="1505"/>
      <c r="F73" s="1536"/>
      <c r="G73" s="1538"/>
      <c r="H73" s="1539"/>
      <c r="I73" s="1536"/>
      <c r="J73" s="1562"/>
      <c r="K73" s="1564"/>
      <c r="L73" s="1495"/>
      <c r="M73" s="177">
        <v>0.14</v>
      </c>
      <c r="N73" s="160" t="s">
        <v>955</v>
      </c>
      <c r="O73" s="178">
        <v>0.178</v>
      </c>
      <c r="P73" s="158">
        <v>0.178</v>
      </c>
      <c r="Q73" s="144">
        <v>0.16</v>
      </c>
      <c r="R73" s="144">
        <v>0.15</v>
      </c>
      <c r="S73" s="144">
        <v>0.14</v>
      </c>
      <c r="T73" s="1511"/>
      <c r="U73" s="1511"/>
      <c r="V73" s="1511"/>
      <c r="W73" s="1511"/>
      <c r="X73" s="1511"/>
      <c r="Y73" s="1505"/>
      <c r="Z73" s="13"/>
      <c r="AA73" s="13"/>
      <c r="AB73" s="13"/>
      <c r="AC73" s="13"/>
      <c r="AD73" s="13"/>
      <c r="AE73" s="13"/>
      <c r="AF73" s="13"/>
      <c r="AG73" s="13"/>
      <c r="AH73" s="13"/>
      <c r="AI73" s="13"/>
    </row>
    <row r="74" spans="1:35" s="10" customFormat="1" ht="41.25" customHeight="1">
      <c r="A74" s="1004"/>
      <c r="B74" s="1521"/>
      <c r="C74" s="1523"/>
      <c r="D74" s="1531"/>
      <c r="E74" s="1505"/>
      <c r="F74" s="1536"/>
      <c r="G74" s="1538"/>
      <c r="H74" s="1539"/>
      <c r="I74" s="1536"/>
      <c r="J74" s="1562"/>
      <c r="K74" s="1564"/>
      <c r="L74" s="1495"/>
      <c r="M74" s="177">
        <v>0.005</v>
      </c>
      <c r="N74" s="160" t="s">
        <v>242</v>
      </c>
      <c r="O74" s="179">
        <v>0.0067</v>
      </c>
      <c r="P74" s="180">
        <v>0.0067</v>
      </c>
      <c r="Q74" s="180">
        <v>0.006</v>
      </c>
      <c r="R74" s="180">
        <v>0.0055</v>
      </c>
      <c r="S74" s="180">
        <v>0.005</v>
      </c>
      <c r="T74" s="1511"/>
      <c r="U74" s="1511"/>
      <c r="V74" s="1511"/>
      <c r="W74" s="1511"/>
      <c r="X74" s="1511"/>
      <c r="Y74" s="1505"/>
      <c r="Z74" s="13"/>
      <c r="AA74" s="13"/>
      <c r="AB74" s="13"/>
      <c r="AC74" s="13"/>
      <c r="AD74" s="13"/>
      <c r="AE74" s="13"/>
      <c r="AF74" s="13"/>
      <c r="AG74" s="13"/>
      <c r="AH74" s="13"/>
      <c r="AI74" s="13"/>
    </row>
    <row r="75" spans="1:35" s="10" customFormat="1" ht="84">
      <c r="A75" s="1004"/>
      <c r="B75" s="1521"/>
      <c r="C75" s="1523"/>
      <c r="D75" s="1531"/>
      <c r="E75" s="1505"/>
      <c r="F75" s="1537"/>
      <c r="G75" s="1517"/>
      <c r="H75" s="1534"/>
      <c r="I75" s="1537"/>
      <c r="J75" s="1562"/>
      <c r="K75" s="1564"/>
      <c r="L75" s="1496"/>
      <c r="M75" s="89" t="s">
        <v>205</v>
      </c>
      <c r="N75" s="171" t="s">
        <v>243</v>
      </c>
      <c r="O75" s="105" t="s">
        <v>267</v>
      </c>
      <c r="P75" s="115">
        <v>1</v>
      </c>
      <c r="Q75" s="115">
        <v>1</v>
      </c>
      <c r="R75" s="115">
        <v>1</v>
      </c>
      <c r="S75" s="115">
        <v>1</v>
      </c>
      <c r="T75" s="1512"/>
      <c r="U75" s="1512"/>
      <c r="V75" s="1512"/>
      <c r="W75" s="1512"/>
      <c r="X75" s="1512"/>
      <c r="Y75" s="1505"/>
      <c r="Z75" s="13"/>
      <c r="AA75" s="13"/>
      <c r="AB75" s="13"/>
      <c r="AC75" s="13"/>
      <c r="AD75" s="13"/>
      <c r="AE75" s="13"/>
      <c r="AF75" s="13"/>
      <c r="AG75" s="13"/>
      <c r="AH75" s="13"/>
      <c r="AI75" s="13"/>
    </row>
    <row r="76" spans="1:35" s="10" customFormat="1" ht="96">
      <c r="A76" s="1004"/>
      <c r="B76" s="1521"/>
      <c r="C76" s="1523"/>
      <c r="D76" s="1531"/>
      <c r="E76" s="1505"/>
      <c r="F76" s="161">
        <v>0.1</v>
      </c>
      <c r="G76" s="168" t="s">
        <v>956</v>
      </c>
      <c r="H76" s="181">
        <v>0</v>
      </c>
      <c r="I76" s="163">
        <v>0.1</v>
      </c>
      <c r="J76" s="1562"/>
      <c r="K76" s="153" t="s">
        <v>179</v>
      </c>
      <c r="L76" s="661">
        <v>0.05</v>
      </c>
      <c r="M76" s="153">
        <v>1</v>
      </c>
      <c r="N76" s="160" t="s">
        <v>957</v>
      </c>
      <c r="O76" s="137">
        <v>0</v>
      </c>
      <c r="P76" s="109">
        <v>0.25</v>
      </c>
      <c r="Q76" s="110">
        <v>0.5</v>
      </c>
      <c r="R76" s="110">
        <v>0.75</v>
      </c>
      <c r="S76" s="110">
        <v>1</v>
      </c>
      <c r="T76" s="166">
        <v>300000000</v>
      </c>
      <c r="U76" s="166">
        <f aca="true" t="shared" si="3" ref="U76:W77">(T76*1.05)</f>
        <v>315000000</v>
      </c>
      <c r="V76" s="166">
        <f t="shared" si="3"/>
        <v>330750000</v>
      </c>
      <c r="W76" s="166">
        <f t="shared" si="3"/>
        <v>347287500</v>
      </c>
      <c r="X76" s="182">
        <f>SUM(T76:W76)</f>
        <v>1293037500</v>
      </c>
      <c r="Y76" s="1505"/>
      <c r="Z76" s="13"/>
      <c r="AA76" s="13"/>
      <c r="AB76" s="13"/>
      <c r="AC76" s="13"/>
      <c r="AD76" s="13"/>
      <c r="AE76" s="13"/>
      <c r="AF76" s="13"/>
      <c r="AG76" s="13"/>
      <c r="AH76" s="13"/>
      <c r="AI76" s="13"/>
    </row>
    <row r="77" spans="1:35" s="10" customFormat="1" ht="72">
      <c r="A77" s="1004"/>
      <c r="B77" s="1521"/>
      <c r="C77" s="1523"/>
      <c r="D77" s="1531"/>
      <c r="E77" s="1505"/>
      <c r="F77" s="164">
        <v>0.03</v>
      </c>
      <c r="G77" s="183" t="s">
        <v>958</v>
      </c>
      <c r="H77" s="184">
        <v>0.04</v>
      </c>
      <c r="I77" s="184">
        <v>0.01</v>
      </c>
      <c r="J77" s="1562"/>
      <c r="K77" s="1535" t="s">
        <v>180</v>
      </c>
      <c r="L77" s="1494">
        <v>0.05</v>
      </c>
      <c r="M77" s="11">
        <v>1</v>
      </c>
      <c r="N77" s="160" t="s">
        <v>244</v>
      </c>
      <c r="O77" s="137">
        <v>0</v>
      </c>
      <c r="P77" s="115">
        <v>0.25</v>
      </c>
      <c r="Q77" s="102">
        <v>0.5</v>
      </c>
      <c r="R77" s="102">
        <v>0.75</v>
      </c>
      <c r="S77" s="102">
        <v>1</v>
      </c>
      <c r="T77" s="1510">
        <v>350000000</v>
      </c>
      <c r="U77" s="1510">
        <f t="shared" si="3"/>
        <v>367500000</v>
      </c>
      <c r="V77" s="1510">
        <f t="shared" si="3"/>
        <v>385875000</v>
      </c>
      <c r="W77" s="1510">
        <f t="shared" si="3"/>
        <v>405168750</v>
      </c>
      <c r="X77" s="1510">
        <f>SUM(T77:W77)</f>
        <v>1508543750</v>
      </c>
      <c r="Y77" s="1505"/>
      <c r="Z77" s="13"/>
      <c r="AA77" s="13"/>
      <c r="AB77" s="13"/>
      <c r="AC77" s="13"/>
      <c r="AD77" s="13"/>
      <c r="AE77" s="13"/>
      <c r="AF77" s="13"/>
      <c r="AG77" s="13"/>
      <c r="AH77" s="13"/>
      <c r="AI77" s="13"/>
    </row>
    <row r="78" spans="1:35" s="10" customFormat="1" ht="48">
      <c r="A78" s="1004"/>
      <c r="B78" s="1521"/>
      <c r="C78" s="1523"/>
      <c r="D78" s="1531"/>
      <c r="E78" s="1505"/>
      <c r="F78" s="164">
        <v>0.15</v>
      </c>
      <c r="G78" s="91" t="s">
        <v>959</v>
      </c>
      <c r="H78" s="164">
        <v>0.16</v>
      </c>
      <c r="I78" s="164">
        <v>0.01</v>
      </c>
      <c r="J78" s="1562"/>
      <c r="K78" s="1536"/>
      <c r="L78" s="1495"/>
      <c r="M78" s="157">
        <v>0.14</v>
      </c>
      <c r="N78" s="172" t="s">
        <v>245</v>
      </c>
      <c r="O78" s="159">
        <v>0.16</v>
      </c>
      <c r="P78" s="158">
        <v>0</v>
      </c>
      <c r="Q78" s="144">
        <v>0.01</v>
      </c>
      <c r="R78" s="144">
        <v>0.01</v>
      </c>
      <c r="S78" s="144">
        <v>0.14</v>
      </c>
      <c r="T78" s="1511"/>
      <c r="U78" s="1511"/>
      <c r="V78" s="1511"/>
      <c r="W78" s="1511"/>
      <c r="X78" s="1511"/>
      <c r="Y78" s="1505"/>
      <c r="Z78" s="13"/>
      <c r="AA78" s="13"/>
      <c r="AB78" s="13"/>
      <c r="AC78" s="13"/>
      <c r="AD78" s="13"/>
      <c r="AE78" s="13"/>
      <c r="AF78" s="13"/>
      <c r="AG78" s="13"/>
      <c r="AH78" s="13"/>
      <c r="AI78" s="13"/>
    </row>
    <row r="79" spans="1:35" s="10" customFormat="1" ht="80.25" customHeight="1">
      <c r="A79" s="1004"/>
      <c r="B79" s="1521"/>
      <c r="C79" s="1523"/>
      <c r="D79" s="1531"/>
      <c r="E79" s="1505"/>
      <c r="F79" s="227" t="s">
        <v>976</v>
      </c>
      <c r="G79" s="228" t="s">
        <v>977</v>
      </c>
      <c r="H79" s="229" t="s">
        <v>268</v>
      </c>
      <c r="I79" s="230" t="s">
        <v>975</v>
      </c>
      <c r="J79" s="1562"/>
      <c r="K79" s="1537"/>
      <c r="L79" s="1496"/>
      <c r="M79" s="186" t="s">
        <v>960</v>
      </c>
      <c r="N79" s="172" t="s">
        <v>246</v>
      </c>
      <c r="O79" s="140" t="s">
        <v>268</v>
      </c>
      <c r="P79" s="122" t="s">
        <v>268</v>
      </c>
      <c r="Q79" s="122" t="s">
        <v>961</v>
      </c>
      <c r="R79" s="122" t="s">
        <v>206</v>
      </c>
      <c r="S79" s="122" t="s">
        <v>960</v>
      </c>
      <c r="T79" s="1512"/>
      <c r="U79" s="1512"/>
      <c r="V79" s="1512"/>
      <c r="W79" s="1512"/>
      <c r="X79" s="1512"/>
      <c r="Y79" s="1505"/>
      <c r="Z79" s="13"/>
      <c r="AA79" s="13"/>
      <c r="AB79" s="13"/>
      <c r="AC79" s="13"/>
      <c r="AD79" s="13"/>
      <c r="AE79" s="13"/>
      <c r="AF79" s="13"/>
      <c r="AG79" s="13"/>
      <c r="AH79" s="13"/>
      <c r="AI79" s="13"/>
    </row>
    <row r="80" spans="1:35" s="10" customFormat="1" ht="84">
      <c r="A80" s="1004"/>
      <c r="B80" s="1521"/>
      <c r="C80" s="1523"/>
      <c r="D80" s="1531"/>
      <c r="E80" s="1505"/>
      <c r="F80" s="1532" t="s">
        <v>113</v>
      </c>
      <c r="G80" s="1568" t="s">
        <v>962</v>
      </c>
      <c r="H80" s="1535">
        <v>56</v>
      </c>
      <c r="I80" s="1535">
        <v>40</v>
      </c>
      <c r="J80" s="1562"/>
      <c r="K80" s="1535" t="s">
        <v>181</v>
      </c>
      <c r="L80" s="1494">
        <v>0.05</v>
      </c>
      <c r="M80" s="186" t="s">
        <v>207</v>
      </c>
      <c r="N80" s="172" t="s">
        <v>963</v>
      </c>
      <c r="O80" s="123" t="s">
        <v>269</v>
      </c>
      <c r="P80" s="187" t="s">
        <v>964</v>
      </c>
      <c r="Q80" s="187" t="s">
        <v>965</v>
      </c>
      <c r="R80" s="187" t="s">
        <v>966</v>
      </c>
      <c r="S80" s="187" t="s">
        <v>967</v>
      </c>
      <c r="T80" s="1510">
        <v>1162</v>
      </c>
      <c r="U80" s="1510">
        <f>(T80*1.05)</f>
        <v>1220.1000000000001</v>
      </c>
      <c r="V80" s="1510">
        <f>(U80*1.05)</f>
        <v>1281.1050000000002</v>
      </c>
      <c r="W80" s="1510">
        <f>(V80*1.05)</f>
        <v>1345.1602500000004</v>
      </c>
      <c r="X80" s="1510">
        <f>SUM(T80:W80)</f>
        <v>5008.365250000001</v>
      </c>
      <c r="Y80" s="1505"/>
      <c r="Z80" s="13"/>
      <c r="AA80" s="13"/>
      <c r="AB80" s="13"/>
      <c r="AC80" s="13"/>
      <c r="AD80" s="13"/>
      <c r="AE80" s="13"/>
      <c r="AF80" s="13"/>
      <c r="AG80" s="13"/>
      <c r="AH80" s="13"/>
      <c r="AI80" s="13"/>
    </row>
    <row r="81" spans="1:35" s="10" customFormat="1" ht="96" customHeight="1">
      <c r="A81" s="1004"/>
      <c r="B81" s="1521"/>
      <c r="C81" s="1523"/>
      <c r="D81" s="1531"/>
      <c r="E81" s="1505"/>
      <c r="F81" s="1509"/>
      <c r="G81" s="1569"/>
      <c r="H81" s="1537"/>
      <c r="I81" s="1537"/>
      <c r="J81" s="1563"/>
      <c r="K81" s="1537"/>
      <c r="L81" s="1496"/>
      <c r="M81" s="186" t="s">
        <v>208</v>
      </c>
      <c r="N81" s="123" t="s">
        <v>968</v>
      </c>
      <c r="O81" s="123" t="s">
        <v>270</v>
      </c>
      <c r="P81" s="188">
        <v>45</v>
      </c>
      <c r="Q81" s="187">
        <v>48</v>
      </c>
      <c r="R81" s="187">
        <v>45</v>
      </c>
      <c r="S81" s="186">
        <v>40</v>
      </c>
      <c r="T81" s="1512"/>
      <c r="U81" s="1512"/>
      <c r="V81" s="1512"/>
      <c r="W81" s="1512"/>
      <c r="X81" s="1512"/>
      <c r="Y81" s="1505"/>
      <c r="Z81" s="13"/>
      <c r="AA81" s="13"/>
      <c r="AB81" s="13"/>
      <c r="AC81" s="13"/>
      <c r="AD81" s="13"/>
      <c r="AE81" s="13"/>
      <c r="AF81" s="13"/>
      <c r="AG81" s="13"/>
      <c r="AH81" s="13"/>
      <c r="AI81" s="13"/>
    </row>
    <row r="82" spans="1:35" s="10" customFormat="1" ht="68.25" customHeight="1">
      <c r="A82" s="1004"/>
      <c r="B82" s="1521"/>
      <c r="C82" s="1523"/>
      <c r="D82" s="1531"/>
      <c r="E82" s="1505"/>
      <c r="F82" s="1558">
        <v>0.3</v>
      </c>
      <c r="G82" s="1519" t="s">
        <v>969</v>
      </c>
      <c r="H82" s="1558">
        <v>0.7</v>
      </c>
      <c r="I82" s="1558">
        <v>1</v>
      </c>
      <c r="J82" s="1567" t="s">
        <v>970</v>
      </c>
      <c r="K82" s="1564" t="s">
        <v>182</v>
      </c>
      <c r="L82" s="1494">
        <v>0.02</v>
      </c>
      <c r="M82" s="164">
        <v>1</v>
      </c>
      <c r="N82" s="189" t="s">
        <v>247</v>
      </c>
      <c r="O82" s="138">
        <v>0.7</v>
      </c>
      <c r="P82" s="115">
        <v>1</v>
      </c>
      <c r="Q82" s="102">
        <v>1</v>
      </c>
      <c r="R82" s="102">
        <v>1</v>
      </c>
      <c r="S82" s="102">
        <v>1</v>
      </c>
      <c r="T82" s="1510">
        <v>1126</v>
      </c>
      <c r="U82" s="1510">
        <f>(T82*1.05)</f>
        <v>1182.3</v>
      </c>
      <c r="V82" s="1510">
        <f>(U82*1.05)</f>
        <v>1241.415</v>
      </c>
      <c r="W82" s="1510">
        <f>(V82*1.05)</f>
        <v>1303.48575</v>
      </c>
      <c r="X82" s="1510">
        <f>SUM(T82:W82)</f>
        <v>4853.20075</v>
      </c>
      <c r="Y82" s="1505"/>
      <c r="Z82" s="13"/>
      <c r="AA82" s="13"/>
      <c r="AB82" s="13"/>
      <c r="AC82" s="13"/>
      <c r="AD82" s="13"/>
      <c r="AE82" s="13"/>
      <c r="AF82" s="13"/>
      <c r="AG82" s="13"/>
      <c r="AH82" s="13"/>
      <c r="AI82" s="13"/>
    </row>
    <row r="83" spans="1:35" s="10" customFormat="1" ht="84">
      <c r="A83" s="1004"/>
      <c r="B83" s="1521"/>
      <c r="C83" s="1523"/>
      <c r="D83" s="1531"/>
      <c r="E83" s="1505"/>
      <c r="F83" s="1576"/>
      <c r="G83" s="1538"/>
      <c r="H83" s="1576"/>
      <c r="I83" s="1576"/>
      <c r="J83" s="1567"/>
      <c r="K83" s="1564"/>
      <c r="L83" s="1495"/>
      <c r="M83" s="164">
        <v>1</v>
      </c>
      <c r="N83" s="189" t="s">
        <v>248</v>
      </c>
      <c r="O83" s="138">
        <v>1</v>
      </c>
      <c r="P83" s="115">
        <v>1</v>
      </c>
      <c r="Q83" s="102">
        <v>1</v>
      </c>
      <c r="R83" s="102">
        <v>1</v>
      </c>
      <c r="S83" s="102">
        <v>1</v>
      </c>
      <c r="T83" s="1511"/>
      <c r="U83" s="1511"/>
      <c r="V83" s="1511"/>
      <c r="W83" s="1511"/>
      <c r="X83" s="1511"/>
      <c r="Y83" s="1505"/>
      <c r="Z83" s="13"/>
      <c r="AA83" s="13"/>
      <c r="AB83" s="13"/>
      <c r="AC83" s="13"/>
      <c r="AD83" s="13"/>
      <c r="AE83" s="13"/>
      <c r="AF83" s="13"/>
      <c r="AG83" s="13"/>
      <c r="AH83" s="13"/>
      <c r="AI83" s="13"/>
    </row>
    <row r="84" spans="1:35" s="10" customFormat="1" ht="15" customHeight="1">
      <c r="A84" s="1004"/>
      <c r="B84" s="1521"/>
      <c r="C84" s="1523"/>
      <c r="D84" s="1531"/>
      <c r="E84" s="1505"/>
      <c r="F84" s="1576"/>
      <c r="G84" s="1538"/>
      <c r="H84" s="1576"/>
      <c r="I84" s="1576"/>
      <c r="J84" s="1567"/>
      <c r="K84" s="1578"/>
      <c r="L84" s="1496"/>
      <c r="M84" s="190">
        <v>1</v>
      </c>
      <c r="N84" s="191" t="s">
        <v>249</v>
      </c>
      <c r="O84" s="190">
        <v>1</v>
      </c>
      <c r="P84" s="115">
        <v>1</v>
      </c>
      <c r="Q84" s="102">
        <v>1</v>
      </c>
      <c r="R84" s="102">
        <v>1</v>
      </c>
      <c r="S84" s="102">
        <v>1</v>
      </c>
      <c r="T84" s="1512"/>
      <c r="U84" s="1512"/>
      <c r="V84" s="1512"/>
      <c r="W84" s="1512"/>
      <c r="X84" s="1512"/>
      <c r="Y84" s="1505"/>
      <c r="Z84" s="13"/>
      <c r="AA84" s="13"/>
      <c r="AB84" s="13"/>
      <c r="AC84" s="13"/>
      <c r="AD84" s="13"/>
      <c r="AE84" s="13"/>
      <c r="AF84" s="13"/>
      <c r="AG84" s="13"/>
      <c r="AH84" s="13"/>
      <c r="AI84" s="13"/>
    </row>
    <row r="85" spans="1:35" s="10" customFormat="1" ht="120">
      <c r="A85" s="1004"/>
      <c r="B85" s="1521"/>
      <c r="C85" s="1523"/>
      <c r="D85" s="1531"/>
      <c r="E85" s="1505"/>
      <c r="F85" s="1577"/>
      <c r="G85" s="1538"/>
      <c r="H85" s="1577"/>
      <c r="I85" s="1577"/>
      <c r="J85" s="1567"/>
      <c r="K85" s="105" t="s">
        <v>183</v>
      </c>
      <c r="L85" s="661">
        <v>0.03</v>
      </c>
      <c r="M85" s="165">
        <v>0.8</v>
      </c>
      <c r="N85" s="189" t="s">
        <v>250</v>
      </c>
      <c r="O85" s="138">
        <v>0.4</v>
      </c>
      <c r="P85" s="115">
        <v>0.6</v>
      </c>
      <c r="Q85" s="102">
        <v>0.7</v>
      </c>
      <c r="R85" s="102">
        <v>0.8</v>
      </c>
      <c r="S85" s="102">
        <v>0.8</v>
      </c>
      <c r="T85" s="166">
        <v>2298</v>
      </c>
      <c r="U85" s="166">
        <f aca="true" t="shared" si="4" ref="U85:W86">(T85*1.05)</f>
        <v>2412.9</v>
      </c>
      <c r="V85" s="166">
        <f t="shared" si="4"/>
        <v>2533.545</v>
      </c>
      <c r="W85" s="166">
        <f t="shared" si="4"/>
        <v>2660.2222500000003</v>
      </c>
      <c r="X85" s="166">
        <f>SUM(T85:W85)</f>
        <v>9904.66725</v>
      </c>
      <c r="Y85" s="1505"/>
      <c r="Z85" s="13"/>
      <c r="AA85" s="13"/>
      <c r="AB85" s="13"/>
      <c r="AC85" s="13"/>
      <c r="AD85" s="13"/>
      <c r="AE85" s="13"/>
      <c r="AF85" s="13"/>
      <c r="AG85" s="13"/>
      <c r="AH85" s="13"/>
      <c r="AI85" s="13"/>
    </row>
    <row r="86" spans="1:35" s="10" customFormat="1" ht="67.5" customHeight="1">
      <c r="A86" s="1004"/>
      <c r="B86" s="1521"/>
      <c r="C86" s="1523"/>
      <c r="D86" s="1531"/>
      <c r="E86" s="1505"/>
      <c r="F86" s="192"/>
      <c r="G86" s="1517"/>
      <c r="H86" s="192"/>
      <c r="I86" s="193"/>
      <c r="J86" s="1561" t="s">
        <v>194</v>
      </c>
      <c r="K86" s="88" t="s">
        <v>184</v>
      </c>
      <c r="L86" s="661">
        <v>0.02</v>
      </c>
      <c r="M86" s="105">
        <v>1</v>
      </c>
      <c r="N86" s="189" t="s">
        <v>251</v>
      </c>
      <c r="O86" s="137">
        <v>0</v>
      </c>
      <c r="P86" s="109">
        <v>1</v>
      </c>
      <c r="Q86" s="110">
        <v>1</v>
      </c>
      <c r="R86" s="110">
        <v>1</v>
      </c>
      <c r="S86" s="110">
        <v>1</v>
      </c>
      <c r="T86" s="1510">
        <v>1867</v>
      </c>
      <c r="U86" s="1510">
        <f t="shared" si="4"/>
        <v>1960.3500000000001</v>
      </c>
      <c r="V86" s="1510">
        <f t="shared" si="4"/>
        <v>2058.3675000000003</v>
      </c>
      <c r="W86" s="1510">
        <f t="shared" si="4"/>
        <v>2161.2858750000005</v>
      </c>
      <c r="X86" s="1510">
        <f>SUM(T86:W86)</f>
        <v>8047.003375000001</v>
      </c>
      <c r="Y86" s="1505"/>
      <c r="Z86" s="13"/>
      <c r="AA86" s="13"/>
      <c r="AB86" s="13"/>
      <c r="AC86" s="13"/>
      <c r="AD86" s="13"/>
      <c r="AE86" s="13"/>
      <c r="AF86" s="13"/>
      <c r="AG86" s="13"/>
      <c r="AH86" s="13"/>
      <c r="AI86" s="13"/>
    </row>
    <row r="87" spans="1:35" s="10" customFormat="1" ht="132">
      <c r="A87" s="1004"/>
      <c r="B87" s="1521"/>
      <c r="C87" s="1523"/>
      <c r="D87" s="1531"/>
      <c r="E87" s="1506"/>
      <c r="F87" s="194"/>
      <c r="G87" s="185"/>
      <c r="H87" s="194"/>
      <c r="I87" s="195"/>
      <c r="J87" s="1563"/>
      <c r="K87" s="88" t="s">
        <v>185</v>
      </c>
      <c r="L87" s="661">
        <v>0.02</v>
      </c>
      <c r="M87" s="165">
        <v>1</v>
      </c>
      <c r="N87" s="189" t="s">
        <v>971</v>
      </c>
      <c r="O87" s="138">
        <v>1</v>
      </c>
      <c r="P87" s="158">
        <v>1</v>
      </c>
      <c r="Q87" s="144">
        <v>1</v>
      </c>
      <c r="R87" s="144">
        <v>1</v>
      </c>
      <c r="S87" s="102">
        <v>1</v>
      </c>
      <c r="T87" s="1512"/>
      <c r="U87" s="1512"/>
      <c r="V87" s="1512"/>
      <c r="W87" s="1512"/>
      <c r="X87" s="1512"/>
      <c r="Y87" s="1505"/>
      <c r="Z87" s="13"/>
      <c r="AA87" s="13"/>
      <c r="AB87" s="13"/>
      <c r="AC87" s="13"/>
      <c r="AD87" s="13"/>
      <c r="AE87" s="13"/>
      <c r="AF87" s="13"/>
      <c r="AG87" s="13"/>
      <c r="AH87" s="13"/>
      <c r="AI87" s="13"/>
    </row>
    <row r="88" spans="1:35" s="520" customFormat="1" ht="15">
      <c r="A88" s="1004"/>
      <c r="B88" s="1521"/>
      <c r="C88" s="1523"/>
      <c r="D88" s="678"/>
      <c r="E88" s="455"/>
      <c r="F88" s="194"/>
      <c r="G88" s="185"/>
      <c r="H88" s="194"/>
      <c r="I88" s="195"/>
      <c r="J88" s="452"/>
      <c r="K88" s="472"/>
      <c r="L88" s="685">
        <f>SUM(L56:L87)</f>
        <v>0.5</v>
      </c>
      <c r="M88" s="165"/>
      <c r="N88" s="189"/>
      <c r="O88" s="138"/>
      <c r="P88" s="158"/>
      <c r="Q88" s="144"/>
      <c r="R88" s="144"/>
      <c r="S88" s="102"/>
      <c r="T88" s="451"/>
      <c r="U88" s="451"/>
      <c r="V88" s="451"/>
      <c r="W88" s="451"/>
      <c r="X88" s="451"/>
      <c r="Y88" s="1505"/>
      <c r="Z88" s="13"/>
      <c r="AA88" s="13"/>
      <c r="AB88" s="13"/>
      <c r="AC88" s="13"/>
      <c r="AD88" s="13"/>
      <c r="AE88" s="13"/>
      <c r="AF88" s="13"/>
      <c r="AG88" s="13"/>
      <c r="AH88" s="13"/>
      <c r="AI88" s="13"/>
    </row>
    <row r="89" spans="1:35" s="10" customFormat="1" ht="60">
      <c r="A89" s="992"/>
      <c r="B89" s="1522"/>
      <c r="C89" s="1523"/>
      <c r="D89" s="666" t="s">
        <v>161</v>
      </c>
      <c r="E89" s="196" t="s">
        <v>1287</v>
      </c>
      <c r="F89" s="196"/>
      <c r="G89" s="196"/>
      <c r="H89" s="196"/>
      <c r="I89" s="197"/>
      <c r="J89" s="87" t="s">
        <v>162</v>
      </c>
      <c r="K89" s="92" t="s">
        <v>186</v>
      </c>
      <c r="L89" s="661">
        <v>0.02</v>
      </c>
      <c r="M89" s="198">
        <v>1</v>
      </c>
      <c r="N89" s="199" t="s">
        <v>252</v>
      </c>
      <c r="O89" s="92">
        <v>0</v>
      </c>
      <c r="P89" s="110">
        <v>0.25</v>
      </c>
      <c r="Q89" s="110">
        <v>0.5</v>
      </c>
      <c r="R89" s="110">
        <v>0.75</v>
      </c>
      <c r="S89" s="110">
        <v>1</v>
      </c>
      <c r="T89" s="116">
        <v>2353</v>
      </c>
      <c r="U89" s="116">
        <v>3500</v>
      </c>
      <c r="V89" s="116">
        <v>2200</v>
      </c>
      <c r="W89" s="116">
        <v>2000</v>
      </c>
      <c r="X89" s="200">
        <f>SUM(T89:W89)</f>
        <v>10053</v>
      </c>
      <c r="Y89" s="1506"/>
      <c r="Z89" s="13"/>
      <c r="AA89" s="13"/>
      <c r="AB89" s="13"/>
      <c r="AC89" s="13"/>
      <c r="AD89" s="13"/>
      <c r="AE89" s="13"/>
      <c r="AF89" s="13"/>
      <c r="AG89" s="13"/>
      <c r="AH89" s="13"/>
      <c r="AI89" s="13"/>
    </row>
    <row r="90" spans="1:35" s="10" customFormat="1" ht="15">
      <c r="A90" s="13"/>
      <c r="B90"/>
      <c r="C90"/>
      <c r="D90"/>
      <c r="E90" s="201">
        <f>SUM(E14:E89)</f>
        <v>1</v>
      </c>
      <c r="F90"/>
      <c r="G90"/>
      <c r="H90"/>
      <c r="I90"/>
      <c r="J90"/>
      <c r="K90"/>
      <c r="L90" s="686">
        <f>L89+L88+L55+L48+L37+L34+L18</f>
        <v>1.02</v>
      </c>
      <c r="M90"/>
      <c r="N90"/>
      <c r="O90"/>
      <c r="P90"/>
      <c r="Q90"/>
      <c r="R90"/>
      <c r="S90"/>
      <c r="T90"/>
      <c r="U90"/>
      <c r="V90"/>
      <c r="W90"/>
      <c r="X90"/>
      <c r="Y90"/>
      <c r="Z90" s="13"/>
      <c r="AA90" s="13"/>
      <c r="AB90" s="13"/>
      <c r="AC90" s="13"/>
      <c r="AD90" s="13"/>
      <c r="AE90" s="13"/>
      <c r="AF90" s="13"/>
      <c r="AG90" s="13"/>
      <c r="AH90" s="13"/>
      <c r="AI90" s="13"/>
    </row>
    <row r="91" spans="1:35" s="10" customFormat="1" ht="15">
      <c r="A91" s="13"/>
      <c r="B91"/>
      <c r="C91"/>
      <c r="D91"/>
      <c r="E91"/>
      <c r="F91"/>
      <c r="G91" t="s">
        <v>972</v>
      </c>
      <c r="H91"/>
      <c r="I91"/>
      <c r="J91"/>
      <c r="K91"/>
      <c r="L91"/>
      <c r="M91"/>
      <c r="N91"/>
      <c r="O91"/>
      <c r="P91"/>
      <c r="Q91"/>
      <c r="R91"/>
      <c r="S91"/>
      <c r="T91"/>
      <c r="U91"/>
      <c r="V91"/>
      <c r="W91"/>
      <c r="X91"/>
      <c r="Y91"/>
      <c r="Z91" s="13"/>
      <c r="AA91" s="13"/>
      <c r="AB91" s="13"/>
      <c r="AC91" s="13"/>
      <c r="AD91" s="13"/>
      <c r="AE91" s="13"/>
      <c r="AF91" s="13"/>
      <c r="AG91" s="13"/>
      <c r="AH91" s="13"/>
      <c r="AI91" s="13"/>
    </row>
    <row r="92" spans="1:35" s="10" customFormat="1" ht="15">
      <c r="A92" s="13"/>
      <c r="B92"/>
      <c r="C92"/>
      <c r="D92"/>
      <c r="E92"/>
      <c r="F92"/>
      <c r="G92" t="s">
        <v>973</v>
      </c>
      <c r="H92"/>
      <c r="I92"/>
      <c r="J92"/>
      <c r="K92"/>
      <c r="L92"/>
      <c r="M92"/>
      <c r="N92"/>
      <c r="O92"/>
      <c r="P92"/>
      <c r="Q92"/>
      <c r="R92"/>
      <c r="S92"/>
      <c r="T92"/>
      <c r="U92"/>
      <c r="V92"/>
      <c r="W92"/>
      <c r="X92"/>
      <c r="Y92"/>
      <c r="Z92" s="13"/>
      <c r="AA92" s="13"/>
      <c r="AB92" s="13"/>
      <c r="AC92" s="13"/>
      <c r="AD92" s="13"/>
      <c r="AE92" s="13"/>
      <c r="AF92" s="13"/>
      <c r="AG92" s="13"/>
      <c r="AH92" s="13"/>
      <c r="AI92" s="13"/>
    </row>
    <row r="93" spans="1:35" s="10" customFormat="1" ht="34.5" customHeight="1">
      <c r="A93" s="13"/>
      <c r="B93"/>
      <c r="C93"/>
      <c r="D93"/>
      <c r="E93"/>
      <c r="F93"/>
      <c r="G93" t="s">
        <v>114</v>
      </c>
      <c r="H93"/>
      <c r="I93"/>
      <c r="J93"/>
      <c r="K93"/>
      <c r="L93"/>
      <c r="M93"/>
      <c r="N93"/>
      <c r="O93"/>
      <c r="P93"/>
      <c r="Q93"/>
      <c r="R93"/>
      <c r="S93"/>
      <c r="T93"/>
      <c r="U93"/>
      <c r="V93"/>
      <c r="W93"/>
      <c r="X93"/>
      <c r="Y93"/>
      <c r="Z93" s="13"/>
      <c r="AA93" s="13"/>
      <c r="AB93" s="13"/>
      <c r="AC93" s="13"/>
      <c r="AD93" s="13"/>
      <c r="AE93" s="13"/>
      <c r="AF93" s="13"/>
      <c r="AG93" s="13"/>
      <c r="AH93" s="13"/>
      <c r="AI93" s="13"/>
    </row>
    <row r="94" spans="1:35" s="10" customFormat="1" ht="24.75" customHeight="1">
      <c r="A94" s="13"/>
      <c r="B94"/>
      <c r="C94"/>
      <c r="D94"/>
      <c r="E94"/>
      <c r="F94"/>
      <c r="G94" t="s">
        <v>115</v>
      </c>
      <c r="H94"/>
      <c r="I94"/>
      <c r="J94"/>
      <c r="K94"/>
      <c r="L94"/>
      <c r="M94"/>
      <c r="N94"/>
      <c r="O94"/>
      <c r="P94"/>
      <c r="Q94"/>
      <c r="R94"/>
      <c r="S94"/>
      <c r="T94"/>
      <c r="U94"/>
      <c r="V94"/>
      <c r="W94"/>
      <c r="X94"/>
      <c r="Y94"/>
      <c r="Z94" s="13"/>
      <c r="AA94" s="13"/>
      <c r="AB94" s="13"/>
      <c r="AC94" s="13"/>
      <c r="AD94" s="13"/>
      <c r="AE94" s="13"/>
      <c r="AF94" s="13"/>
      <c r="AG94" s="13"/>
      <c r="AH94" s="13"/>
      <c r="AI94" s="13"/>
    </row>
    <row r="95" spans="1:35" s="10" customFormat="1" ht="15" customHeight="1" hidden="1">
      <c r="A95" s="13"/>
      <c r="B95"/>
      <c r="C95"/>
      <c r="D95"/>
      <c r="E95"/>
      <c r="F95"/>
      <c r="G95" s="201">
        <v>0.8</v>
      </c>
      <c r="H95"/>
      <c r="I95"/>
      <c r="J95"/>
      <c r="K95"/>
      <c r="L95"/>
      <c r="M95"/>
      <c r="N95"/>
      <c r="O95"/>
      <c r="P95"/>
      <c r="Q95"/>
      <c r="R95"/>
      <c r="S95"/>
      <c r="T95"/>
      <c r="U95"/>
      <c r="V95"/>
      <c r="W95"/>
      <c r="X95"/>
      <c r="Y95"/>
      <c r="Z95" s="13"/>
      <c r="AA95" s="13"/>
      <c r="AB95" s="13"/>
      <c r="AC95" s="13"/>
      <c r="AD95" s="13"/>
      <c r="AE95" s="13"/>
      <c r="AF95" s="13"/>
      <c r="AG95" s="13"/>
      <c r="AH95" s="13"/>
      <c r="AI95" s="13"/>
    </row>
    <row r="96" spans="1:35" s="10" customFormat="1" ht="15" customHeight="1" hidden="1">
      <c r="A96" s="13"/>
      <c r="B96"/>
      <c r="C96"/>
      <c r="D96"/>
      <c r="E96"/>
      <c r="F96"/>
      <c r="G96" t="s">
        <v>116</v>
      </c>
      <c r="H96"/>
      <c r="I96"/>
      <c r="J96"/>
      <c r="K96"/>
      <c r="L96"/>
      <c r="M96"/>
      <c r="N96"/>
      <c r="O96"/>
      <c r="P96"/>
      <c r="Q96"/>
      <c r="R96"/>
      <c r="S96"/>
      <c r="T96"/>
      <c r="U96"/>
      <c r="V96"/>
      <c r="W96"/>
      <c r="X96"/>
      <c r="Y96"/>
      <c r="Z96" s="13"/>
      <c r="AA96" s="13"/>
      <c r="AB96" s="13"/>
      <c r="AC96" s="13"/>
      <c r="AD96" s="13"/>
      <c r="AE96" s="13"/>
      <c r="AF96" s="13"/>
      <c r="AG96" s="13"/>
      <c r="AH96" s="13"/>
      <c r="AI96" s="13"/>
    </row>
    <row r="97" spans="1:35" s="10" customFormat="1" ht="15" customHeight="1" hidden="1">
      <c r="A97" s="13"/>
      <c r="B97"/>
      <c r="C97"/>
      <c r="D97"/>
      <c r="E97"/>
      <c r="F97"/>
      <c r="G97" t="s">
        <v>117</v>
      </c>
      <c r="H97"/>
      <c r="I97"/>
      <c r="J97"/>
      <c r="K97"/>
      <c r="L97"/>
      <c r="M97"/>
      <c r="N97"/>
      <c r="O97"/>
      <c r="P97"/>
      <c r="Q97"/>
      <c r="R97"/>
      <c r="S97"/>
      <c r="T97"/>
      <c r="U97"/>
      <c r="V97"/>
      <c r="W97"/>
      <c r="X97"/>
      <c r="Y97"/>
      <c r="Z97" s="13"/>
      <c r="AA97" s="13"/>
      <c r="AB97" s="13"/>
      <c r="AC97" s="13"/>
      <c r="AD97" s="13"/>
      <c r="AE97" s="13"/>
      <c r="AF97" s="13"/>
      <c r="AG97" s="13"/>
      <c r="AH97" s="13"/>
      <c r="AI97" s="13"/>
    </row>
    <row r="98" spans="1:35" s="10" customFormat="1" ht="15" customHeight="1" hidden="1">
      <c r="A98" s="13"/>
      <c r="B98"/>
      <c r="C98"/>
      <c r="D98"/>
      <c r="E98"/>
      <c r="F98"/>
      <c r="G98" t="s">
        <v>118</v>
      </c>
      <c r="H98"/>
      <c r="I98"/>
      <c r="J98"/>
      <c r="K98"/>
      <c r="L98"/>
      <c r="M98"/>
      <c r="N98"/>
      <c r="O98"/>
      <c r="P98"/>
      <c r="Q98"/>
      <c r="R98"/>
      <c r="S98"/>
      <c r="T98"/>
      <c r="U98"/>
      <c r="V98"/>
      <c r="W98"/>
      <c r="X98"/>
      <c r="Y98"/>
      <c r="Z98" s="13"/>
      <c r="AA98" s="13"/>
      <c r="AB98" s="13"/>
      <c r="AC98" s="13"/>
      <c r="AD98" s="13"/>
      <c r="AE98" s="13"/>
      <c r="AF98" s="13"/>
      <c r="AG98" s="13"/>
      <c r="AH98" s="13"/>
      <c r="AI98" s="13"/>
    </row>
    <row r="99" spans="1:35" s="10" customFormat="1" ht="15" customHeight="1" hidden="1">
      <c r="A99" s="13"/>
      <c r="B99"/>
      <c r="C99"/>
      <c r="D99"/>
      <c r="E99"/>
      <c r="F99"/>
      <c r="G99">
        <v>1</v>
      </c>
      <c r="H99"/>
      <c r="I99"/>
      <c r="J99"/>
      <c r="K99"/>
      <c r="L99"/>
      <c r="M99"/>
      <c r="N99"/>
      <c r="O99"/>
      <c r="P99"/>
      <c r="Q99"/>
      <c r="R99"/>
      <c r="S99"/>
      <c r="T99"/>
      <c r="U99"/>
      <c r="V99"/>
      <c r="W99"/>
      <c r="X99"/>
      <c r="Y99"/>
      <c r="Z99" s="13"/>
      <c r="AA99" s="13"/>
      <c r="AB99" s="13"/>
      <c r="AC99" s="13"/>
      <c r="AD99" s="13"/>
      <c r="AE99" s="13"/>
      <c r="AF99" s="13"/>
      <c r="AG99" s="13"/>
      <c r="AH99" s="13"/>
      <c r="AI99" s="13"/>
    </row>
    <row r="100" spans="1:35" s="10" customFormat="1" ht="24.75" customHeight="1">
      <c r="A100" s="13"/>
      <c r="B100"/>
      <c r="C100"/>
      <c r="D100"/>
      <c r="E100"/>
      <c r="F100"/>
      <c r="G100" t="s">
        <v>974</v>
      </c>
      <c r="H100"/>
      <c r="I100"/>
      <c r="J100"/>
      <c r="K100"/>
      <c r="L100"/>
      <c r="M100"/>
      <c r="N100"/>
      <c r="O100"/>
      <c r="P100"/>
      <c r="Q100"/>
      <c r="R100"/>
      <c r="S100"/>
      <c r="T100"/>
      <c r="U100"/>
      <c r="V100"/>
      <c r="W100"/>
      <c r="X100"/>
      <c r="Y100"/>
      <c r="Z100" s="13"/>
      <c r="AA100" s="13"/>
      <c r="AB100" s="13"/>
      <c r="AC100" s="13"/>
      <c r="AD100" s="13"/>
      <c r="AE100" s="13"/>
      <c r="AF100" s="13"/>
      <c r="AG100" s="13"/>
      <c r="AH100" s="13"/>
      <c r="AI100" s="13"/>
    </row>
    <row r="101" spans="2:25" ht="29.25" customHeight="1">
      <c r="B101" s="202"/>
      <c r="C101" s="202"/>
      <c r="D101" s="202"/>
      <c r="E101" s="202"/>
      <c r="F101" s="202"/>
      <c r="G101" s="679" t="s">
        <v>1288</v>
      </c>
      <c r="H101" s="202"/>
      <c r="I101" s="202"/>
      <c r="J101" s="202"/>
      <c r="K101" s="202"/>
      <c r="L101" s="202"/>
      <c r="M101" s="202"/>
      <c r="N101" s="202"/>
      <c r="O101" s="202"/>
      <c r="P101" s="202"/>
      <c r="Q101" s="202"/>
      <c r="R101" s="202"/>
      <c r="S101" s="202"/>
      <c r="T101" s="202"/>
      <c r="U101" s="202"/>
      <c r="V101" s="202"/>
      <c r="W101" s="202"/>
      <c r="X101" s="202"/>
      <c r="Y101" s="202"/>
    </row>
    <row r="102" spans="2:25" ht="15">
      <c r="B102" s="202"/>
      <c r="C102" s="202"/>
      <c r="D102" s="202"/>
      <c r="E102" s="202"/>
      <c r="F102" s="202"/>
      <c r="G102" s="679" t="s">
        <v>1317</v>
      </c>
      <c r="H102" s="202"/>
      <c r="I102" s="202"/>
      <c r="J102" s="202"/>
      <c r="K102" s="202"/>
      <c r="L102" s="202"/>
      <c r="M102" s="202"/>
      <c r="N102" s="202"/>
      <c r="O102" s="202"/>
      <c r="P102" s="202"/>
      <c r="Q102" s="202"/>
      <c r="R102" s="202"/>
      <c r="S102" s="202"/>
      <c r="T102" s="202"/>
      <c r="U102" s="202"/>
      <c r="V102" s="202"/>
      <c r="W102" s="202"/>
      <c r="X102" s="202"/>
      <c r="Y102" s="202"/>
    </row>
    <row r="103" spans="2:25" ht="15">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row>
    <row r="104" spans="2:25" ht="15">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row>
    <row r="105" spans="2:25" ht="15">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row>
    <row r="106" spans="2:25" ht="15">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row>
    <row r="107" spans="2:25" ht="15">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row>
    <row r="108" spans="2:25" ht="15">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row>
    <row r="109" spans="2:25" ht="15">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row>
    <row r="110" spans="2:25" ht="15">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row>
    <row r="111" spans="2:25" ht="15">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row>
    <row r="112" spans="2:25" ht="15">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row>
    <row r="113" spans="2:25" ht="15">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row>
    <row r="114" spans="2:25" ht="15">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row>
    <row r="115" spans="2:25" ht="15">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row>
  </sheetData>
  <sheetProtection/>
  <mergeCells count="214">
    <mergeCell ref="T86:T87"/>
    <mergeCell ref="U86:U87"/>
    <mergeCell ref="C9:X9"/>
    <mergeCell ref="C10:Y10"/>
    <mergeCell ref="F80:F81"/>
    <mergeCell ref="K77:K79"/>
    <mergeCell ref="K70:K75"/>
    <mergeCell ref="U77:U79"/>
    <mergeCell ref="L82:L84"/>
    <mergeCell ref="T82:T84"/>
    <mergeCell ref="U82:U84"/>
    <mergeCell ref="F82:F85"/>
    <mergeCell ref="G82:G86"/>
    <mergeCell ref="H82:H85"/>
    <mergeCell ref="I82:I85"/>
    <mergeCell ref="J82:J85"/>
    <mergeCell ref="K82:K84"/>
    <mergeCell ref="J86:J87"/>
    <mergeCell ref="P12:P13"/>
    <mergeCell ref="Q12:Q13"/>
    <mergeCell ref="R12:R13"/>
    <mergeCell ref="S12:S13"/>
    <mergeCell ref="T12:T13"/>
    <mergeCell ref="C8:F8"/>
    <mergeCell ref="X77:X79"/>
    <mergeCell ref="U64:U69"/>
    <mergeCell ref="L80:L81"/>
    <mergeCell ref="T80:T81"/>
    <mergeCell ref="U80:U81"/>
    <mergeCell ref="V80:V81"/>
    <mergeCell ref="L77:L79"/>
    <mergeCell ref="T77:T79"/>
    <mergeCell ref="X86:X87"/>
    <mergeCell ref="X80:X81"/>
    <mergeCell ref="W80:W81"/>
    <mergeCell ref="V64:V69"/>
    <mergeCell ref="W64:W69"/>
    <mergeCell ref="X64:X69"/>
    <mergeCell ref="V82:V84"/>
    <mergeCell ref="W82:W84"/>
    <mergeCell ref="X82:X84"/>
    <mergeCell ref="V77:V79"/>
    <mergeCell ref="L64:L69"/>
    <mergeCell ref="T64:T69"/>
    <mergeCell ref="G80:G81"/>
    <mergeCell ref="H80:H81"/>
    <mergeCell ref="V86:V87"/>
    <mergeCell ref="W86:W87"/>
    <mergeCell ref="L70:L75"/>
    <mergeCell ref="T70:T75"/>
    <mergeCell ref="U70:U75"/>
    <mergeCell ref="W77:W79"/>
    <mergeCell ref="W59:W61"/>
    <mergeCell ref="X59:X61"/>
    <mergeCell ref="I57:I58"/>
    <mergeCell ref="J57:J63"/>
    <mergeCell ref="K57:K58"/>
    <mergeCell ref="L57:L58"/>
    <mergeCell ref="T57:T58"/>
    <mergeCell ref="U57:U58"/>
    <mergeCell ref="U59:U61"/>
    <mergeCell ref="V57:V58"/>
    <mergeCell ref="W57:W58"/>
    <mergeCell ref="V70:V75"/>
    <mergeCell ref="W70:W75"/>
    <mergeCell ref="X70:X75"/>
    <mergeCell ref="F64:F69"/>
    <mergeCell ref="G64:G69"/>
    <mergeCell ref="H64:H69"/>
    <mergeCell ref="I64:I69"/>
    <mergeCell ref="J64:J81"/>
    <mergeCell ref="K64:K69"/>
    <mergeCell ref="K49:K53"/>
    <mergeCell ref="L49:L53"/>
    <mergeCell ref="T49:T53"/>
    <mergeCell ref="U49:U53"/>
    <mergeCell ref="V49:V53"/>
    <mergeCell ref="W49:W53"/>
    <mergeCell ref="X49:X53"/>
    <mergeCell ref="X57:X58"/>
    <mergeCell ref="F59:F61"/>
    <mergeCell ref="G59:G61"/>
    <mergeCell ref="H59:H61"/>
    <mergeCell ref="I59:I61"/>
    <mergeCell ref="K59:K61"/>
    <mergeCell ref="L59:L61"/>
    <mergeCell ref="T59:T61"/>
    <mergeCell ref="V59:V61"/>
    <mergeCell ref="D49:D54"/>
    <mergeCell ref="E49:E54"/>
    <mergeCell ref="F49:F54"/>
    <mergeCell ref="G49:G53"/>
    <mergeCell ref="H49:H53"/>
    <mergeCell ref="I49:I53"/>
    <mergeCell ref="X35:X36"/>
    <mergeCell ref="U38:U40"/>
    <mergeCell ref="V38:V40"/>
    <mergeCell ref="W38:W40"/>
    <mergeCell ref="X38:X40"/>
    <mergeCell ref="U45:U47"/>
    <mergeCell ref="V45:V47"/>
    <mergeCell ref="W45:W47"/>
    <mergeCell ref="X45:X47"/>
    <mergeCell ref="U19:U24"/>
    <mergeCell ref="V19:V24"/>
    <mergeCell ref="W19:W24"/>
    <mergeCell ref="X19:X24"/>
    <mergeCell ref="L42:L44"/>
    <mergeCell ref="T42:T44"/>
    <mergeCell ref="U42:U44"/>
    <mergeCell ref="V42:V44"/>
    <mergeCell ref="W42:W44"/>
    <mergeCell ref="X42:X44"/>
    <mergeCell ref="X25:X26"/>
    <mergeCell ref="U27:U32"/>
    <mergeCell ref="V27:V32"/>
    <mergeCell ref="W27:W32"/>
    <mergeCell ref="T29:T32"/>
    <mergeCell ref="X29:X32"/>
    <mergeCell ref="U25:U26"/>
    <mergeCell ref="V25:V26"/>
    <mergeCell ref="K45:K47"/>
    <mergeCell ref="L45:L47"/>
    <mergeCell ref="T45:T47"/>
    <mergeCell ref="W25:W26"/>
    <mergeCell ref="U35:U36"/>
    <mergeCell ref="V35:V36"/>
    <mergeCell ref="W35:W36"/>
    <mergeCell ref="T38:T40"/>
    <mergeCell ref="T35:T36"/>
    <mergeCell ref="J25:J26"/>
    <mergeCell ref="K25:K26"/>
    <mergeCell ref="L25:L26"/>
    <mergeCell ref="T25:T26"/>
    <mergeCell ref="I80:I81"/>
    <mergeCell ref="K80:K81"/>
    <mergeCell ref="J49:J53"/>
    <mergeCell ref="L19:L24"/>
    <mergeCell ref="T19:T24"/>
    <mergeCell ref="J27:J32"/>
    <mergeCell ref="K27:K32"/>
    <mergeCell ref="L27:L32"/>
    <mergeCell ref="K38:K40"/>
    <mergeCell ref="L38:L40"/>
    <mergeCell ref="D55:D87"/>
    <mergeCell ref="E55:E87"/>
    <mergeCell ref="F57:F58"/>
    <mergeCell ref="G57:G58"/>
    <mergeCell ref="H57:H58"/>
    <mergeCell ref="J19:J24"/>
    <mergeCell ref="F70:F75"/>
    <mergeCell ref="G70:G75"/>
    <mergeCell ref="H70:H75"/>
    <mergeCell ref="I70:I75"/>
    <mergeCell ref="T14:T17"/>
    <mergeCell ref="U14:U17"/>
    <mergeCell ref="B14:B89"/>
    <mergeCell ref="C14:C89"/>
    <mergeCell ref="E14:E17"/>
    <mergeCell ref="F14:F17"/>
    <mergeCell ref="G14:G17"/>
    <mergeCell ref="H14:H17"/>
    <mergeCell ref="D35:D36"/>
    <mergeCell ref="E35:E36"/>
    <mergeCell ref="V14:V17"/>
    <mergeCell ref="W14:W17"/>
    <mergeCell ref="X14:X17"/>
    <mergeCell ref="Y14:Y89"/>
    <mergeCell ref="I19:I32"/>
    <mergeCell ref="D19:D33"/>
    <mergeCell ref="J14:J17"/>
    <mergeCell ref="E19:E33"/>
    <mergeCell ref="F19:F32"/>
    <mergeCell ref="G19:G32"/>
    <mergeCell ref="E12:E13"/>
    <mergeCell ref="K12:K13"/>
    <mergeCell ref="K42:K44"/>
    <mergeCell ref="G12:G13"/>
    <mergeCell ref="F12:F13"/>
    <mergeCell ref="E38:E47"/>
    <mergeCell ref="F38:F47"/>
    <mergeCell ref="K19:K24"/>
    <mergeCell ref="F35:F36"/>
    <mergeCell ref="G35:G36"/>
    <mergeCell ref="D11:I11"/>
    <mergeCell ref="I14:I17"/>
    <mergeCell ref="I35:I36"/>
    <mergeCell ref="I38:I47"/>
    <mergeCell ref="J38:J47"/>
    <mergeCell ref="L14:L17"/>
    <mergeCell ref="G38:G47"/>
    <mergeCell ref="H38:H47"/>
    <mergeCell ref="H19:H32"/>
    <mergeCell ref="D38:D47"/>
    <mergeCell ref="O12:O13"/>
    <mergeCell ref="C12:C13"/>
    <mergeCell ref="B12:B13"/>
    <mergeCell ref="D12:D13"/>
    <mergeCell ref="T5:Y5"/>
    <mergeCell ref="H6:S6"/>
    <mergeCell ref="T6:Y6"/>
    <mergeCell ref="L12:L13"/>
    <mergeCell ref="M12:M13"/>
    <mergeCell ref="I12:I13"/>
    <mergeCell ref="T2:Y4"/>
    <mergeCell ref="H5:S5"/>
    <mergeCell ref="N8:X8"/>
    <mergeCell ref="K14:K17"/>
    <mergeCell ref="D14:D17"/>
    <mergeCell ref="N12:N13"/>
    <mergeCell ref="J12:J13"/>
    <mergeCell ref="H12:H13"/>
    <mergeCell ref="B2:G6"/>
    <mergeCell ref="H2:S4"/>
  </mergeCells>
  <printOptions/>
  <pageMargins left="1.25" right="0.7086614173228347" top="0.7480314960629921" bottom="0.7480314960629921" header="0.31496062992125984" footer="0.31496062992125984"/>
  <pageSetup horizontalDpi="600" verticalDpi="600" orientation="landscape" paperSize="5" scale="50" r:id="rId2"/>
  <drawing r:id="rId1"/>
</worksheet>
</file>

<file path=xl/worksheets/sheet3.xml><?xml version="1.0" encoding="utf-8"?>
<worksheet xmlns="http://schemas.openxmlformats.org/spreadsheetml/2006/main" xmlns:r="http://schemas.openxmlformats.org/officeDocument/2006/relationships">
  <sheetPr>
    <tabColor rgb="FF00B050"/>
  </sheetPr>
  <dimension ref="B1:Y81"/>
  <sheetViews>
    <sheetView showGridLines="0" showRowColHeaders="0" zoomScale="85" zoomScaleNormal="85" zoomScalePageLayoutView="0" workbookViewId="0" topLeftCell="A1">
      <selection activeCell="B8" sqref="B8:B10"/>
    </sheetView>
  </sheetViews>
  <sheetFormatPr defaultColWidth="11.421875" defaultRowHeight="15"/>
  <cols>
    <col min="1" max="1" width="2.8515625" style="0" customWidth="1"/>
    <col min="2" max="2" width="14.28125" style="0" customWidth="1"/>
    <col min="3" max="3" width="16.421875" style="0" customWidth="1"/>
    <col min="5" max="5" width="12.7109375" style="0" bestFit="1" customWidth="1"/>
    <col min="12" max="12" width="12.7109375" style="0" bestFit="1" customWidth="1"/>
    <col min="14" max="14" width="17.00390625" style="0" bestFit="1" customWidth="1"/>
  </cols>
  <sheetData>
    <row r="1" spans="3:15" ht="15">
      <c r="C1" s="542"/>
      <c r="F1" s="542"/>
      <c r="H1" s="542"/>
      <c r="I1" s="542"/>
      <c r="O1" s="542"/>
    </row>
    <row r="2" spans="2:25" ht="15">
      <c r="B2" s="1366"/>
      <c r="C2" s="1366"/>
      <c r="D2" s="1366"/>
      <c r="E2" s="1366"/>
      <c r="F2" s="1366"/>
      <c r="G2" s="1366"/>
      <c r="H2" s="1465" t="s">
        <v>148</v>
      </c>
      <c r="I2" s="1465"/>
      <c r="J2" s="1465"/>
      <c r="K2" s="1465"/>
      <c r="L2" s="1465"/>
      <c r="M2" s="1465"/>
      <c r="N2" s="1465"/>
      <c r="O2" s="1465"/>
      <c r="P2" s="1465"/>
      <c r="Q2" s="1465"/>
      <c r="R2" s="1465"/>
      <c r="S2" s="1465"/>
      <c r="T2" s="1465" t="s">
        <v>1171</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ht="15">
      <c r="B7" s="996"/>
      <c r="C7" s="994"/>
      <c r="D7" s="996"/>
      <c r="E7" s="996"/>
      <c r="F7" s="994"/>
      <c r="G7" s="996"/>
      <c r="H7" s="994"/>
      <c r="I7" s="994"/>
      <c r="J7" s="996"/>
      <c r="K7" s="996"/>
      <c r="L7" s="996"/>
      <c r="M7" s="996"/>
      <c r="N7" s="996"/>
      <c r="O7" s="994"/>
      <c r="P7" s="996"/>
      <c r="Q7" s="996"/>
      <c r="R7" s="996"/>
      <c r="S7" s="996"/>
      <c r="T7" s="996"/>
      <c r="U7" s="996"/>
      <c r="V7" s="996"/>
      <c r="W7" s="996"/>
      <c r="X7" s="996"/>
      <c r="Y7" s="996"/>
    </row>
    <row r="8" spans="2:25" ht="15">
      <c r="B8" s="1047" t="s">
        <v>103</v>
      </c>
      <c r="C8" s="1396" t="s">
        <v>1172</v>
      </c>
      <c r="D8" s="1397"/>
      <c r="E8" s="1397"/>
      <c r="F8" s="1397"/>
      <c r="G8" s="1397"/>
      <c r="H8" s="1397"/>
      <c r="I8" s="1397"/>
      <c r="J8" s="1397"/>
      <c r="K8" s="1397"/>
      <c r="L8" s="1397"/>
      <c r="M8" s="1397"/>
      <c r="N8" s="1621"/>
      <c r="O8" s="1622"/>
      <c r="P8" s="1622"/>
      <c r="Q8" s="1622"/>
      <c r="R8" s="1622"/>
      <c r="S8" s="1622"/>
      <c r="T8" s="1622"/>
      <c r="U8" s="1622"/>
      <c r="V8" s="1622"/>
      <c r="W8" s="1622"/>
      <c r="X8" s="1623"/>
      <c r="Y8" s="1033"/>
    </row>
    <row r="9" spans="2:25" ht="27.75" customHeight="1">
      <c r="B9" s="1047" t="s">
        <v>154</v>
      </c>
      <c r="C9" s="1401" t="s">
        <v>1328</v>
      </c>
      <c r="D9" s="1402"/>
      <c r="E9" s="1402"/>
      <c r="F9" s="1402"/>
      <c r="G9" s="1402"/>
      <c r="H9" s="1402"/>
      <c r="I9" s="1402"/>
      <c r="J9" s="1402"/>
      <c r="K9" s="1402"/>
      <c r="L9" s="1402"/>
      <c r="M9" s="1402"/>
      <c r="N9" s="1402"/>
      <c r="O9" s="1402"/>
      <c r="P9" s="1402"/>
      <c r="Q9" s="1402"/>
      <c r="R9" s="1402"/>
      <c r="S9" s="1402"/>
      <c r="T9" s="1402"/>
      <c r="U9" s="1402"/>
      <c r="V9" s="1402"/>
      <c r="W9" s="1402"/>
      <c r="X9" s="1402"/>
      <c r="Y9" s="1033"/>
    </row>
    <row r="10" spans="2:25" ht="28.5" customHeight="1">
      <c r="B10" s="1048" t="s">
        <v>1384</v>
      </c>
      <c r="C10" s="1415" t="s">
        <v>1380</v>
      </c>
      <c r="D10" s="1416"/>
      <c r="E10" s="1416"/>
      <c r="F10" s="1416"/>
      <c r="G10" s="1416"/>
      <c r="H10" s="1416"/>
      <c r="I10" s="1416"/>
      <c r="J10" s="1416"/>
      <c r="K10" s="1416"/>
      <c r="L10" s="1416"/>
      <c r="M10" s="1416"/>
      <c r="N10" s="1416"/>
      <c r="O10" s="1416"/>
      <c r="P10" s="1416"/>
      <c r="Q10" s="1416"/>
      <c r="R10" s="1416"/>
      <c r="S10" s="1416"/>
      <c r="T10" s="1416"/>
      <c r="U10" s="1416"/>
      <c r="V10" s="1416"/>
      <c r="W10" s="1416"/>
      <c r="X10" s="1416"/>
      <c r="Y10" s="1417"/>
    </row>
    <row r="11" spans="2:25" ht="15">
      <c r="B11" s="996"/>
      <c r="C11" s="994"/>
      <c r="D11" s="996"/>
      <c r="E11" s="996"/>
      <c r="F11" s="994"/>
      <c r="G11" s="996"/>
      <c r="H11" s="994"/>
      <c r="I11" s="994"/>
      <c r="J11" s="996"/>
      <c r="K11" s="996"/>
      <c r="L11" s="996"/>
      <c r="M11" s="996"/>
      <c r="N11" s="996"/>
      <c r="O11" s="994"/>
      <c r="P11" s="996"/>
      <c r="Q11" s="996"/>
      <c r="R11" s="996"/>
      <c r="S11" s="996"/>
      <c r="T11" s="996"/>
      <c r="U11" s="996"/>
      <c r="V11" s="996"/>
      <c r="W11" s="996"/>
      <c r="X11" s="996"/>
      <c r="Y11" s="1012"/>
    </row>
    <row r="12" spans="2:25" ht="15">
      <c r="B12" s="1614"/>
      <c r="C12" s="1614"/>
      <c r="D12" s="1614"/>
      <c r="E12" s="1614"/>
      <c r="F12" s="1614"/>
      <c r="G12" s="1615" t="s">
        <v>1010</v>
      </c>
      <c r="H12" s="1616"/>
      <c r="I12" s="1616"/>
      <c r="J12" s="1614"/>
      <c r="K12" s="1614"/>
      <c r="L12" s="1614"/>
      <c r="M12" s="1614"/>
      <c r="N12" s="1624" t="s">
        <v>1011</v>
      </c>
      <c r="O12" s="1624"/>
      <c r="P12" s="1624"/>
      <c r="Q12" s="1624"/>
      <c r="R12" s="1624"/>
      <c r="S12" s="1624"/>
      <c r="T12" s="1624" t="s">
        <v>1012</v>
      </c>
      <c r="U12" s="1624"/>
      <c r="V12" s="1624"/>
      <c r="W12" s="1624"/>
      <c r="X12" s="1624"/>
      <c r="Y12" s="1"/>
    </row>
    <row r="13" spans="2:25" s="1014" customFormat="1" ht="22.5">
      <c r="B13" s="1617" t="s">
        <v>103</v>
      </c>
      <c r="C13" s="1618" t="s">
        <v>140</v>
      </c>
      <c r="D13" s="1609" t="s">
        <v>0</v>
      </c>
      <c r="E13" s="1609" t="s">
        <v>140</v>
      </c>
      <c r="F13" s="1620" t="s">
        <v>141</v>
      </c>
      <c r="G13" s="1609" t="s">
        <v>104</v>
      </c>
      <c r="H13" s="1609" t="s">
        <v>1173</v>
      </c>
      <c r="I13" s="1609" t="s">
        <v>143</v>
      </c>
      <c r="J13" s="1609" t="s">
        <v>1</v>
      </c>
      <c r="K13" s="1609" t="s">
        <v>2</v>
      </c>
      <c r="L13" s="1609" t="s">
        <v>140</v>
      </c>
      <c r="M13" s="1609" t="s">
        <v>3</v>
      </c>
      <c r="N13" s="1610" t="s">
        <v>4</v>
      </c>
      <c r="O13" s="1612" t="s">
        <v>1174</v>
      </c>
      <c r="P13" s="1026" t="s">
        <v>144</v>
      </c>
      <c r="Q13" s="1026" t="s">
        <v>144</v>
      </c>
      <c r="R13" s="1026" t="s">
        <v>145</v>
      </c>
      <c r="S13" s="1026" t="s">
        <v>144</v>
      </c>
      <c r="T13" s="1027">
        <v>2012</v>
      </c>
      <c r="U13" s="1026">
        <v>2013</v>
      </c>
      <c r="V13" s="1026">
        <v>2014</v>
      </c>
      <c r="W13" s="1026">
        <v>2015</v>
      </c>
      <c r="X13" s="1026" t="s">
        <v>146</v>
      </c>
      <c r="Y13" s="1026" t="s">
        <v>147</v>
      </c>
    </row>
    <row r="14" spans="2:25" s="1014" customFormat="1" ht="11.25">
      <c r="B14" s="1617"/>
      <c r="C14" s="1619"/>
      <c r="D14" s="1609"/>
      <c r="E14" s="1609"/>
      <c r="F14" s="1620"/>
      <c r="G14" s="1609"/>
      <c r="H14" s="1609"/>
      <c r="I14" s="1609"/>
      <c r="J14" s="1609"/>
      <c r="K14" s="1609"/>
      <c r="L14" s="1609"/>
      <c r="M14" s="1609"/>
      <c r="N14" s="1611"/>
      <c r="O14" s="1612"/>
      <c r="P14" s="1028">
        <v>2012</v>
      </c>
      <c r="Q14" s="1028">
        <v>2013</v>
      </c>
      <c r="R14" s="1028">
        <v>2014</v>
      </c>
      <c r="S14" s="1028">
        <v>2015</v>
      </c>
      <c r="T14" s="1027"/>
      <c r="U14" s="1029"/>
      <c r="V14" s="1029"/>
      <c r="W14" s="1029"/>
      <c r="X14" s="1029"/>
      <c r="Y14" s="1029"/>
    </row>
    <row r="15" spans="2:25" ht="192" customHeight="1">
      <c r="B15" s="1605" t="s">
        <v>119</v>
      </c>
      <c r="C15" s="1606">
        <v>14.82</v>
      </c>
      <c r="D15" s="1604" t="s">
        <v>163</v>
      </c>
      <c r="E15" s="1607">
        <f>SUM(X15:X27)/SUM($X$15:$X$65)</f>
        <v>0.3334532200680919</v>
      </c>
      <c r="F15" s="1603">
        <f>((M16+M17+M18+M19+M20+M21)+M22+M23+M25*20+M26*20)/(590+5600)</f>
        <v>0.18865912762520193</v>
      </c>
      <c r="G15" s="1613" t="s">
        <v>1175</v>
      </c>
      <c r="H15" s="1603">
        <v>0</v>
      </c>
      <c r="I15" s="1603">
        <f>+F15+H15</f>
        <v>0.18865912762520193</v>
      </c>
      <c r="J15" s="250" t="s">
        <v>334</v>
      </c>
      <c r="K15" s="491" t="s">
        <v>298</v>
      </c>
      <c r="L15" s="492">
        <f>X15/SUM($X$15:$X$27)</f>
        <v>0.0017879276962180072</v>
      </c>
      <c r="M15" s="491">
        <v>1</v>
      </c>
      <c r="N15" s="837" t="s">
        <v>299</v>
      </c>
      <c r="O15" s="491">
        <v>0</v>
      </c>
      <c r="P15" s="494"/>
      <c r="Q15" s="495">
        <v>1</v>
      </c>
      <c r="R15" s="495">
        <v>1</v>
      </c>
      <c r="S15" s="495">
        <v>1</v>
      </c>
      <c r="T15" s="496"/>
      <c r="U15" s="497">
        <v>100</v>
      </c>
      <c r="V15" s="497">
        <v>105</v>
      </c>
      <c r="W15" s="497">
        <v>110.25</v>
      </c>
      <c r="X15" s="497">
        <f>SUM(T15:W15)</f>
        <v>315.25</v>
      </c>
      <c r="Y15" s="498" t="s">
        <v>1176</v>
      </c>
    </row>
    <row r="16" spans="2:25" ht="45">
      <c r="B16" s="1605"/>
      <c r="C16" s="1606"/>
      <c r="D16" s="1604"/>
      <c r="E16" s="1607"/>
      <c r="F16" s="1603"/>
      <c r="G16" s="1613"/>
      <c r="H16" s="1603">
        <v>0</v>
      </c>
      <c r="I16" s="1603">
        <f>+F16+H16</f>
        <v>0</v>
      </c>
      <c r="J16" s="1604" t="s">
        <v>1177</v>
      </c>
      <c r="K16" s="491" t="s">
        <v>297</v>
      </c>
      <c r="L16" s="492">
        <f aca="true" t="shared" si="0" ref="L16:L27">X16/SUM($X$15:$X$27)</f>
        <v>0.13851337172841766</v>
      </c>
      <c r="M16" s="491">
        <v>20</v>
      </c>
      <c r="N16" s="499" t="s">
        <v>300</v>
      </c>
      <c r="O16" s="491">
        <v>0</v>
      </c>
      <c r="P16" s="494"/>
      <c r="Q16" s="495">
        <f>+$M$16*U16/($X$16-$T$16)</f>
        <v>7.560879048735523</v>
      </c>
      <c r="R16" s="495">
        <f>+$M$16*V16/($X$16-$T$16)+Q16</f>
        <v>12.581563630008525</v>
      </c>
      <c r="S16" s="495">
        <f>+$M$16*W16/($X$16-$T$16)+R16</f>
        <v>20</v>
      </c>
      <c r="T16" s="500"/>
      <c r="U16" s="500">
        <f>21377.921422-U17-U18-U19-U20-U21</f>
        <v>9232.921422</v>
      </c>
      <c r="V16" s="500">
        <f>25465.478412-V17-V18-V19-V20-V21</f>
        <v>6130.978412</v>
      </c>
      <c r="W16" s="500">
        <f>30465.478412-W17-W18-W19-W20-W21</f>
        <v>9058.978412</v>
      </c>
      <c r="X16" s="500">
        <f aca="true" t="shared" si="1" ref="X16:X65">SUM(T16:W16)</f>
        <v>24422.878246</v>
      </c>
      <c r="Y16" s="498" t="s">
        <v>1176</v>
      </c>
    </row>
    <row r="17" spans="2:25" ht="56.25">
      <c r="B17" s="1605"/>
      <c r="C17" s="1606"/>
      <c r="D17" s="1604"/>
      <c r="E17" s="1607"/>
      <c r="F17" s="1603"/>
      <c r="G17" s="1613"/>
      <c r="H17" s="1603"/>
      <c r="I17" s="1603"/>
      <c r="J17" s="1604"/>
      <c r="K17" s="491" t="s">
        <v>296</v>
      </c>
      <c r="L17" s="492">
        <f t="shared" si="0"/>
        <v>0.17313832421932854</v>
      </c>
      <c r="M17" s="501">
        <v>25</v>
      </c>
      <c r="N17" s="499" t="s">
        <v>301</v>
      </c>
      <c r="O17" s="491">
        <v>0</v>
      </c>
      <c r="P17" s="494"/>
      <c r="Q17" s="495">
        <f>+O17+$M$17/3</f>
        <v>8.333333333333334</v>
      </c>
      <c r="R17" s="495">
        <f>+Q17+$M$17/3</f>
        <v>16.666666666666668</v>
      </c>
      <c r="S17" s="495">
        <f>+R17+$M$17/3</f>
        <v>25</v>
      </c>
      <c r="T17" s="500"/>
      <c r="U17" s="500">
        <f>30528/3</f>
        <v>10176</v>
      </c>
      <c r="V17" s="500">
        <f>30528/3</f>
        <v>10176</v>
      </c>
      <c r="W17" s="500">
        <f>30528/3</f>
        <v>10176</v>
      </c>
      <c r="X17" s="500">
        <f t="shared" si="1"/>
        <v>30528</v>
      </c>
      <c r="Y17" s="498" t="s">
        <v>1176</v>
      </c>
    </row>
    <row r="18" spans="2:25" ht="33.75">
      <c r="B18" s="1605"/>
      <c r="C18" s="1606"/>
      <c r="D18" s="1604"/>
      <c r="E18" s="1607"/>
      <c r="F18" s="1603"/>
      <c r="G18" s="1613"/>
      <c r="H18" s="1603"/>
      <c r="I18" s="1603"/>
      <c r="J18" s="1604"/>
      <c r="K18" s="1602" t="s">
        <v>295</v>
      </c>
      <c r="L18" s="492">
        <f t="shared" si="0"/>
        <v>0.01116710431039891</v>
      </c>
      <c r="M18" s="491">
        <v>3.8</v>
      </c>
      <c r="N18" s="499" t="s">
        <v>300</v>
      </c>
      <c r="O18" s="491">
        <v>0</v>
      </c>
      <c r="P18" s="494"/>
      <c r="Q18" s="495">
        <v>3.8</v>
      </c>
      <c r="R18" s="495">
        <v>3.8</v>
      </c>
      <c r="S18" s="495">
        <v>3.8</v>
      </c>
      <c r="T18" s="500"/>
      <c r="U18" s="500">
        <v>1969</v>
      </c>
      <c r="V18" s="500"/>
      <c r="W18" s="500"/>
      <c r="X18" s="500">
        <f t="shared" si="1"/>
        <v>1969</v>
      </c>
      <c r="Y18" s="498" t="s">
        <v>1176</v>
      </c>
    </row>
    <row r="19" spans="2:25" ht="33.75">
      <c r="B19" s="1605"/>
      <c r="C19" s="1606"/>
      <c r="D19" s="1604"/>
      <c r="E19" s="1607"/>
      <c r="F19" s="1603"/>
      <c r="G19" s="1613"/>
      <c r="H19" s="1603"/>
      <c r="I19" s="1603"/>
      <c r="J19" s="1604"/>
      <c r="K19" s="1602"/>
      <c r="L19" s="492">
        <f t="shared" si="0"/>
        <v>0.06925419539577506</v>
      </c>
      <c r="M19" s="501">
        <v>10</v>
      </c>
      <c r="N19" s="499" t="s">
        <v>301</v>
      </c>
      <c r="O19" s="491">
        <v>6.8</v>
      </c>
      <c r="P19" s="494"/>
      <c r="Q19" s="495"/>
      <c r="R19" s="495">
        <f>+O19+M19/2</f>
        <v>11.8</v>
      </c>
      <c r="S19" s="495">
        <f>+R19+M19/2</f>
        <v>16.8</v>
      </c>
      <c r="T19" s="500"/>
      <c r="U19" s="500"/>
      <c r="V19" s="500">
        <f>12211/2</f>
        <v>6105.5</v>
      </c>
      <c r="W19" s="500">
        <f>12211/2</f>
        <v>6105.5</v>
      </c>
      <c r="X19" s="500">
        <f t="shared" si="1"/>
        <v>12211</v>
      </c>
      <c r="Y19" s="498" t="s">
        <v>1176</v>
      </c>
    </row>
    <row r="20" spans="2:25" ht="67.5">
      <c r="B20" s="1605"/>
      <c r="C20" s="1606"/>
      <c r="D20" s="1604"/>
      <c r="E20" s="1607"/>
      <c r="F20" s="1603"/>
      <c r="G20" s="1613"/>
      <c r="H20" s="1603"/>
      <c r="I20" s="1603"/>
      <c r="J20" s="1604"/>
      <c r="K20" s="491" t="s">
        <v>294</v>
      </c>
      <c r="L20" s="492">
        <f t="shared" si="0"/>
        <v>0.011751264667926125</v>
      </c>
      <c r="M20" s="491">
        <v>4</v>
      </c>
      <c r="N20" s="499" t="s">
        <v>300</v>
      </c>
      <c r="O20" s="491">
        <v>0</v>
      </c>
      <c r="P20" s="494"/>
      <c r="Q20" s="495"/>
      <c r="R20" s="495">
        <f>+M20/2</f>
        <v>2</v>
      </c>
      <c r="S20" s="495">
        <f>+M20/2+R20</f>
        <v>4</v>
      </c>
      <c r="T20" s="500"/>
      <c r="U20" s="500"/>
      <c r="V20" s="500"/>
      <c r="W20" s="500">
        <v>2072</v>
      </c>
      <c r="X20" s="500">
        <f t="shared" si="1"/>
        <v>2072</v>
      </c>
      <c r="Y20" s="498" t="s">
        <v>1176</v>
      </c>
    </row>
    <row r="21" spans="2:25" ht="61.5" customHeight="1">
      <c r="B21" s="1605"/>
      <c r="C21" s="1606"/>
      <c r="D21" s="1604"/>
      <c r="E21" s="1607"/>
      <c r="F21" s="1603"/>
      <c r="G21" s="1613"/>
      <c r="H21" s="1603"/>
      <c r="I21" s="1603"/>
      <c r="J21" s="1604"/>
      <c r="K21" s="491" t="s">
        <v>293</v>
      </c>
      <c r="L21" s="492">
        <f t="shared" si="0"/>
        <v>0.03462993342777844</v>
      </c>
      <c r="M21" s="491">
        <v>5</v>
      </c>
      <c r="N21" s="499" t="s">
        <v>301</v>
      </c>
      <c r="O21" s="491">
        <v>25.4</v>
      </c>
      <c r="P21" s="494"/>
      <c r="Q21" s="495"/>
      <c r="R21" s="495"/>
      <c r="S21" s="495">
        <f>+M21+O21</f>
        <v>30.4</v>
      </c>
      <c r="T21" s="500"/>
      <c r="U21" s="500"/>
      <c r="V21" s="500">
        <f>6106/2</f>
        <v>3053</v>
      </c>
      <c r="W21" s="500">
        <f>6106/2</f>
        <v>3053</v>
      </c>
      <c r="X21" s="500">
        <f t="shared" si="1"/>
        <v>6106</v>
      </c>
      <c r="Y21" s="498" t="s">
        <v>1176</v>
      </c>
    </row>
    <row r="22" spans="2:25" ht="84" customHeight="1">
      <c r="B22" s="1605"/>
      <c r="C22" s="1606"/>
      <c r="D22" s="1604"/>
      <c r="E22" s="1607"/>
      <c r="F22" s="1603"/>
      <c r="G22" s="1613"/>
      <c r="H22" s="1603">
        <v>0</v>
      </c>
      <c r="I22" s="1603">
        <f>+F22+H22</f>
        <v>0</v>
      </c>
      <c r="J22" s="1604" t="s">
        <v>335</v>
      </c>
      <c r="K22" s="837" t="s">
        <v>1333</v>
      </c>
      <c r="L22" s="492">
        <f t="shared" si="0"/>
        <v>0.17503440425455832</v>
      </c>
      <c r="M22" s="491">
        <v>200</v>
      </c>
      <c r="N22" s="499" t="s">
        <v>302</v>
      </c>
      <c r="O22" s="491">
        <v>0</v>
      </c>
      <c r="P22" s="494"/>
      <c r="Q22" s="495">
        <f>+U22/(($U$22+$V$22+$W$22)/200)</f>
        <v>43.910309899083416</v>
      </c>
      <c r="R22" s="495">
        <f>+V22/(($U$22+$V$22+$W$22)/200)+Q22</f>
        <v>112.20243062057747</v>
      </c>
      <c r="S22" s="495">
        <f>+W22/(($U$22+$V$22+$W$22)/200)+R22</f>
        <v>200</v>
      </c>
      <c r="T22" s="500">
        <f>308.683894-32-124-51</f>
        <v>101.68389400000001</v>
      </c>
      <c r="U22" s="500">
        <f>(22337.9375-U23-U24-U25-U26)</f>
        <v>6753.5452276666665</v>
      </c>
      <c r="V22" s="500">
        <f>(26037.9375-V23-V24-V25-V26)</f>
        <v>10503.545227666667</v>
      </c>
      <c r="W22" s="500">
        <f>(29037.9375-W23-W24-W25-W26)</f>
        <v>13503.545227666666</v>
      </c>
      <c r="X22" s="500">
        <f>SUM(T22:W22)</f>
        <v>30862.319577</v>
      </c>
      <c r="Y22" s="498" t="s">
        <v>1176</v>
      </c>
    </row>
    <row r="23" spans="2:25" ht="90">
      <c r="B23" s="1605"/>
      <c r="C23" s="1606"/>
      <c r="D23" s="1604"/>
      <c r="E23" s="1607"/>
      <c r="F23" s="1603"/>
      <c r="G23" s="1613"/>
      <c r="H23" s="1603"/>
      <c r="I23" s="1603"/>
      <c r="J23" s="1604"/>
      <c r="K23" s="835" t="s">
        <v>1334</v>
      </c>
      <c r="L23" s="492">
        <f t="shared" si="0"/>
        <v>0.23726551997234047</v>
      </c>
      <c r="M23" s="491">
        <v>600</v>
      </c>
      <c r="N23" s="499" t="s">
        <v>302</v>
      </c>
      <c r="O23" s="491">
        <v>0</v>
      </c>
      <c r="P23" s="502">
        <f>1100/69.725+(9.8+1+1)+(12+26)</f>
        <v>65.57626389386877</v>
      </c>
      <c r="Q23" s="495">
        <f>+U23/(($U$23+$V$23+$W$23)/($M$23-$P$23))+P23</f>
        <v>243.71750926257917</v>
      </c>
      <c r="R23" s="495">
        <f>+V23/(($U$23+$V$23+$W$23)/($M$23-$P$23))+Q23</f>
        <v>421.85875463128957</v>
      </c>
      <c r="S23" s="495">
        <f>+W23/(($U$23+$V$23+$W$23)/($M$23-$P$23))+R23</f>
        <v>600</v>
      </c>
      <c r="T23" s="500">
        <f>1100+6699.70255</f>
        <v>7799.70255</v>
      </c>
      <c r="U23" s="500">
        <f>(41835-$T$23)/3</f>
        <v>11345.09915</v>
      </c>
      <c r="V23" s="500">
        <f>(41835-$T$23)/3</f>
        <v>11345.09915</v>
      </c>
      <c r="W23" s="500">
        <f>(41835-$T$23)/3</f>
        <v>11345.09915</v>
      </c>
      <c r="X23" s="500">
        <f t="shared" si="1"/>
        <v>41835</v>
      </c>
      <c r="Y23" s="498" t="s">
        <v>1176</v>
      </c>
    </row>
    <row r="24" spans="2:25" ht="45">
      <c r="B24" s="1605"/>
      <c r="C24" s="1606"/>
      <c r="D24" s="1604"/>
      <c r="E24" s="1607"/>
      <c r="F24" s="1603"/>
      <c r="G24" s="1613"/>
      <c r="H24" s="1603"/>
      <c r="I24" s="1603"/>
      <c r="J24" s="1604"/>
      <c r="K24" s="491" t="s">
        <v>292</v>
      </c>
      <c r="L24" s="492">
        <f t="shared" si="0"/>
        <v>0.11342919563635256</v>
      </c>
      <c r="M24" s="491">
        <v>10</v>
      </c>
      <c r="N24" s="797" t="s">
        <v>301</v>
      </c>
      <c r="O24" s="491">
        <v>0</v>
      </c>
      <c r="P24" s="494">
        <f>+T24/2000</f>
        <v>6.2130603165</v>
      </c>
      <c r="Q24" s="495">
        <f>+P24+U24/2000</f>
        <v>7.475373544333333</v>
      </c>
      <c r="R24" s="495">
        <f>+Q24+V24/2000</f>
        <v>8.737686772166667</v>
      </c>
      <c r="S24" s="495">
        <f>+R24+W24/2000</f>
        <v>10</v>
      </c>
      <c r="T24" s="500">
        <f>1300+(3126731649+1917017189+3482371795+2600000000)/1000000</f>
        <v>12426.120633</v>
      </c>
      <c r="U24" s="500">
        <f>(20000-$T$24)/3</f>
        <v>2524.6264556666665</v>
      </c>
      <c r="V24" s="500">
        <f>(20000-$T$24)/3</f>
        <v>2524.6264556666665</v>
      </c>
      <c r="W24" s="500">
        <f>(20000-$T$24)/3</f>
        <v>2524.6264556666665</v>
      </c>
      <c r="X24" s="500">
        <f t="shared" si="1"/>
        <v>20000</v>
      </c>
      <c r="Y24" s="498" t="s">
        <v>1176</v>
      </c>
    </row>
    <row r="25" spans="2:25" ht="33.75">
      <c r="B25" s="1605"/>
      <c r="C25" s="1606"/>
      <c r="D25" s="1604"/>
      <c r="E25" s="1607"/>
      <c r="F25" s="1603"/>
      <c r="G25" s="1613"/>
      <c r="H25" s="1603"/>
      <c r="I25" s="1603"/>
      <c r="J25" s="1604"/>
      <c r="K25" s="491" t="s">
        <v>291</v>
      </c>
      <c r="L25" s="492">
        <f t="shared" si="0"/>
        <v>0.028357298909088145</v>
      </c>
      <c r="M25" s="501">
        <v>5</v>
      </c>
      <c r="N25" s="499" t="s">
        <v>1178</v>
      </c>
      <c r="O25" s="503">
        <v>0</v>
      </c>
      <c r="P25" s="494">
        <v>2</v>
      </c>
      <c r="Q25" s="495">
        <f>+P25+1</f>
        <v>3</v>
      </c>
      <c r="R25" s="495">
        <f>+Q25+1</f>
        <v>4</v>
      </c>
      <c r="S25" s="495">
        <f>+R25+1</f>
        <v>5</v>
      </c>
      <c r="T25" s="500">
        <f>(300-150)+32+(600+124)</f>
        <v>906</v>
      </c>
      <c r="U25" s="500">
        <f>(5000-$T$25)/3</f>
        <v>1364.6666666666667</v>
      </c>
      <c r="V25" s="500">
        <f>(5000-$T$25)/3</f>
        <v>1364.6666666666667</v>
      </c>
      <c r="W25" s="500">
        <f>(5000-$T$25)/3</f>
        <v>1364.6666666666667</v>
      </c>
      <c r="X25" s="500">
        <f t="shared" si="1"/>
        <v>5000.000000000001</v>
      </c>
      <c r="Y25" s="498" t="s">
        <v>1176</v>
      </c>
    </row>
    <row r="26" spans="2:25" ht="38.25" customHeight="1">
      <c r="B26" s="1605"/>
      <c r="C26" s="1606"/>
      <c r="D26" s="1604"/>
      <c r="E26" s="1607"/>
      <c r="F26" s="1603"/>
      <c r="G26" s="1613"/>
      <c r="H26" s="1603"/>
      <c r="I26" s="1603"/>
      <c r="J26" s="1604"/>
      <c r="K26" s="491" t="s">
        <v>290</v>
      </c>
      <c r="L26" s="492">
        <f t="shared" si="0"/>
        <v>0.005671459781817628</v>
      </c>
      <c r="M26" s="501">
        <v>10</v>
      </c>
      <c r="N26" s="499" t="s">
        <v>303</v>
      </c>
      <c r="O26" s="501">
        <v>0</v>
      </c>
      <c r="P26" s="494">
        <v>1</v>
      </c>
      <c r="Q26" s="495">
        <f>+P26+3</f>
        <v>4</v>
      </c>
      <c r="R26" s="495">
        <f>+Q26+3</f>
        <v>7</v>
      </c>
      <c r="S26" s="495">
        <f>+R26+3</f>
        <v>10</v>
      </c>
      <c r="T26" s="500">
        <v>50</v>
      </c>
      <c r="U26" s="500">
        <v>350</v>
      </c>
      <c r="V26" s="500">
        <v>300</v>
      </c>
      <c r="W26" s="500">
        <v>300</v>
      </c>
      <c r="X26" s="500">
        <f t="shared" si="1"/>
        <v>1000</v>
      </c>
      <c r="Y26" s="498" t="s">
        <v>1176</v>
      </c>
    </row>
    <row r="27" spans="2:25" ht="67.5">
      <c r="B27" s="1605"/>
      <c r="C27" s="1606"/>
      <c r="D27" s="1604"/>
      <c r="E27" s="1607"/>
      <c r="F27" s="1603"/>
      <c r="G27" s="1613"/>
      <c r="H27" s="1603"/>
      <c r="I27" s="1603"/>
      <c r="J27" s="1604"/>
      <c r="K27" s="491" t="s">
        <v>289</v>
      </c>
      <c r="L27" s="492">
        <f t="shared" si="0"/>
        <v>0</v>
      </c>
      <c r="M27" s="491">
        <v>10</v>
      </c>
      <c r="N27" s="499" t="s">
        <v>304</v>
      </c>
      <c r="O27" s="491" t="s">
        <v>328</v>
      </c>
      <c r="P27" s="494"/>
      <c r="Q27" s="495">
        <f>96.55+3</f>
        <v>99.55</v>
      </c>
      <c r="R27" s="495">
        <f>+Q27+3</f>
        <v>102.55</v>
      </c>
      <c r="S27" s="495">
        <f>+R27+4</f>
        <v>106.55</v>
      </c>
      <c r="T27" s="500"/>
      <c r="U27" s="500"/>
      <c r="V27" s="500"/>
      <c r="W27" s="500"/>
      <c r="X27" s="500">
        <f t="shared" si="1"/>
        <v>0</v>
      </c>
      <c r="Y27" s="498" t="s">
        <v>1176</v>
      </c>
    </row>
    <row r="28" spans="2:25" ht="15">
      <c r="B28" s="1605"/>
      <c r="C28" s="1606"/>
      <c r="D28" s="250"/>
      <c r="E28" s="504"/>
      <c r="F28" s="505"/>
      <c r="G28" s="490"/>
      <c r="H28" s="505"/>
      <c r="I28" s="505"/>
      <c r="J28" s="250"/>
      <c r="K28" s="491"/>
      <c r="L28" s="492">
        <f>SUM(L15:L27)</f>
        <v>0.9999999999999998</v>
      </c>
      <c r="M28" s="491"/>
      <c r="N28" s="499"/>
      <c r="O28" s="491"/>
      <c r="P28" s="494"/>
      <c r="Q28" s="495"/>
      <c r="R28" s="495"/>
      <c r="S28" s="495"/>
      <c r="T28" s="500"/>
      <c r="U28" s="500"/>
      <c r="V28" s="500"/>
      <c r="W28" s="500"/>
      <c r="X28" s="500"/>
      <c r="Y28" s="498"/>
    </row>
    <row r="29" spans="2:25" ht="78.75">
      <c r="B29" s="1605"/>
      <c r="C29" s="1606"/>
      <c r="D29" s="1594" t="s">
        <v>164</v>
      </c>
      <c r="E29" s="1590">
        <f>SUM(X29:X30)/SUM($X$15:$X$65)</f>
        <v>0.06190733625262984</v>
      </c>
      <c r="F29" s="1600">
        <f>+I29-H29</f>
        <v>0.13513975426806796</v>
      </c>
      <c r="G29" s="1599" t="s">
        <v>1179</v>
      </c>
      <c r="H29" s="1600">
        <f>(319168+50446)/839519</f>
        <v>0.4402687729521309</v>
      </c>
      <c r="I29" s="1600">
        <f>(341353+52675+(+M29+M30)*17943)/903061</f>
        <v>0.5754085272201989</v>
      </c>
      <c r="J29" s="1594" t="s">
        <v>165</v>
      </c>
      <c r="K29" s="491" t="s">
        <v>288</v>
      </c>
      <c r="L29" s="844">
        <f>X29/SUM($X$29:$X$30)</f>
        <v>0.9236291431189858</v>
      </c>
      <c r="M29" s="845">
        <v>2</v>
      </c>
      <c r="N29" s="499" t="s">
        <v>305</v>
      </c>
      <c r="O29" s="491">
        <v>3</v>
      </c>
      <c r="P29" s="494"/>
      <c r="Q29" s="495">
        <f>0.5+O29</f>
        <v>3.5</v>
      </c>
      <c r="R29" s="495">
        <f>+Q29+1</f>
        <v>4.5</v>
      </c>
      <c r="S29" s="495">
        <f>+R29+0.5</f>
        <v>5</v>
      </c>
      <c r="T29" s="500"/>
      <c r="U29" s="500">
        <f>9000-U30</f>
        <v>8135</v>
      </c>
      <c r="V29" s="500">
        <f>12800-V30</f>
        <v>11800</v>
      </c>
      <c r="W29" s="500">
        <f>10800-W30</f>
        <v>10300</v>
      </c>
      <c r="X29" s="500">
        <f t="shared" si="1"/>
        <v>30235</v>
      </c>
      <c r="Y29" s="498" t="s">
        <v>1176</v>
      </c>
    </row>
    <row r="30" spans="2:25" ht="175.5" customHeight="1">
      <c r="B30" s="1605"/>
      <c r="C30" s="1606"/>
      <c r="D30" s="1594"/>
      <c r="E30" s="1590"/>
      <c r="F30" s="1600"/>
      <c r="G30" s="1599"/>
      <c r="H30" s="1600"/>
      <c r="I30" s="1600"/>
      <c r="J30" s="1594"/>
      <c r="K30" s="507" t="s">
        <v>1180</v>
      </c>
      <c r="L30" s="844">
        <f>X30/SUM($X$29:$X$30)</f>
        <v>0.0763708568810142</v>
      </c>
      <c r="M30" s="845">
        <v>5</v>
      </c>
      <c r="N30" s="837" t="s">
        <v>306</v>
      </c>
      <c r="O30" s="491">
        <v>0</v>
      </c>
      <c r="P30" s="494">
        <v>1</v>
      </c>
      <c r="Q30" s="495">
        <f>+P30+1</f>
        <v>2</v>
      </c>
      <c r="R30" s="495">
        <f>+Q30+2</f>
        <v>4</v>
      </c>
      <c r="S30" s="495">
        <f>+R30+1</f>
        <v>5</v>
      </c>
      <c r="T30" s="500">
        <v>135</v>
      </c>
      <c r="U30" s="500">
        <f>500+365</f>
        <v>865</v>
      </c>
      <c r="V30" s="500">
        <v>1000</v>
      </c>
      <c r="W30" s="500">
        <v>500</v>
      </c>
      <c r="X30" s="500">
        <f>SUM(T30:W30)</f>
        <v>2500</v>
      </c>
      <c r="Y30" s="498" t="s">
        <v>1176</v>
      </c>
    </row>
    <row r="31" spans="2:25" ht="15">
      <c r="B31" s="1605"/>
      <c r="C31" s="1606"/>
      <c r="D31" s="491"/>
      <c r="E31" s="508"/>
      <c r="F31" s="506"/>
      <c r="G31" s="507"/>
      <c r="H31" s="506"/>
      <c r="I31" s="506"/>
      <c r="J31" s="491"/>
      <c r="K31" s="507"/>
      <c r="L31" s="492">
        <f>SUM(L29:L30)</f>
        <v>1</v>
      </c>
      <c r="M31" s="501"/>
      <c r="N31" s="493"/>
      <c r="O31" s="491"/>
      <c r="P31" s="494"/>
      <c r="Q31" s="495"/>
      <c r="R31" s="495"/>
      <c r="S31" s="495"/>
      <c r="T31" s="500"/>
      <c r="U31" s="500"/>
      <c r="V31" s="500"/>
      <c r="W31" s="500"/>
      <c r="X31" s="500"/>
      <c r="Y31" s="498"/>
    </row>
    <row r="32" spans="2:25" ht="135">
      <c r="B32" s="1605"/>
      <c r="C32" s="1606"/>
      <c r="D32" s="491" t="s">
        <v>1181</v>
      </c>
      <c r="E32" s="508">
        <f>SUM(X32)/SUM($X$15:$X$65)</f>
        <v>0</v>
      </c>
      <c r="F32" s="509">
        <v>1</v>
      </c>
      <c r="G32" s="499" t="s">
        <v>1182</v>
      </c>
      <c r="H32" s="491">
        <v>0</v>
      </c>
      <c r="I32" s="509">
        <v>1</v>
      </c>
      <c r="J32" s="491" t="s">
        <v>1181</v>
      </c>
      <c r="K32" s="491" t="s">
        <v>287</v>
      </c>
      <c r="L32" s="492">
        <v>1</v>
      </c>
      <c r="M32" s="501">
        <v>2</v>
      </c>
      <c r="N32" s="499" t="s">
        <v>307</v>
      </c>
      <c r="O32" s="491">
        <v>0</v>
      </c>
      <c r="P32" s="494"/>
      <c r="Q32" s="495"/>
      <c r="R32" s="495">
        <v>1</v>
      </c>
      <c r="S32" s="495">
        <v>2</v>
      </c>
      <c r="T32" s="500"/>
      <c r="U32" s="500"/>
      <c r="V32" s="500"/>
      <c r="W32" s="500"/>
      <c r="X32" s="500">
        <f t="shared" si="1"/>
        <v>0</v>
      </c>
      <c r="Y32" s="498" t="s">
        <v>1176</v>
      </c>
    </row>
    <row r="33" spans="2:25" ht="15">
      <c r="B33" s="1605"/>
      <c r="C33" s="1606"/>
      <c r="D33" s="491"/>
      <c r="E33" s="508"/>
      <c r="F33" s="509"/>
      <c r="G33" s="499"/>
      <c r="H33" s="491"/>
      <c r="I33" s="509"/>
      <c r="J33" s="491"/>
      <c r="K33" s="491"/>
      <c r="L33" s="492">
        <f>SUM(L32)</f>
        <v>1</v>
      </c>
      <c r="M33" s="501"/>
      <c r="N33" s="499"/>
      <c r="O33" s="491"/>
      <c r="P33" s="494"/>
      <c r="Q33" s="495"/>
      <c r="R33" s="495"/>
      <c r="S33" s="495"/>
      <c r="T33" s="500"/>
      <c r="U33" s="500"/>
      <c r="V33" s="500"/>
      <c r="W33" s="500"/>
      <c r="X33" s="500"/>
      <c r="Y33" s="498"/>
    </row>
    <row r="34" spans="2:25" ht="67.5">
      <c r="B34" s="1605"/>
      <c r="C34" s="1606"/>
      <c r="D34" s="1594" t="s">
        <v>166</v>
      </c>
      <c r="E34" s="1590">
        <f>SUM(X34:X39)/SUM($X$15:$X$65)</f>
        <v>0.08087762768229624</v>
      </c>
      <c r="F34" s="1601">
        <v>1</v>
      </c>
      <c r="G34" s="1602" t="s">
        <v>1183</v>
      </c>
      <c r="H34" s="1594">
        <v>0</v>
      </c>
      <c r="I34" s="1592">
        <f>+F34+H34</f>
        <v>1</v>
      </c>
      <c r="J34" s="491" t="s">
        <v>1184</v>
      </c>
      <c r="K34" s="491" t="s">
        <v>286</v>
      </c>
      <c r="L34" s="492">
        <f aca="true" t="shared" si="2" ref="L34:L39">X34/SUM($X$34:$X$39)</f>
        <v>0.006547257166908292</v>
      </c>
      <c r="M34" s="491">
        <v>2</v>
      </c>
      <c r="N34" s="493" t="s">
        <v>308</v>
      </c>
      <c r="O34" s="491">
        <v>0</v>
      </c>
      <c r="P34" s="494"/>
      <c r="Q34" s="495">
        <v>2</v>
      </c>
      <c r="R34" s="495">
        <v>2</v>
      </c>
      <c r="S34" s="495">
        <v>2</v>
      </c>
      <c r="T34" s="500"/>
      <c r="U34" s="500">
        <v>280</v>
      </c>
      <c r="V34" s="500"/>
      <c r="W34" s="500"/>
      <c r="X34" s="500">
        <f t="shared" si="1"/>
        <v>280</v>
      </c>
      <c r="Y34" s="498" t="s">
        <v>1176</v>
      </c>
    </row>
    <row r="35" spans="2:25" ht="56.25">
      <c r="B35" s="1605"/>
      <c r="C35" s="1606"/>
      <c r="D35" s="1594"/>
      <c r="E35" s="1590"/>
      <c r="F35" s="1601"/>
      <c r="G35" s="1602"/>
      <c r="H35" s="1594"/>
      <c r="I35" s="1592"/>
      <c r="J35" s="1593" t="s">
        <v>167</v>
      </c>
      <c r="K35" s="491" t="s">
        <v>285</v>
      </c>
      <c r="L35" s="492">
        <f t="shared" si="2"/>
        <v>0.3492260206706262</v>
      </c>
      <c r="M35" s="510">
        <v>2</v>
      </c>
      <c r="N35" s="493" t="s">
        <v>309</v>
      </c>
      <c r="O35" s="511">
        <v>0</v>
      </c>
      <c r="P35" s="494"/>
      <c r="Q35" s="495">
        <f>2/3</f>
        <v>0.6666666666666666</v>
      </c>
      <c r="R35" s="495">
        <f>2/3+Q35</f>
        <v>1.3333333333333333</v>
      </c>
      <c r="S35" s="495">
        <f>2/3+R35</f>
        <v>2</v>
      </c>
      <c r="T35" s="500"/>
      <c r="U35" s="500">
        <f>8887-U36-U37-U38-U39</f>
        <v>2387</v>
      </c>
      <c r="V35" s="500">
        <f>16774-V36-V37-V38-V39</f>
        <v>6274</v>
      </c>
      <c r="W35" s="500">
        <f>16774-W36-W37-W38-W39</f>
        <v>6274</v>
      </c>
      <c r="X35" s="500">
        <f t="shared" si="1"/>
        <v>14935</v>
      </c>
      <c r="Y35" s="498" t="s">
        <v>1176</v>
      </c>
    </row>
    <row r="36" spans="2:25" ht="56.25">
      <c r="B36" s="1605"/>
      <c r="C36" s="1606"/>
      <c r="D36" s="1594"/>
      <c r="E36" s="1590"/>
      <c r="F36" s="1601"/>
      <c r="G36" s="1602"/>
      <c r="H36" s="1594"/>
      <c r="I36" s="1592"/>
      <c r="J36" s="1593"/>
      <c r="K36" s="491" t="s">
        <v>284</v>
      </c>
      <c r="L36" s="492">
        <f t="shared" si="2"/>
        <v>0.32736285834541456</v>
      </c>
      <c r="M36" s="510">
        <v>2</v>
      </c>
      <c r="N36" s="491" t="s">
        <v>310</v>
      </c>
      <c r="O36" s="511">
        <v>0</v>
      </c>
      <c r="P36" s="494"/>
      <c r="Q36" s="495">
        <f>2/3</f>
        <v>0.6666666666666666</v>
      </c>
      <c r="R36" s="495">
        <f>2/3+Q36</f>
        <v>1.3333333333333333</v>
      </c>
      <c r="S36" s="495">
        <f>2/3+R36</f>
        <v>2</v>
      </c>
      <c r="T36" s="500"/>
      <c r="U36" s="500">
        <v>2000</v>
      </c>
      <c r="V36" s="500">
        <v>6000</v>
      </c>
      <c r="W36" s="500">
        <v>6000</v>
      </c>
      <c r="X36" s="500">
        <f t="shared" si="1"/>
        <v>14000</v>
      </c>
      <c r="Y36" s="498" t="s">
        <v>1176</v>
      </c>
    </row>
    <row r="37" spans="2:25" ht="67.5">
      <c r="B37" s="1605"/>
      <c r="C37" s="1606"/>
      <c r="D37" s="1594"/>
      <c r="E37" s="1590"/>
      <c r="F37" s="1601"/>
      <c r="G37" s="1602"/>
      <c r="H37" s="1594"/>
      <c r="I37" s="1592"/>
      <c r="J37" s="1593"/>
      <c r="K37" s="700" t="s">
        <v>283</v>
      </c>
      <c r="L37" s="492">
        <f t="shared" si="2"/>
        <v>0.28059673572464106</v>
      </c>
      <c r="M37" s="510">
        <v>1</v>
      </c>
      <c r="N37" s="493" t="s">
        <v>311</v>
      </c>
      <c r="O37" s="511">
        <v>0</v>
      </c>
      <c r="P37" s="494"/>
      <c r="Q37" s="495">
        <f>1/3</f>
        <v>0.3333333333333333</v>
      </c>
      <c r="R37" s="495">
        <f>1/3+Q37</f>
        <v>0.6666666666666666</v>
      </c>
      <c r="S37" s="495">
        <f>1/3+R37</f>
        <v>1</v>
      </c>
      <c r="T37" s="500"/>
      <c r="U37" s="500">
        <v>4000</v>
      </c>
      <c r="V37" s="500">
        <v>4000</v>
      </c>
      <c r="W37" s="500">
        <v>4000</v>
      </c>
      <c r="X37" s="500">
        <f t="shared" si="1"/>
        <v>12000</v>
      </c>
      <c r="Y37" s="498" t="s">
        <v>1176</v>
      </c>
    </row>
    <row r="38" spans="2:25" ht="78.75">
      <c r="B38" s="1605"/>
      <c r="C38" s="1606"/>
      <c r="D38" s="1594"/>
      <c r="E38" s="1590"/>
      <c r="F38" s="1601"/>
      <c r="G38" s="1602"/>
      <c r="H38" s="1594"/>
      <c r="I38" s="1592"/>
      <c r="J38" s="1593"/>
      <c r="K38" s="491" t="s">
        <v>1185</v>
      </c>
      <c r="L38" s="492">
        <f t="shared" si="2"/>
        <v>0.029252209699293832</v>
      </c>
      <c r="M38" s="501">
        <f>+S38-O38</f>
        <v>7</v>
      </c>
      <c r="N38" s="493" t="s">
        <v>1186</v>
      </c>
      <c r="O38" s="511">
        <v>0</v>
      </c>
      <c r="P38" s="494">
        <v>1</v>
      </c>
      <c r="Q38" s="495">
        <f>+P38+2</f>
        <v>3</v>
      </c>
      <c r="R38" s="495">
        <f>+Q38+2</f>
        <v>5</v>
      </c>
      <c r="S38" s="495">
        <f>+R38+2</f>
        <v>7</v>
      </c>
      <c r="T38" s="500">
        <v>51</v>
      </c>
      <c r="U38" s="500">
        <v>400</v>
      </c>
      <c r="V38" s="500">
        <v>400</v>
      </c>
      <c r="W38" s="500">
        <v>400</v>
      </c>
      <c r="X38" s="500">
        <f t="shared" si="1"/>
        <v>1251</v>
      </c>
      <c r="Y38" s="498" t="s">
        <v>1176</v>
      </c>
    </row>
    <row r="39" spans="2:25" ht="78.75">
      <c r="B39" s="1605"/>
      <c r="C39" s="1606"/>
      <c r="D39" s="1594"/>
      <c r="E39" s="1590"/>
      <c r="F39" s="1601"/>
      <c r="G39" s="1602"/>
      <c r="H39" s="1594"/>
      <c r="I39" s="1592"/>
      <c r="J39" s="1593"/>
      <c r="K39" s="491" t="s">
        <v>282</v>
      </c>
      <c r="L39" s="492">
        <f t="shared" si="2"/>
        <v>0.007014918393116027</v>
      </c>
      <c r="M39" s="501">
        <v>1</v>
      </c>
      <c r="N39" s="499" t="s">
        <v>312</v>
      </c>
      <c r="O39" s="501">
        <v>0</v>
      </c>
      <c r="P39" s="494"/>
      <c r="Q39" s="495">
        <v>1</v>
      </c>
      <c r="R39" s="495">
        <v>1</v>
      </c>
      <c r="S39" s="495">
        <v>1</v>
      </c>
      <c r="T39" s="500"/>
      <c r="U39" s="500">
        <v>100</v>
      </c>
      <c r="V39" s="500">
        <v>100</v>
      </c>
      <c r="W39" s="500">
        <v>100</v>
      </c>
      <c r="X39" s="500">
        <f t="shared" si="1"/>
        <v>300</v>
      </c>
      <c r="Y39" s="498" t="s">
        <v>1176</v>
      </c>
    </row>
    <row r="40" spans="2:25" ht="15">
      <c r="B40" s="1605"/>
      <c r="C40" s="1606"/>
      <c r="D40" s="491"/>
      <c r="E40" s="508"/>
      <c r="F40" s="509"/>
      <c r="G40" s="499"/>
      <c r="H40" s="491"/>
      <c r="I40" s="512"/>
      <c r="J40" s="501"/>
      <c r="K40" s="491"/>
      <c r="L40" s="492">
        <f>SUM(L34:L39)</f>
        <v>1</v>
      </c>
      <c r="M40" s="501"/>
      <c r="N40" s="499"/>
      <c r="O40" s="501"/>
      <c r="P40" s="494"/>
      <c r="Q40" s="495"/>
      <c r="R40" s="495"/>
      <c r="S40" s="495"/>
      <c r="T40" s="500"/>
      <c r="U40" s="500"/>
      <c r="V40" s="500"/>
      <c r="W40" s="500"/>
      <c r="X40" s="500"/>
      <c r="Y40" s="498"/>
    </row>
    <row r="41" spans="2:25" ht="45">
      <c r="B41" s="1605"/>
      <c r="C41" s="1606"/>
      <c r="D41" s="1594" t="s">
        <v>168</v>
      </c>
      <c r="E41" s="1590">
        <f>SUM(X41:X45)/SUM($X$15:$X$65)</f>
        <v>0.06184439184225961</v>
      </c>
      <c r="F41" s="1596">
        <v>1</v>
      </c>
      <c r="G41" s="1599" t="s">
        <v>1187</v>
      </c>
      <c r="H41" s="1596">
        <v>0</v>
      </c>
      <c r="I41" s="1596">
        <v>1</v>
      </c>
      <c r="J41" s="1594" t="s">
        <v>336</v>
      </c>
      <c r="K41" s="491" t="s">
        <v>281</v>
      </c>
      <c r="L41" s="492">
        <f>X41/SUM($X$41:$X$45)</f>
        <v>0.26093796404129327</v>
      </c>
      <c r="M41" s="510">
        <v>50</v>
      </c>
      <c r="N41" s="499" t="s">
        <v>313</v>
      </c>
      <c r="O41" s="491">
        <v>0</v>
      </c>
      <c r="P41" s="495">
        <f>+T41/170.66+O41</f>
        <v>6.34665039259346</v>
      </c>
      <c r="Q41" s="495">
        <f>+U41/170.66+P41</f>
        <v>16.014996812375482</v>
      </c>
      <c r="R41" s="495">
        <f>+V41/170.66+Q41</f>
        <v>33.00784809562873</v>
      </c>
      <c r="S41" s="495">
        <f>+W41/170.66+R41</f>
        <v>50.00069937888198</v>
      </c>
      <c r="T41" s="500">
        <v>1083.119356</v>
      </c>
      <c r="U41" s="500">
        <f>1850-U43</f>
        <v>1650</v>
      </c>
      <c r="V41" s="500">
        <f>3100-V43</f>
        <v>2900</v>
      </c>
      <c r="W41" s="500">
        <f>3100-W43</f>
        <v>2900</v>
      </c>
      <c r="X41" s="500">
        <f t="shared" si="1"/>
        <v>8533.119356</v>
      </c>
      <c r="Y41" s="498" t="s">
        <v>1176</v>
      </c>
    </row>
    <row r="42" spans="2:25" ht="78.75">
      <c r="B42" s="1605"/>
      <c r="C42" s="1606"/>
      <c r="D42" s="1594"/>
      <c r="E42" s="1590"/>
      <c r="F42" s="1596"/>
      <c r="G42" s="1599"/>
      <c r="H42" s="1596"/>
      <c r="I42" s="1596"/>
      <c r="J42" s="1594"/>
      <c r="K42" s="491" t="s">
        <v>1188</v>
      </c>
      <c r="L42" s="492">
        <f>X42/SUM($X$41:$X$45)</f>
        <v>0</v>
      </c>
      <c r="M42" s="491">
        <v>10</v>
      </c>
      <c r="N42" s="499" t="s">
        <v>314</v>
      </c>
      <c r="O42" s="491">
        <v>0</v>
      </c>
      <c r="P42" s="494">
        <v>2</v>
      </c>
      <c r="Q42" s="495">
        <f>+P42+3</f>
        <v>5</v>
      </c>
      <c r="R42" s="495">
        <f>+Q42+2</f>
        <v>7</v>
      </c>
      <c r="S42" s="495">
        <f>+R42+3</f>
        <v>10</v>
      </c>
      <c r="T42" s="500"/>
      <c r="U42" s="500"/>
      <c r="V42" s="500"/>
      <c r="W42" s="500"/>
      <c r="X42" s="500">
        <f t="shared" si="1"/>
        <v>0</v>
      </c>
      <c r="Y42" s="498" t="s">
        <v>1176</v>
      </c>
    </row>
    <row r="43" spans="2:25" ht="56.25">
      <c r="B43" s="1605"/>
      <c r="C43" s="1606"/>
      <c r="D43" s="1594"/>
      <c r="E43" s="1590"/>
      <c r="F43" s="1596"/>
      <c r="G43" s="1599"/>
      <c r="H43" s="1596"/>
      <c r="I43" s="1596"/>
      <c r="J43" s="1594"/>
      <c r="K43" s="491" t="s">
        <v>280</v>
      </c>
      <c r="L43" s="492">
        <f>X43/SUM($X$41:$X$45)</f>
        <v>0.018347660672845274</v>
      </c>
      <c r="M43" s="514">
        <v>1</v>
      </c>
      <c r="N43" s="499" t="s">
        <v>315</v>
      </c>
      <c r="O43" s="511">
        <v>0</v>
      </c>
      <c r="P43" s="494"/>
      <c r="Q43" s="515">
        <v>0.33</v>
      </c>
      <c r="R43" s="515">
        <v>0.33</v>
      </c>
      <c r="S43" s="515">
        <v>0.34</v>
      </c>
      <c r="T43" s="500"/>
      <c r="U43" s="500">
        <v>200</v>
      </c>
      <c r="V43" s="500">
        <v>200</v>
      </c>
      <c r="W43" s="500">
        <v>200</v>
      </c>
      <c r="X43" s="500">
        <f t="shared" si="1"/>
        <v>600</v>
      </c>
      <c r="Y43" s="498" t="s">
        <v>1176</v>
      </c>
    </row>
    <row r="44" spans="2:25" ht="56.25">
      <c r="B44" s="1605"/>
      <c r="C44" s="1606"/>
      <c r="D44" s="1594"/>
      <c r="E44" s="1590"/>
      <c r="F44" s="1596"/>
      <c r="G44" s="1599"/>
      <c r="H44" s="1596"/>
      <c r="I44" s="1596"/>
      <c r="J44" s="1594" t="s">
        <v>337</v>
      </c>
      <c r="K44" s="491" t="s">
        <v>279</v>
      </c>
      <c r="L44" s="492">
        <f>X44/SUM($X$41:$X$45)</f>
        <v>0.2926022929194717</v>
      </c>
      <c r="M44" s="516">
        <v>5</v>
      </c>
      <c r="N44" s="499" t="s">
        <v>316</v>
      </c>
      <c r="O44" s="491">
        <v>0</v>
      </c>
      <c r="P44" s="494"/>
      <c r="Q44" s="494">
        <v>1</v>
      </c>
      <c r="R44" s="494">
        <v>2</v>
      </c>
      <c r="S44" s="494">
        <v>4</v>
      </c>
      <c r="T44" s="500">
        <v>568.597266</v>
      </c>
      <c r="U44" s="500">
        <f>4840-U45</f>
        <v>840</v>
      </c>
      <c r="V44" s="500">
        <f>9080-V45</f>
        <v>4080</v>
      </c>
      <c r="W44" s="500">
        <f>9080-W45</f>
        <v>4080</v>
      </c>
      <c r="X44" s="500">
        <f t="shared" si="1"/>
        <v>9568.597266</v>
      </c>
      <c r="Y44" s="498" t="s">
        <v>1176</v>
      </c>
    </row>
    <row r="45" spans="2:25" ht="67.5">
      <c r="B45" s="1605"/>
      <c r="C45" s="1606"/>
      <c r="D45" s="1594"/>
      <c r="E45" s="1590"/>
      <c r="F45" s="1596"/>
      <c r="G45" s="1599"/>
      <c r="H45" s="1596"/>
      <c r="I45" s="1596"/>
      <c r="J45" s="1594"/>
      <c r="K45" s="491" t="s">
        <v>278</v>
      </c>
      <c r="L45" s="492">
        <f>X45/SUM($X$41:$X$45)</f>
        <v>0.4281120823663897</v>
      </c>
      <c r="M45" s="491">
        <v>3</v>
      </c>
      <c r="N45" s="499" t="s">
        <v>317</v>
      </c>
      <c r="O45" s="511" t="s">
        <v>329</v>
      </c>
      <c r="P45" s="494">
        <v>4</v>
      </c>
      <c r="Q45" s="495">
        <f>+P45+1</f>
        <v>5</v>
      </c>
      <c r="R45" s="495">
        <f>+Q45+1</f>
        <v>6</v>
      </c>
      <c r="S45" s="495">
        <f>+R45+1</f>
        <v>7</v>
      </c>
      <c r="T45" s="500"/>
      <c r="U45" s="500">
        <v>4000</v>
      </c>
      <c r="V45" s="500">
        <v>5000</v>
      </c>
      <c r="W45" s="500">
        <v>5000</v>
      </c>
      <c r="X45" s="500">
        <f t="shared" si="1"/>
        <v>14000</v>
      </c>
      <c r="Y45" s="498" t="s">
        <v>1176</v>
      </c>
    </row>
    <row r="46" spans="2:25" ht="15">
      <c r="B46" s="1605"/>
      <c r="C46" s="1606"/>
      <c r="D46" s="491"/>
      <c r="E46" s="508"/>
      <c r="F46" s="513"/>
      <c r="G46" s="507"/>
      <c r="H46" s="513"/>
      <c r="I46" s="513"/>
      <c r="J46" s="491"/>
      <c r="K46" s="491"/>
      <c r="L46" s="492">
        <f>SUM(L41:L45)</f>
        <v>1</v>
      </c>
      <c r="M46" s="491"/>
      <c r="N46" s="499"/>
      <c r="O46" s="511"/>
      <c r="P46" s="494"/>
      <c r="Q46" s="495"/>
      <c r="R46" s="495"/>
      <c r="S46" s="495"/>
      <c r="T46" s="500"/>
      <c r="U46" s="500"/>
      <c r="V46" s="500"/>
      <c r="W46" s="500"/>
      <c r="X46" s="500"/>
      <c r="Y46" s="498"/>
    </row>
    <row r="47" spans="2:25" ht="67.5">
      <c r="B47" s="1605"/>
      <c r="C47" s="1606"/>
      <c r="D47" s="1589" t="s">
        <v>169</v>
      </c>
      <c r="E47" s="1590">
        <f>SUM(X47:X58)/SUM($X$15:$X$65)</f>
        <v>0.45567657461650096</v>
      </c>
      <c r="F47" s="1597" t="s">
        <v>1189</v>
      </c>
      <c r="G47" s="1597" t="s">
        <v>827</v>
      </c>
      <c r="H47" s="1598" t="s">
        <v>1190</v>
      </c>
      <c r="I47" s="1597" t="s">
        <v>1191</v>
      </c>
      <c r="J47" s="1595" t="s">
        <v>338</v>
      </c>
      <c r="K47" s="28" t="s">
        <v>1192</v>
      </c>
      <c r="L47" s="517">
        <f aca="true" t="shared" si="3" ref="L47:L58">X47/SUM($X$47:$X$58)</f>
        <v>0.40464826727536835</v>
      </c>
      <c r="M47" s="34">
        <v>0.9</v>
      </c>
      <c r="N47" s="353" t="s">
        <v>318</v>
      </c>
      <c r="O47" s="352" t="s">
        <v>330</v>
      </c>
      <c r="P47" s="518">
        <v>0.87</v>
      </c>
      <c r="Q47" s="518">
        <v>0.88</v>
      </c>
      <c r="R47" s="518">
        <v>0.89</v>
      </c>
      <c r="S47" s="518">
        <v>0.9</v>
      </c>
      <c r="T47" s="519">
        <v>9000</v>
      </c>
      <c r="U47" s="519">
        <v>55000</v>
      </c>
      <c r="V47" s="519">
        <v>24000</v>
      </c>
      <c r="W47" s="519">
        <v>9500</v>
      </c>
      <c r="X47" s="500">
        <f t="shared" si="1"/>
        <v>97500</v>
      </c>
      <c r="Y47" s="498" t="s">
        <v>1193</v>
      </c>
    </row>
    <row r="48" spans="2:25" ht="67.5">
      <c r="B48" s="1605"/>
      <c r="C48" s="1606"/>
      <c r="D48" s="1589"/>
      <c r="E48" s="1590"/>
      <c r="F48" s="1608"/>
      <c r="G48" s="1597"/>
      <c r="H48" s="1598"/>
      <c r="I48" s="1597"/>
      <c r="J48" s="1595"/>
      <c r="K48" s="28" t="s">
        <v>1194</v>
      </c>
      <c r="L48" s="517">
        <f t="shared" si="3"/>
        <v>0.034031956837518154</v>
      </c>
      <c r="M48" s="521">
        <v>5000</v>
      </c>
      <c r="N48" s="353" t="s">
        <v>319</v>
      </c>
      <c r="O48" s="352">
        <v>0</v>
      </c>
      <c r="P48" s="522">
        <v>950</v>
      </c>
      <c r="Q48" s="522">
        <v>2667</v>
      </c>
      <c r="R48" s="522">
        <v>3617</v>
      </c>
      <c r="S48" s="522">
        <v>5000</v>
      </c>
      <c r="T48" s="519">
        <v>1200</v>
      </c>
      <c r="U48" s="519">
        <v>4000</v>
      </c>
      <c r="V48" s="519">
        <v>1500</v>
      </c>
      <c r="W48" s="519">
        <v>1500</v>
      </c>
      <c r="X48" s="500">
        <f t="shared" si="1"/>
        <v>8200</v>
      </c>
      <c r="Y48" s="498" t="s">
        <v>1193</v>
      </c>
    </row>
    <row r="49" spans="2:25" ht="78.75">
      <c r="B49" s="1605"/>
      <c r="C49" s="1606"/>
      <c r="D49" s="1589"/>
      <c r="E49" s="1590"/>
      <c r="F49" s="1608"/>
      <c r="G49" s="1597"/>
      <c r="H49" s="1598"/>
      <c r="I49" s="1597"/>
      <c r="J49" s="1595"/>
      <c r="K49" s="28" t="s">
        <v>1195</v>
      </c>
      <c r="L49" s="517">
        <f t="shared" si="3"/>
        <v>0.2490143183233036</v>
      </c>
      <c r="M49" s="34">
        <v>0.6</v>
      </c>
      <c r="N49" s="353" t="s">
        <v>320</v>
      </c>
      <c r="O49" s="352" t="s">
        <v>331</v>
      </c>
      <c r="P49" s="517">
        <v>0.53</v>
      </c>
      <c r="Q49" s="517">
        <v>0.57</v>
      </c>
      <c r="R49" s="517">
        <v>0.58</v>
      </c>
      <c r="S49" s="517">
        <v>0.6</v>
      </c>
      <c r="T49" s="519">
        <v>37000</v>
      </c>
      <c r="U49" s="519">
        <v>5000</v>
      </c>
      <c r="V49" s="519">
        <v>9000</v>
      </c>
      <c r="W49" s="519">
        <v>9000</v>
      </c>
      <c r="X49" s="500">
        <f t="shared" si="1"/>
        <v>60000</v>
      </c>
      <c r="Y49" s="498" t="s">
        <v>1193</v>
      </c>
    </row>
    <row r="50" spans="2:25" ht="78.75">
      <c r="B50" s="1605"/>
      <c r="C50" s="1606"/>
      <c r="D50" s="1589"/>
      <c r="E50" s="1590"/>
      <c r="F50" s="1608"/>
      <c r="G50" s="1597"/>
      <c r="H50" s="1598"/>
      <c r="I50" s="1597"/>
      <c r="J50" s="1595"/>
      <c r="K50" s="28" t="s">
        <v>1196</v>
      </c>
      <c r="L50" s="517">
        <f t="shared" si="3"/>
        <v>0.028856609255032164</v>
      </c>
      <c r="M50" s="523">
        <v>10000</v>
      </c>
      <c r="N50" s="493" t="s">
        <v>321</v>
      </c>
      <c r="O50" s="352">
        <v>0</v>
      </c>
      <c r="P50" s="522">
        <v>170</v>
      </c>
      <c r="Q50" s="522">
        <v>4000</v>
      </c>
      <c r="R50" s="522">
        <v>7000</v>
      </c>
      <c r="S50" s="522">
        <v>10000</v>
      </c>
      <c r="T50" s="519">
        <v>253</v>
      </c>
      <c r="U50" s="519">
        <v>2700</v>
      </c>
      <c r="V50" s="519">
        <v>2000</v>
      </c>
      <c r="W50" s="519">
        <v>2000</v>
      </c>
      <c r="X50" s="524">
        <f t="shared" si="1"/>
        <v>6953</v>
      </c>
      <c r="Y50" s="498" t="s">
        <v>1193</v>
      </c>
    </row>
    <row r="51" spans="2:25" ht="67.5">
      <c r="B51" s="1605"/>
      <c r="C51" s="1606"/>
      <c r="D51" s="1589"/>
      <c r="E51" s="1590"/>
      <c r="F51" s="1608"/>
      <c r="G51" s="1597"/>
      <c r="H51" s="1598"/>
      <c r="I51" s="1597"/>
      <c r="J51" s="1595"/>
      <c r="K51" s="28" t="s">
        <v>277</v>
      </c>
      <c r="L51" s="517">
        <f t="shared" si="3"/>
        <v>0.0622535795808259</v>
      </c>
      <c r="M51" s="525">
        <v>0.1</v>
      </c>
      <c r="N51" s="353" t="s">
        <v>322</v>
      </c>
      <c r="O51" s="352" t="s">
        <v>332</v>
      </c>
      <c r="P51" s="517">
        <v>0.15</v>
      </c>
      <c r="Q51" s="526">
        <v>0.13</v>
      </c>
      <c r="R51" s="526">
        <v>0.12</v>
      </c>
      <c r="S51" s="526">
        <v>0.1</v>
      </c>
      <c r="T51" s="527"/>
      <c r="U51" s="527">
        <v>5000</v>
      </c>
      <c r="V51" s="527">
        <v>5000</v>
      </c>
      <c r="W51" s="527">
        <v>5000</v>
      </c>
      <c r="X51" s="500">
        <f t="shared" si="1"/>
        <v>15000</v>
      </c>
      <c r="Y51" s="498" t="s">
        <v>1193</v>
      </c>
    </row>
    <row r="52" spans="2:25" ht="123.75">
      <c r="B52" s="1605"/>
      <c r="C52" s="1606"/>
      <c r="D52" s="1589"/>
      <c r="E52" s="1590"/>
      <c r="F52" s="1608"/>
      <c r="G52" s="1597"/>
      <c r="H52" s="1598"/>
      <c r="I52" s="1597"/>
      <c r="J52" s="1588" t="s">
        <v>339</v>
      </c>
      <c r="K52" s="28" t="s">
        <v>1197</v>
      </c>
      <c r="L52" s="517">
        <f t="shared" si="3"/>
        <v>0.13280763643909524</v>
      </c>
      <c r="M52" s="528">
        <v>0.72</v>
      </c>
      <c r="N52" s="529" t="s">
        <v>323</v>
      </c>
      <c r="O52" s="530" t="s">
        <v>333</v>
      </c>
      <c r="P52" s="517">
        <v>0.58</v>
      </c>
      <c r="Q52" s="526">
        <v>0.64</v>
      </c>
      <c r="R52" s="526">
        <v>0.68</v>
      </c>
      <c r="S52" s="526">
        <v>0.72</v>
      </c>
      <c r="T52" s="527"/>
      <c r="U52" s="527">
        <v>17000</v>
      </c>
      <c r="V52" s="527">
        <v>10000</v>
      </c>
      <c r="W52" s="527">
        <v>5000</v>
      </c>
      <c r="X52" s="500">
        <f t="shared" si="1"/>
        <v>32000</v>
      </c>
      <c r="Y52" s="498" t="s">
        <v>1193</v>
      </c>
    </row>
    <row r="53" spans="2:25" ht="112.5">
      <c r="B53" s="1605"/>
      <c r="C53" s="1606"/>
      <c r="D53" s="1589"/>
      <c r="E53" s="1590"/>
      <c r="F53" s="1608"/>
      <c r="G53" s="1597"/>
      <c r="H53" s="1598"/>
      <c r="I53" s="1597"/>
      <c r="J53" s="1588"/>
      <c r="K53" s="28" t="s">
        <v>1198</v>
      </c>
      <c r="L53" s="517">
        <f t="shared" si="3"/>
        <v>0.020751193193608634</v>
      </c>
      <c r="M53" s="531">
        <v>30</v>
      </c>
      <c r="N53" s="532" t="s">
        <v>1199</v>
      </c>
      <c r="O53" s="507" t="s">
        <v>1200</v>
      </c>
      <c r="P53" s="533">
        <v>8</v>
      </c>
      <c r="Q53" s="534">
        <v>15</v>
      </c>
      <c r="R53" s="534">
        <v>21</v>
      </c>
      <c r="S53" s="534">
        <v>30</v>
      </c>
      <c r="T53" s="527">
        <v>0</v>
      </c>
      <c r="U53" s="527">
        <v>1500</v>
      </c>
      <c r="V53" s="527">
        <v>2000</v>
      </c>
      <c r="W53" s="527">
        <v>1500</v>
      </c>
      <c r="X53" s="500">
        <f t="shared" si="1"/>
        <v>5000</v>
      </c>
      <c r="Y53" s="498" t="s">
        <v>1193</v>
      </c>
    </row>
    <row r="54" spans="2:25" ht="67.5">
      <c r="B54" s="1605"/>
      <c r="C54" s="1606"/>
      <c r="D54" s="1589"/>
      <c r="E54" s="1590"/>
      <c r="F54" s="1608"/>
      <c r="G54" s="1597"/>
      <c r="H54" s="1598"/>
      <c r="I54" s="1597"/>
      <c r="J54" s="1588"/>
      <c r="K54" s="28" t="s">
        <v>1201</v>
      </c>
      <c r="L54" s="517">
        <f t="shared" si="3"/>
        <v>0.01411081137165387</v>
      </c>
      <c r="M54" s="29">
        <v>3</v>
      </c>
      <c r="N54" s="529" t="s">
        <v>1202</v>
      </c>
      <c r="O54" s="507" t="s">
        <v>1203</v>
      </c>
      <c r="P54" s="522">
        <f>2+1</f>
        <v>3</v>
      </c>
      <c r="Q54" s="522">
        <f>P54+1</f>
        <v>4</v>
      </c>
      <c r="R54" s="522">
        <f>Q54+1</f>
        <v>5</v>
      </c>
      <c r="S54" s="535"/>
      <c r="T54" s="527">
        <v>850</v>
      </c>
      <c r="U54" s="527">
        <v>850</v>
      </c>
      <c r="V54" s="527">
        <v>850</v>
      </c>
      <c r="W54" s="527">
        <v>850</v>
      </c>
      <c r="X54" s="500">
        <f t="shared" si="1"/>
        <v>3400</v>
      </c>
      <c r="Y54" s="498" t="s">
        <v>1193</v>
      </c>
    </row>
    <row r="55" spans="2:25" ht="67.5">
      <c r="B55" s="1605"/>
      <c r="C55" s="1606"/>
      <c r="D55" s="1589"/>
      <c r="E55" s="1590"/>
      <c r="F55" s="1608"/>
      <c r="G55" s="1597"/>
      <c r="H55" s="1598"/>
      <c r="I55" s="1597"/>
      <c r="J55" s="1588" t="s">
        <v>340</v>
      </c>
      <c r="K55" s="28" t="s">
        <v>276</v>
      </c>
      <c r="L55" s="517">
        <f t="shared" si="3"/>
        <v>0.02862419589126375</v>
      </c>
      <c r="M55" s="29">
        <v>1</v>
      </c>
      <c r="N55" s="536" t="s">
        <v>1204</v>
      </c>
      <c r="O55" s="537">
        <v>0</v>
      </c>
      <c r="P55" s="522">
        <v>1</v>
      </c>
      <c r="Q55" s="535">
        <v>1</v>
      </c>
      <c r="R55" s="535">
        <v>1</v>
      </c>
      <c r="S55" s="535">
        <v>1</v>
      </c>
      <c r="T55" s="527">
        <v>3122</v>
      </c>
      <c r="U55" s="527">
        <v>1975</v>
      </c>
      <c r="V55" s="527">
        <v>900</v>
      </c>
      <c r="W55" s="527">
        <v>900</v>
      </c>
      <c r="X55" s="500">
        <f t="shared" si="1"/>
        <v>6897</v>
      </c>
      <c r="Y55" s="498" t="s">
        <v>1193</v>
      </c>
    </row>
    <row r="56" spans="2:25" ht="78.75">
      <c r="B56" s="1605"/>
      <c r="C56" s="1606"/>
      <c r="D56" s="1589"/>
      <c r="E56" s="1590"/>
      <c r="F56" s="1608"/>
      <c r="G56" s="1597"/>
      <c r="H56" s="1598"/>
      <c r="I56" s="1597"/>
      <c r="J56" s="1588"/>
      <c r="K56" s="28" t="s">
        <v>275</v>
      </c>
      <c r="L56" s="517">
        <f t="shared" si="3"/>
        <v>0</v>
      </c>
      <c r="M56" s="29">
        <v>29</v>
      </c>
      <c r="N56" s="532" t="s">
        <v>1205</v>
      </c>
      <c r="O56" s="503">
        <v>0</v>
      </c>
      <c r="P56" s="522">
        <v>29</v>
      </c>
      <c r="Q56" s="535">
        <v>29</v>
      </c>
      <c r="R56" s="535">
        <v>29</v>
      </c>
      <c r="S56" s="535">
        <v>29</v>
      </c>
      <c r="T56" s="527">
        <v>0</v>
      </c>
      <c r="U56" s="527">
        <v>0</v>
      </c>
      <c r="V56" s="527">
        <v>0</v>
      </c>
      <c r="W56" s="527">
        <v>0</v>
      </c>
      <c r="X56" s="500">
        <f t="shared" si="1"/>
        <v>0</v>
      </c>
      <c r="Y56" s="498" t="s">
        <v>1193</v>
      </c>
    </row>
    <row r="57" spans="2:25" ht="78.75">
      <c r="B57" s="1605"/>
      <c r="C57" s="1606"/>
      <c r="D57" s="1589"/>
      <c r="E57" s="1590"/>
      <c r="F57" s="1608"/>
      <c r="G57" s="1597"/>
      <c r="H57" s="1598"/>
      <c r="I57" s="1597"/>
      <c r="J57" s="1588"/>
      <c r="K57" s="28" t="s">
        <v>274</v>
      </c>
      <c r="L57" s="517">
        <f t="shared" si="3"/>
        <v>0.008300477277443452</v>
      </c>
      <c r="M57" s="29">
        <v>2</v>
      </c>
      <c r="N57" s="536" t="s">
        <v>1206</v>
      </c>
      <c r="O57" s="352">
        <v>0</v>
      </c>
      <c r="P57" s="522"/>
      <c r="Q57" s="535">
        <v>1</v>
      </c>
      <c r="R57" s="535">
        <v>2</v>
      </c>
      <c r="S57" s="535">
        <v>2</v>
      </c>
      <c r="T57" s="527">
        <v>0</v>
      </c>
      <c r="U57" s="527">
        <v>1000</v>
      </c>
      <c r="V57" s="527">
        <v>1000</v>
      </c>
      <c r="W57" s="527">
        <v>0</v>
      </c>
      <c r="X57" s="500">
        <f t="shared" si="1"/>
        <v>2000</v>
      </c>
      <c r="Y57" s="498" t="s">
        <v>1193</v>
      </c>
    </row>
    <row r="58" spans="2:25" ht="78.75">
      <c r="B58" s="1605"/>
      <c r="C58" s="1606"/>
      <c r="D58" s="1589"/>
      <c r="E58" s="1590"/>
      <c r="F58" s="1608"/>
      <c r="G58" s="1597"/>
      <c r="H58" s="1598"/>
      <c r="I58" s="1597"/>
      <c r="J58" s="30" t="s">
        <v>341</v>
      </c>
      <c r="K58" s="30" t="s">
        <v>273</v>
      </c>
      <c r="L58" s="517">
        <f t="shared" si="3"/>
        <v>0.016600954554886905</v>
      </c>
      <c r="M58" s="525">
        <v>1</v>
      </c>
      <c r="N58" s="25" t="s">
        <v>324</v>
      </c>
      <c r="O58" s="29">
        <v>0</v>
      </c>
      <c r="P58" s="518">
        <v>1</v>
      </c>
      <c r="Q58" s="538">
        <v>1</v>
      </c>
      <c r="R58" s="538">
        <v>1</v>
      </c>
      <c r="S58" s="538">
        <v>1</v>
      </c>
      <c r="T58" s="527">
        <v>1000</v>
      </c>
      <c r="U58" s="527">
        <v>1000</v>
      </c>
      <c r="V58" s="527">
        <v>1000</v>
      </c>
      <c r="W58" s="527">
        <v>1000</v>
      </c>
      <c r="X58" s="500">
        <f t="shared" si="1"/>
        <v>4000</v>
      </c>
      <c r="Y58" s="498" t="s">
        <v>1193</v>
      </c>
    </row>
    <row r="59" spans="2:25" ht="15">
      <c r="B59" s="1605"/>
      <c r="C59" s="1606"/>
      <c r="D59" s="352"/>
      <c r="E59" s="508"/>
      <c r="F59" s="10"/>
      <c r="G59" s="353"/>
      <c r="H59" s="536"/>
      <c r="I59" s="353"/>
      <c r="J59" s="30"/>
      <c r="K59" s="30"/>
      <c r="L59" s="517">
        <f>SUM(L47:L58)</f>
        <v>0.9999999999999999</v>
      </c>
      <c r="M59" s="525"/>
      <c r="N59" s="25"/>
      <c r="O59" s="29"/>
      <c r="P59" s="518"/>
      <c r="Q59" s="538"/>
      <c r="R59" s="538"/>
      <c r="S59" s="538"/>
      <c r="T59" s="527"/>
      <c r="U59" s="527"/>
      <c r="V59" s="527"/>
      <c r="W59" s="527"/>
      <c r="X59" s="500"/>
      <c r="Y59" s="498"/>
    </row>
    <row r="60" spans="2:25" ht="101.25">
      <c r="B60" s="1605"/>
      <c r="C60" s="1606"/>
      <c r="D60" s="1589" t="s">
        <v>271</v>
      </c>
      <c r="E60" s="1590">
        <f>SUM(X60:X65)/SUM($X$15:$X$65)</f>
        <v>0.006240849538221429</v>
      </c>
      <c r="F60" s="1591">
        <v>0.1</v>
      </c>
      <c r="G60" s="1589" t="s">
        <v>1207</v>
      </c>
      <c r="H60" s="1591">
        <v>1</v>
      </c>
      <c r="I60" s="1591">
        <f>+H60*0.9</f>
        <v>0.9</v>
      </c>
      <c r="J60" s="1589" t="s">
        <v>342</v>
      </c>
      <c r="K60" s="352" t="s">
        <v>1208</v>
      </c>
      <c r="L60" s="539">
        <v>0.4</v>
      </c>
      <c r="M60" s="29">
        <v>60</v>
      </c>
      <c r="N60" s="25" t="s">
        <v>1209</v>
      </c>
      <c r="O60" s="29">
        <v>20</v>
      </c>
      <c r="P60" s="522">
        <v>35</v>
      </c>
      <c r="Q60" s="535">
        <v>50</v>
      </c>
      <c r="R60" s="535">
        <v>65</v>
      </c>
      <c r="S60" s="535">
        <v>80</v>
      </c>
      <c r="T60" s="527">
        <v>60</v>
      </c>
      <c r="U60" s="527">
        <v>60</v>
      </c>
      <c r="V60" s="527">
        <v>60</v>
      </c>
      <c r="W60" s="527">
        <v>60</v>
      </c>
      <c r="X60" s="527">
        <f t="shared" si="1"/>
        <v>240</v>
      </c>
      <c r="Y60" s="498" t="s">
        <v>1210</v>
      </c>
    </row>
    <row r="61" spans="2:25" ht="48.75" customHeight="1">
      <c r="B61" s="1605"/>
      <c r="C61" s="1606"/>
      <c r="D61" s="1589"/>
      <c r="E61" s="1590"/>
      <c r="F61" s="1589"/>
      <c r="G61" s="1589"/>
      <c r="H61" s="1589"/>
      <c r="I61" s="1589"/>
      <c r="J61" s="1589"/>
      <c r="K61" s="352" t="s">
        <v>1211</v>
      </c>
      <c r="L61" s="539">
        <v>0.1</v>
      </c>
      <c r="M61" s="29">
        <v>1</v>
      </c>
      <c r="N61" s="25" t="s">
        <v>1212</v>
      </c>
      <c r="O61" s="29">
        <v>0</v>
      </c>
      <c r="P61" s="522">
        <v>0</v>
      </c>
      <c r="Q61" s="535">
        <v>1</v>
      </c>
      <c r="R61" s="535">
        <v>1</v>
      </c>
      <c r="S61" s="535">
        <v>1</v>
      </c>
      <c r="T61" s="527">
        <v>0</v>
      </c>
      <c r="U61" s="527">
        <v>120</v>
      </c>
      <c r="V61" s="527">
        <v>0</v>
      </c>
      <c r="W61" s="527">
        <v>0</v>
      </c>
      <c r="X61" s="527">
        <f t="shared" si="1"/>
        <v>120</v>
      </c>
      <c r="Y61" s="498" t="s">
        <v>1210</v>
      </c>
    </row>
    <row r="62" spans="2:25" ht="88.5" customHeight="1">
      <c r="B62" s="1605"/>
      <c r="C62" s="1606"/>
      <c r="D62" s="1589"/>
      <c r="E62" s="1590"/>
      <c r="F62" s="1589"/>
      <c r="G62" s="1589"/>
      <c r="H62" s="1589"/>
      <c r="I62" s="1589"/>
      <c r="J62" s="1589"/>
      <c r="K62" s="352" t="s">
        <v>1213</v>
      </c>
      <c r="L62" s="539">
        <v>0.1</v>
      </c>
      <c r="M62" s="29">
        <v>1</v>
      </c>
      <c r="N62" s="25" t="s">
        <v>1214</v>
      </c>
      <c r="O62" s="29">
        <v>0</v>
      </c>
      <c r="P62" s="522">
        <v>0</v>
      </c>
      <c r="Q62" s="535">
        <v>1</v>
      </c>
      <c r="R62" s="535">
        <v>1</v>
      </c>
      <c r="S62" s="535">
        <v>1</v>
      </c>
      <c r="T62" s="527">
        <v>0</v>
      </c>
      <c r="U62" s="527">
        <v>60</v>
      </c>
      <c r="V62" s="527">
        <v>0</v>
      </c>
      <c r="W62" s="527">
        <v>0</v>
      </c>
      <c r="X62" s="527">
        <f t="shared" si="1"/>
        <v>60</v>
      </c>
      <c r="Y62" s="498" t="s">
        <v>1210</v>
      </c>
    </row>
    <row r="63" spans="2:25" ht="43.5" customHeight="1">
      <c r="B63" s="1605"/>
      <c r="C63" s="1606"/>
      <c r="D63" s="1589"/>
      <c r="E63" s="1590"/>
      <c r="F63" s="1589"/>
      <c r="G63" s="1589"/>
      <c r="H63" s="1589"/>
      <c r="I63" s="1589"/>
      <c r="J63" s="1588" t="s">
        <v>1215</v>
      </c>
      <c r="K63" s="1584" t="s">
        <v>1216</v>
      </c>
      <c r="L63" s="539">
        <v>0.2</v>
      </c>
      <c r="M63" s="29">
        <v>4</v>
      </c>
      <c r="N63" s="25" t="s">
        <v>325</v>
      </c>
      <c r="O63" s="352">
        <v>0</v>
      </c>
      <c r="P63" s="522">
        <v>1</v>
      </c>
      <c r="Q63" s="535">
        <v>2</v>
      </c>
      <c r="R63" s="535">
        <v>3</v>
      </c>
      <c r="S63" s="535">
        <v>4</v>
      </c>
      <c r="T63" s="527">
        <v>120</v>
      </c>
      <c r="U63" s="527">
        <v>120</v>
      </c>
      <c r="V63" s="527">
        <v>120</v>
      </c>
      <c r="W63" s="527">
        <v>120</v>
      </c>
      <c r="X63" s="527">
        <f t="shared" si="1"/>
        <v>480</v>
      </c>
      <c r="Y63" s="498" t="s">
        <v>1210</v>
      </c>
    </row>
    <row r="64" spans="2:25" ht="45" customHeight="1">
      <c r="B64" s="1605"/>
      <c r="C64" s="1606"/>
      <c r="D64" s="1589"/>
      <c r="E64" s="1590"/>
      <c r="F64" s="1589"/>
      <c r="G64" s="1589"/>
      <c r="H64" s="1589"/>
      <c r="I64" s="1589"/>
      <c r="J64" s="1588"/>
      <c r="K64" s="1584"/>
      <c r="L64" s="539">
        <v>0.2</v>
      </c>
      <c r="M64" s="29">
        <v>6</v>
      </c>
      <c r="N64" s="25" t="s">
        <v>326</v>
      </c>
      <c r="O64" s="29">
        <v>3</v>
      </c>
      <c r="P64" s="522">
        <v>4</v>
      </c>
      <c r="Q64" s="535">
        <v>5</v>
      </c>
      <c r="R64" s="535">
        <v>7</v>
      </c>
      <c r="S64" s="535">
        <v>9</v>
      </c>
      <c r="T64" s="527">
        <v>100</v>
      </c>
      <c r="U64" s="527">
        <v>100</v>
      </c>
      <c r="V64" s="527">
        <v>200</v>
      </c>
      <c r="W64" s="527">
        <v>200</v>
      </c>
      <c r="X64" s="527">
        <f t="shared" si="1"/>
        <v>600</v>
      </c>
      <c r="Y64" s="498" t="s">
        <v>1210</v>
      </c>
    </row>
    <row r="65" spans="2:25" ht="33.75">
      <c r="B65" s="1605"/>
      <c r="C65" s="1606"/>
      <c r="D65" s="1589"/>
      <c r="E65" s="1590"/>
      <c r="F65" s="1589"/>
      <c r="G65" s="1589"/>
      <c r="H65" s="1589"/>
      <c r="I65" s="1589"/>
      <c r="J65" s="1588"/>
      <c r="K65" s="29" t="s">
        <v>272</v>
      </c>
      <c r="L65" s="539">
        <v>0</v>
      </c>
      <c r="M65" s="29">
        <v>1</v>
      </c>
      <c r="N65" s="352" t="s">
        <v>1217</v>
      </c>
      <c r="O65" s="29">
        <v>0</v>
      </c>
      <c r="P65" s="522">
        <v>0</v>
      </c>
      <c r="Q65" s="535">
        <v>1</v>
      </c>
      <c r="R65" s="535">
        <v>1</v>
      </c>
      <c r="S65" s="535">
        <v>1</v>
      </c>
      <c r="T65" s="527">
        <v>0</v>
      </c>
      <c r="U65" s="527">
        <v>600</v>
      </c>
      <c r="V65" s="527">
        <v>600</v>
      </c>
      <c r="W65" s="527">
        <v>600</v>
      </c>
      <c r="X65" s="527">
        <f t="shared" si="1"/>
        <v>1800</v>
      </c>
      <c r="Y65" s="498" t="s">
        <v>1210</v>
      </c>
    </row>
    <row r="66" spans="2:25" ht="15">
      <c r="B66" s="352"/>
      <c r="C66" s="503"/>
      <c r="D66" s="352"/>
      <c r="E66" s="508"/>
      <c r="F66" s="352"/>
      <c r="G66" s="352"/>
      <c r="H66" s="352"/>
      <c r="I66" s="352"/>
      <c r="J66" s="28"/>
      <c r="K66" s="29"/>
      <c r="L66" s="539">
        <f>SUM(L60:L65)</f>
        <v>1</v>
      </c>
      <c r="M66" s="29"/>
      <c r="N66" s="352"/>
      <c r="O66" s="29"/>
      <c r="P66" s="522"/>
      <c r="Q66" s="535"/>
      <c r="R66" s="535"/>
      <c r="S66" s="535"/>
      <c r="T66" s="527"/>
      <c r="U66" s="527"/>
      <c r="V66" s="527"/>
      <c r="W66" s="527"/>
      <c r="X66" s="527"/>
      <c r="Y66" s="498"/>
    </row>
    <row r="67" spans="2:25" ht="15">
      <c r="B67" s="352"/>
      <c r="C67" s="503"/>
      <c r="D67" s="352"/>
      <c r="E67" s="508"/>
      <c r="F67" s="352"/>
      <c r="G67" s="352"/>
      <c r="H67" s="352"/>
      <c r="I67" s="352"/>
      <c r="J67" s="28"/>
      <c r="K67" s="29"/>
      <c r="L67" s="539"/>
      <c r="M67" s="29"/>
      <c r="N67" s="352"/>
      <c r="O67" s="29"/>
      <c r="P67" s="522"/>
      <c r="Q67" s="535"/>
      <c r="R67" s="535"/>
      <c r="S67" s="535"/>
      <c r="T67" s="527"/>
      <c r="U67" s="527"/>
      <c r="V67" s="527"/>
      <c r="W67" s="527"/>
      <c r="X67" s="527"/>
      <c r="Y67" s="498"/>
    </row>
    <row r="68" spans="2:25" ht="15">
      <c r="B68" s="352"/>
      <c r="C68" s="503"/>
      <c r="D68" s="352"/>
      <c r="E68" s="508"/>
      <c r="F68" s="352"/>
      <c r="G68" s="352"/>
      <c r="H68" s="352"/>
      <c r="I68" s="352"/>
      <c r="J68" s="28"/>
      <c r="K68" s="29"/>
      <c r="L68" s="539"/>
      <c r="M68" s="29"/>
      <c r="N68" s="352"/>
      <c r="O68" s="29"/>
      <c r="P68" s="522"/>
      <c r="Q68" s="535"/>
      <c r="R68" s="535"/>
      <c r="S68" s="535"/>
      <c r="T68" s="527"/>
      <c r="U68" s="527"/>
      <c r="V68" s="527"/>
      <c r="W68" s="527"/>
      <c r="X68" s="527"/>
      <c r="Y68" s="498"/>
    </row>
    <row r="69" spans="2:25" ht="15">
      <c r="B69" s="1585" t="s">
        <v>1218</v>
      </c>
      <c r="C69" s="1585"/>
      <c r="D69" s="1586" t="s">
        <v>1219</v>
      </c>
      <c r="E69" s="1587"/>
      <c r="F69" s="1587"/>
      <c r="G69" s="1587"/>
      <c r="H69" s="1587"/>
      <c r="I69" s="1587"/>
      <c r="J69" s="1587"/>
      <c r="K69" s="1587"/>
      <c r="L69" s="1587"/>
      <c r="M69" s="1587"/>
      <c r="N69" s="1587"/>
      <c r="O69" s="1587"/>
      <c r="P69" s="1587"/>
      <c r="Q69" s="1587"/>
      <c r="R69" s="1587"/>
      <c r="S69" s="1587"/>
      <c r="T69" s="1587"/>
      <c r="U69" s="1587"/>
      <c r="V69" s="1587"/>
      <c r="W69" s="1587"/>
      <c r="X69" s="1587"/>
      <c r="Y69" s="1587"/>
    </row>
    <row r="70" spans="2:25" ht="15">
      <c r="B70" s="540"/>
      <c r="C70" s="541"/>
      <c r="D70" s="1587"/>
      <c r="E70" s="1587"/>
      <c r="F70" s="1587"/>
      <c r="G70" s="1587"/>
      <c r="H70" s="1587"/>
      <c r="I70" s="1587"/>
      <c r="J70" s="1587"/>
      <c r="K70" s="1587"/>
      <c r="L70" s="1587"/>
      <c r="M70" s="1587"/>
      <c r="N70" s="1587"/>
      <c r="O70" s="1587"/>
      <c r="P70" s="1587"/>
      <c r="Q70" s="1587"/>
      <c r="R70" s="1587"/>
      <c r="S70" s="1587"/>
      <c r="T70" s="1587"/>
      <c r="U70" s="1587"/>
      <c r="V70" s="1587"/>
      <c r="W70" s="1587"/>
      <c r="X70" s="1587"/>
      <c r="Y70" s="1587"/>
    </row>
    <row r="71" spans="2:25" ht="15">
      <c r="B71" s="540"/>
      <c r="C71" s="541"/>
      <c r="D71" s="1587"/>
      <c r="E71" s="1587"/>
      <c r="F71" s="1587"/>
      <c r="G71" s="1587"/>
      <c r="H71" s="1587"/>
      <c r="I71" s="1587"/>
      <c r="J71" s="1587"/>
      <c r="K71" s="1587"/>
      <c r="L71" s="1587"/>
      <c r="M71" s="1587"/>
      <c r="N71" s="1587"/>
      <c r="O71" s="1587"/>
      <c r="P71" s="1587"/>
      <c r="Q71" s="1587"/>
      <c r="R71" s="1587"/>
      <c r="S71" s="1587"/>
      <c r="T71" s="1587"/>
      <c r="U71" s="1587"/>
      <c r="V71" s="1587"/>
      <c r="W71" s="1587"/>
      <c r="X71" s="1587"/>
      <c r="Y71" s="1587"/>
    </row>
    <row r="72" spans="2:25" ht="15">
      <c r="B72" s="540"/>
      <c r="C72" s="541"/>
      <c r="D72" s="1587"/>
      <c r="E72" s="1587"/>
      <c r="F72" s="1587"/>
      <c r="G72" s="1587"/>
      <c r="H72" s="1587"/>
      <c r="I72" s="1587"/>
      <c r="J72" s="1587"/>
      <c r="K72" s="1587"/>
      <c r="L72" s="1587"/>
      <c r="M72" s="1587"/>
      <c r="N72" s="1587"/>
      <c r="O72" s="1587"/>
      <c r="P72" s="1587"/>
      <c r="Q72" s="1587"/>
      <c r="R72" s="1587"/>
      <c r="S72" s="1587"/>
      <c r="T72" s="1587"/>
      <c r="U72" s="1587"/>
      <c r="V72" s="1587"/>
      <c r="W72" s="1587"/>
      <c r="X72" s="1587"/>
      <c r="Y72" s="1587"/>
    </row>
    <row r="73" spans="2:25" ht="15">
      <c r="B73" s="540"/>
      <c r="C73" s="541"/>
      <c r="D73" s="1587"/>
      <c r="E73" s="1587"/>
      <c r="F73" s="1587"/>
      <c r="G73" s="1587"/>
      <c r="H73" s="1587"/>
      <c r="I73" s="1587"/>
      <c r="J73" s="1587"/>
      <c r="K73" s="1587"/>
      <c r="L73" s="1587"/>
      <c r="M73" s="1587"/>
      <c r="N73" s="1587"/>
      <c r="O73" s="1587"/>
      <c r="P73" s="1587"/>
      <c r="Q73" s="1587"/>
      <c r="R73" s="1587"/>
      <c r="S73" s="1587"/>
      <c r="T73" s="1587"/>
      <c r="U73" s="1587"/>
      <c r="V73" s="1587"/>
      <c r="W73" s="1587"/>
      <c r="X73" s="1587"/>
      <c r="Y73" s="1587"/>
    </row>
    <row r="74" spans="2:25" ht="15">
      <c r="B74" s="540"/>
      <c r="C74" s="541"/>
      <c r="D74" s="1587"/>
      <c r="E74" s="1587"/>
      <c r="F74" s="1587"/>
      <c r="G74" s="1587"/>
      <c r="H74" s="1587"/>
      <c r="I74" s="1587"/>
      <c r="J74" s="1587"/>
      <c r="K74" s="1587"/>
      <c r="L74" s="1587"/>
      <c r="M74" s="1587"/>
      <c r="N74" s="1587"/>
      <c r="O74" s="1587"/>
      <c r="P74" s="1587"/>
      <c r="Q74" s="1587"/>
      <c r="R74" s="1587"/>
      <c r="S74" s="1587"/>
      <c r="T74" s="1587"/>
      <c r="U74" s="1587"/>
      <c r="V74" s="1587"/>
      <c r="W74" s="1587"/>
      <c r="X74" s="1587"/>
      <c r="Y74" s="1587"/>
    </row>
    <row r="75" spans="2:25" ht="15">
      <c r="B75" s="540"/>
      <c r="C75" s="541"/>
      <c r="D75" s="1587"/>
      <c r="E75" s="1587"/>
      <c r="F75" s="1587"/>
      <c r="G75" s="1587"/>
      <c r="H75" s="1587"/>
      <c r="I75" s="1587"/>
      <c r="J75" s="1587"/>
      <c r="K75" s="1587"/>
      <c r="L75" s="1587"/>
      <c r="M75" s="1587"/>
      <c r="N75" s="1587"/>
      <c r="O75" s="1587"/>
      <c r="P75" s="1587"/>
      <c r="Q75" s="1587"/>
      <c r="R75" s="1587"/>
      <c r="S75" s="1587"/>
      <c r="T75" s="1587"/>
      <c r="U75" s="1587"/>
      <c r="V75" s="1587"/>
      <c r="W75" s="1587"/>
      <c r="X75" s="1587"/>
      <c r="Y75" s="1587"/>
    </row>
    <row r="76" spans="2:25" ht="9" customHeight="1">
      <c r="B76" s="540"/>
      <c r="C76" s="541"/>
      <c r="D76" s="1587"/>
      <c r="E76" s="1587"/>
      <c r="F76" s="1587"/>
      <c r="G76" s="1587"/>
      <c r="H76" s="1587"/>
      <c r="I76" s="1587"/>
      <c r="J76" s="1587"/>
      <c r="K76" s="1587"/>
      <c r="L76" s="1587"/>
      <c r="M76" s="1587"/>
      <c r="N76" s="1587"/>
      <c r="O76" s="1587"/>
      <c r="P76" s="1587"/>
      <c r="Q76" s="1587"/>
      <c r="R76" s="1587"/>
      <c r="S76" s="1587"/>
      <c r="T76" s="1587"/>
      <c r="U76" s="1587"/>
      <c r="V76" s="1587"/>
      <c r="W76" s="1587"/>
      <c r="X76" s="1587"/>
      <c r="Y76" s="1587"/>
    </row>
    <row r="77" spans="2:25" ht="15" hidden="1">
      <c r="B77" s="540"/>
      <c r="C77" s="541"/>
      <c r="D77" s="1587"/>
      <c r="E77" s="1587"/>
      <c r="F77" s="1587"/>
      <c r="G77" s="1587"/>
      <c r="H77" s="1587"/>
      <c r="I77" s="1587"/>
      <c r="J77" s="1587"/>
      <c r="K77" s="1587"/>
      <c r="L77" s="1587"/>
      <c r="M77" s="1587"/>
      <c r="N77" s="1587"/>
      <c r="O77" s="1587"/>
      <c r="P77" s="1587"/>
      <c r="Q77" s="1587"/>
      <c r="R77" s="1587"/>
      <c r="S77" s="1587"/>
      <c r="T77" s="1587"/>
      <c r="U77" s="1587"/>
      <c r="V77" s="1587"/>
      <c r="W77" s="1587"/>
      <c r="X77" s="1587"/>
      <c r="Y77" s="1587"/>
    </row>
    <row r="78" spans="2:25" ht="15" hidden="1">
      <c r="B78" s="540"/>
      <c r="C78" s="541"/>
      <c r="D78" s="1587"/>
      <c r="E78" s="1587"/>
      <c r="F78" s="1587"/>
      <c r="G78" s="1587"/>
      <c r="H78" s="1587"/>
      <c r="I78" s="1587"/>
      <c r="J78" s="1587"/>
      <c r="K78" s="1587"/>
      <c r="L78" s="1587"/>
      <c r="M78" s="1587"/>
      <c r="N78" s="1587"/>
      <c r="O78" s="1587"/>
      <c r="P78" s="1587"/>
      <c r="Q78" s="1587"/>
      <c r="R78" s="1587"/>
      <c r="S78" s="1587"/>
      <c r="T78" s="1587"/>
      <c r="U78" s="1587"/>
      <c r="V78" s="1587"/>
      <c r="W78" s="1587"/>
      <c r="X78" s="1587"/>
      <c r="Y78" s="1587"/>
    </row>
    <row r="79" spans="2:25" ht="15" hidden="1">
      <c r="B79" s="540"/>
      <c r="C79" s="541"/>
      <c r="D79" s="1587"/>
      <c r="E79" s="1587"/>
      <c r="F79" s="1587"/>
      <c r="G79" s="1587"/>
      <c r="H79" s="1587"/>
      <c r="I79" s="1587"/>
      <c r="J79" s="1587"/>
      <c r="K79" s="1587"/>
      <c r="L79" s="1587"/>
      <c r="M79" s="1587"/>
      <c r="N79" s="1587"/>
      <c r="O79" s="1587"/>
      <c r="P79" s="1587"/>
      <c r="Q79" s="1587"/>
      <c r="R79" s="1587"/>
      <c r="S79" s="1587"/>
      <c r="T79" s="1587"/>
      <c r="U79" s="1587"/>
      <c r="V79" s="1587"/>
      <c r="W79" s="1587"/>
      <c r="X79" s="1587"/>
      <c r="Y79" s="1587"/>
    </row>
    <row r="80" spans="2:25" ht="15" hidden="1">
      <c r="B80" s="540"/>
      <c r="C80" s="541"/>
      <c r="D80" s="1587"/>
      <c r="E80" s="1587"/>
      <c r="F80" s="1587"/>
      <c r="G80" s="1587"/>
      <c r="H80" s="1587"/>
      <c r="I80" s="1587"/>
      <c r="J80" s="1587"/>
      <c r="K80" s="1587"/>
      <c r="L80" s="1587"/>
      <c r="M80" s="1587"/>
      <c r="N80" s="1587"/>
      <c r="O80" s="1587"/>
      <c r="P80" s="1587"/>
      <c r="Q80" s="1587"/>
      <c r="R80" s="1587"/>
      <c r="S80" s="1587"/>
      <c r="T80" s="1587"/>
      <c r="U80" s="1587"/>
      <c r="V80" s="1587"/>
      <c r="W80" s="1587"/>
      <c r="X80" s="1587"/>
      <c r="Y80" s="1587"/>
    </row>
    <row r="81" spans="3:25" ht="15" hidden="1">
      <c r="C81" s="542"/>
      <c r="D81" s="1587"/>
      <c r="E81" s="1587"/>
      <c r="F81" s="1587"/>
      <c r="G81" s="1587"/>
      <c r="H81" s="1587"/>
      <c r="I81" s="1587"/>
      <c r="J81" s="1587"/>
      <c r="K81" s="1587"/>
      <c r="L81" s="1587"/>
      <c r="M81" s="1587"/>
      <c r="N81" s="1587"/>
      <c r="O81" s="1587"/>
      <c r="P81" s="1587"/>
      <c r="Q81" s="1587"/>
      <c r="R81" s="1587"/>
      <c r="S81" s="1587"/>
      <c r="T81" s="1587"/>
      <c r="U81" s="1587"/>
      <c r="V81" s="1587"/>
      <c r="W81" s="1587"/>
      <c r="X81" s="1587"/>
      <c r="Y81" s="1587"/>
    </row>
  </sheetData>
  <sheetProtection/>
  <mergeCells count="83">
    <mergeCell ref="B2:G6"/>
    <mergeCell ref="H2:S4"/>
    <mergeCell ref="T2:Y4"/>
    <mergeCell ref="H5:S5"/>
    <mergeCell ref="T5:Y5"/>
    <mergeCell ref="H6:S6"/>
    <mergeCell ref="T6:Y6"/>
    <mergeCell ref="N8:X8"/>
    <mergeCell ref="C8:M8"/>
    <mergeCell ref="C9:X9"/>
    <mergeCell ref="C10:Y10"/>
    <mergeCell ref="T12:X12"/>
    <mergeCell ref="N12:S12"/>
    <mergeCell ref="L13:L14"/>
    <mergeCell ref="B12:F12"/>
    <mergeCell ref="G12:I12"/>
    <mergeCell ref="J12:M12"/>
    <mergeCell ref="J13:J14"/>
    <mergeCell ref="B13:B14"/>
    <mergeCell ref="C13:C14"/>
    <mergeCell ref="D13:D14"/>
    <mergeCell ref="E13:E14"/>
    <mergeCell ref="F13:F14"/>
    <mergeCell ref="J29:J30"/>
    <mergeCell ref="M13:M14"/>
    <mergeCell ref="N13:N14"/>
    <mergeCell ref="O13:O14"/>
    <mergeCell ref="G15:G27"/>
    <mergeCell ref="H15:H27"/>
    <mergeCell ref="G13:G14"/>
    <mergeCell ref="H13:H14"/>
    <mergeCell ref="I13:I14"/>
    <mergeCell ref="K13:K14"/>
    <mergeCell ref="E29:E30"/>
    <mergeCell ref="F29:F30"/>
    <mergeCell ref="D47:D58"/>
    <mergeCell ref="E47:E58"/>
    <mergeCell ref="F47:F58"/>
    <mergeCell ref="I29:I30"/>
    <mergeCell ref="I15:I27"/>
    <mergeCell ref="J16:J21"/>
    <mergeCell ref="K18:K19"/>
    <mergeCell ref="J22:J27"/>
    <mergeCell ref="B15:B65"/>
    <mergeCell ref="C15:C65"/>
    <mergeCell ref="D15:D27"/>
    <mergeCell ref="E15:E27"/>
    <mergeCell ref="F15:F27"/>
    <mergeCell ref="D29:D30"/>
    <mergeCell ref="D41:D45"/>
    <mergeCell ref="E41:E45"/>
    <mergeCell ref="F41:F45"/>
    <mergeCell ref="G41:G45"/>
    <mergeCell ref="D34:D39"/>
    <mergeCell ref="E34:E39"/>
    <mergeCell ref="F34:F39"/>
    <mergeCell ref="G34:G39"/>
    <mergeCell ref="G47:G58"/>
    <mergeCell ref="H47:H58"/>
    <mergeCell ref="I47:I58"/>
    <mergeCell ref="H60:H65"/>
    <mergeCell ref="I60:I65"/>
    <mergeCell ref="G29:G30"/>
    <mergeCell ref="H29:H30"/>
    <mergeCell ref="H41:H45"/>
    <mergeCell ref="H34:H39"/>
    <mergeCell ref="I34:I39"/>
    <mergeCell ref="J35:J39"/>
    <mergeCell ref="J41:J43"/>
    <mergeCell ref="J44:J45"/>
    <mergeCell ref="J47:J51"/>
    <mergeCell ref="J52:J54"/>
    <mergeCell ref="I41:I45"/>
    <mergeCell ref="K63:K64"/>
    <mergeCell ref="B69:C69"/>
    <mergeCell ref="D69:Y81"/>
    <mergeCell ref="J55:J57"/>
    <mergeCell ref="D60:D65"/>
    <mergeCell ref="E60:E65"/>
    <mergeCell ref="F60:F65"/>
    <mergeCell ref="G60:G65"/>
    <mergeCell ref="J60:J62"/>
    <mergeCell ref="J63:J65"/>
  </mergeCells>
  <printOptions/>
  <pageMargins left="1.12" right="0.7086614173228347" top="0.7480314960629921" bottom="0.7480314960629921" header="0.31496062992125984" footer="0.31496062992125984"/>
  <pageSetup horizontalDpi="600" verticalDpi="600" orientation="landscape" paperSize="5" scale="55"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B1:Y52"/>
  <sheetViews>
    <sheetView showGridLines="0" showRowColHeaders="0" zoomScalePageLayoutView="0" workbookViewId="0" topLeftCell="A1">
      <selection activeCell="B8" sqref="B8:C10"/>
    </sheetView>
  </sheetViews>
  <sheetFormatPr defaultColWidth="11.421875" defaultRowHeight="15"/>
  <cols>
    <col min="1" max="1" width="3.421875" style="0" customWidth="1"/>
    <col min="12" max="12" width="9.28125" style="0" customWidth="1"/>
    <col min="13" max="13" width="8.00390625" style="0" customWidth="1"/>
    <col min="15" max="15" width="8.421875" style="0" customWidth="1"/>
    <col min="16" max="16" width="6.57421875" style="0" customWidth="1"/>
    <col min="17" max="17" width="6.7109375" style="0" customWidth="1"/>
    <col min="18" max="18" width="7.7109375" style="0" customWidth="1"/>
    <col min="19" max="19" width="8.140625" style="0" customWidth="1"/>
    <col min="20" max="20" width="6.8515625" style="0" customWidth="1"/>
    <col min="21" max="21" width="8.28125" style="0" customWidth="1"/>
    <col min="22" max="22" width="7.7109375" style="0" customWidth="1"/>
    <col min="23" max="23" width="6.28125" style="0" customWidth="1"/>
    <col min="24" max="24" width="8.00390625" style="0" customWidth="1"/>
  </cols>
  <sheetData>
    <row r="1" spans="2:25" ht="15">
      <c r="B1" s="3"/>
      <c r="C1" s="3"/>
      <c r="D1" s="256"/>
      <c r="E1" s="3"/>
      <c r="F1" s="3"/>
      <c r="G1" s="3"/>
      <c r="H1" s="3"/>
      <c r="I1" s="3"/>
      <c r="J1" s="256"/>
      <c r="K1" s="3"/>
      <c r="L1" s="3"/>
      <c r="M1" s="3"/>
      <c r="N1" s="3"/>
      <c r="O1" s="3"/>
      <c r="P1" s="3"/>
      <c r="Q1" s="3"/>
      <c r="R1" s="3"/>
      <c r="S1" s="3"/>
      <c r="T1" s="3"/>
      <c r="U1" s="3"/>
      <c r="V1" s="3"/>
      <c r="W1" s="3"/>
      <c r="X1" s="3"/>
      <c r="Y1" s="259"/>
    </row>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ht="15">
      <c r="B7" s="260"/>
      <c r="C7" s="260"/>
      <c r="D7" s="261"/>
      <c r="E7" s="260"/>
      <c r="F7" s="260"/>
      <c r="G7" s="260"/>
      <c r="H7" s="260"/>
      <c r="I7" s="260"/>
      <c r="J7" s="261"/>
      <c r="K7" s="260"/>
      <c r="L7" s="260"/>
      <c r="M7" s="260"/>
      <c r="N7" s="262"/>
      <c r="O7" s="262"/>
      <c r="P7" s="262"/>
      <c r="Q7" s="262"/>
      <c r="R7" s="262"/>
      <c r="S7" s="262"/>
      <c r="T7" s="262"/>
      <c r="U7" s="262"/>
      <c r="V7" s="262"/>
      <c r="W7" s="262"/>
      <c r="X7" s="262"/>
      <c r="Y7" s="2"/>
    </row>
    <row r="8" spans="2:25" ht="15">
      <c r="B8" s="1041" t="s">
        <v>103</v>
      </c>
      <c r="C8" s="1046"/>
      <c r="D8" s="1574" t="s">
        <v>1220</v>
      </c>
      <c r="E8" s="1575"/>
      <c r="F8" s="1575"/>
      <c r="G8" s="1575"/>
      <c r="H8" s="1575"/>
      <c r="I8" s="1575"/>
      <c r="J8" s="1575"/>
      <c r="K8" s="1575"/>
      <c r="L8" s="1575"/>
      <c r="M8" s="1575"/>
      <c r="N8" s="1575"/>
      <c r="O8" s="1575"/>
      <c r="P8" s="1575"/>
      <c r="Q8" s="1575"/>
      <c r="R8" s="1575"/>
      <c r="S8" s="1575"/>
      <c r="T8" s="1575"/>
      <c r="U8" s="1575"/>
      <c r="V8" s="1575"/>
      <c r="W8" s="1575"/>
      <c r="X8" s="1575"/>
      <c r="Y8" s="1657"/>
    </row>
    <row r="9" spans="2:25" ht="15">
      <c r="B9" s="1041" t="s">
        <v>154</v>
      </c>
      <c r="C9" s="1046"/>
      <c r="D9" s="1034" t="s">
        <v>1221</v>
      </c>
      <c r="E9" s="1035"/>
      <c r="F9" s="1035"/>
      <c r="G9" s="1035"/>
      <c r="H9" s="1035"/>
      <c r="I9" s="1035"/>
      <c r="J9" s="1035"/>
      <c r="K9" s="1035"/>
      <c r="L9" s="1035"/>
      <c r="M9" s="1035"/>
      <c r="N9" s="1035"/>
      <c r="O9" s="1035"/>
      <c r="P9" s="1035"/>
      <c r="Q9" s="1035"/>
      <c r="R9" s="1035"/>
      <c r="S9" s="1035"/>
      <c r="T9" s="1035"/>
      <c r="U9" s="1035"/>
      <c r="V9" s="1035"/>
      <c r="W9" s="1035"/>
      <c r="X9" s="1035"/>
      <c r="Y9" s="1036"/>
    </row>
    <row r="10" spans="2:25" ht="23.25" customHeight="1">
      <c r="B10" s="1413" t="s">
        <v>1385</v>
      </c>
      <c r="C10" s="1414"/>
      <c r="D10" s="1659" t="s">
        <v>1389</v>
      </c>
      <c r="E10" s="1660"/>
      <c r="F10" s="1660"/>
      <c r="G10" s="1660"/>
      <c r="H10" s="1660"/>
      <c r="I10" s="1660"/>
      <c r="J10" s="1660"/>
      <c r="K10" s="1660"/>
      <c r="L10" s="1660"/>
      <c r="M10" s="1660"/>
      <c r="N10" s="1660"/>
      <c r="O10" s="1660"/>
      <c r="P10" s="1660"/>
      <c r="Q10" s="1660"/>
      <c r="R10" s="1660"/>
      <c r="S10" s="1660"/>
      <c r="T10" s="1660"/>
      <c r="U10" s="1660"/>
      <c r="V10" s="1660"/>
      <c r="W10" s="1660"/>
      <c r="X10" s="1660"/>
      <c r="Y10" s="1661"/>
    </row>
    <row r="11" spans="2:25" ht="15">
      <c r="B11" s="5"/>
      <c r="C11" s="5"/>
      <c r="D11" s="264"/>
      <c r="E11" s="5"/>
      <c r="F11" s="5"/>
      <c r="G11" s="5"/>
      <c r="H11" s="5"/>
      <c r="I11" s="5"/>
      <c r="J11" s="264"/>
      <c r="K11" s="5"/>
      <c r="L11" s="5"/>
      <c r="M11" s="5"/>
      <c r="N11" s="4"/>
      <c r="O11" s="4"/>
      <c r="P11" s="4"/>
      <c r="Q11" s="4"/>
      <c r="R11" s="4"/>
      <c r="S11" s="4"/>
      <c r="T11" s="4"/>
      <c r="U11" s="4"/>
      <c r="V11" s="4"/>
      <c r="W11" s="4"/>
      <c r="X11" s="4"/>
      <c r="Y11" s="2"/>
    </row>
    <row r="12" spans="2:25" ht="15">
      <c r="B12" s="5"/>
      <c r="C12" s="5"/>
      <c r="D12" s="264"/>
      <c r="E12" s="5"/>
      <c r="F12" s="5"/>
      <c r="G12" s="5"/>
      <c r="H12" s="5"/>
      <c r="I12" s="5"/>
      <c r="J12" s="264"/>
      <c r="K12" s="5"/>
      <c r="L12" s="5"/>
      <c r="M12" s="5"/>
      <c r="N12" s="5"/>
      <c r="O12" s="5"/>
      <c r="P12" s="5"/>
      <c r="Q12" s="5"/>
      <c r="R12" s="5"/>
      <c r="S12" s="5"/>
      <c r="T12" s="5"/>
      <c r="U12" s="5"/>
      <c r="V12" s="5"/>
      <c r="W12" s="5"/>
      <c r="X12" s="5"/>
      <c r="Y12" s="5"/>
    </row>
    <row r="13" spans="2:25" ht="15">
      <c r="B13" s="1614"/>
      <c r="C13" s="1614"/>
      <c r="D13" s="1614"/>
      <c r="E13" s="1614"/>
      <c r="F13" s="1614"/>
      <c r="G13" s="1615" t="s">
        <v>1010</v>
      </c>
      <c r="H13" s="1616"/>
      <c r="I13" s="1616"/>
      <c r="J13" s="1614"/>
      <c r="K13" s="1614"/>
      <c r="L13" s="1614"/>
      <c r="M13" s="1614"/>
      <c r="N13" s="1624" t="s">
        <v>1011</v>
      </c>
      <c r="O13" s="1624"/>
      <c r="P13" s="1624"/>
      <c r="Q13" s="1624"/>
      <c r="R13" s="1624"/>
      <c r="S13" s="1624"/>
      <c r="T13" s="1624" t="s">
        <v>1012</v>
      </c>
      <c r="U13" s="1624"/>
      <c r="V13" s="1624"/>
      <c r="W13" s="1624"/>
      <c r="X13" s="1624"/>
      <c r="Y13" s="1"/>
    </row>
    <row r="14" spans="2:25" ht="45">
      <c r="B14" s="1625" t="s">
        <v>1013</v>
      </c>
      <c r="C14" s="1626" t="s">
        <v>1014</v>
      </c>
      <c r="D14" s="1625" t="s">
        <v>1015</v>
      </c>
      <c r="E14" s="1626" t="s">
        <v>140</v>
      </c>
      <c r="F14" s="1626" t="s">
        <v>141</v>
      </c>
      <c r="G14" s="1625" t="s">
        <v>1016</v>
      </c>
      <c r="H14" s="1625" t="s">
        <v>142</v>
      </c>
      <c r="I14" s="1625" t="s">
        <v>143</v>
      </c>
      <c r="J14" s="1625" t="s">
        <v>1017</v>
      </c>
      <c r="K14" s="1628" t="s">
        <v>1018</v>
      </c>
      <c r="L14" s="1626" t="s">
        <v>140</v>
      </c>
      <c r="M14" s="758" t="s">
        <v>1019</v>
      </c>
      <c r="N14" s="1625" t="s">
        <v>104</v>
      </c>
      <c r="O14" s="758" t="s">
        <v>142</v>
      </c>
      <c r="P14" s="758" t="s">
        <v>144</v>
      </c>
      <c r="Q14" s="758" t="s">
        <v>144</v>
      </c>
      <c r="R14" s="758" t="s">
        <v>145</v>
      </c>
      <c r="S14" s="758" t="s">
        <v>144</v>
      </c>
      <c r="T14" s="1625">
        <v>2012</v>
      </c>
      <c r="U14" s="1625">
        <v>2013</v>
      </c>
      <c r="V14" s="1625">
        <v>2014</v>
      </c>
      <c r="W14" s="1625">
        <v>2015</v>
      </c>
      <c r="X14" s="1625" t="s">
        <v>146</v>
      </c>
      <c r="Y14" s="1625" t="s">
        <v>147</v>
      </c>
    </row>
    <row r="15" spans="2:25" ht="15">
      <c r="B15" s="1625"/>
      <c r="C15" s="1627"/>
      <c r="D15" s="1625"/>
      <c r="E15" s="1627"/>
      <c r="F15" s="1627"/>
      <c r="G15" s="1625"/>
      <c r="H15" s="1625"/>
      <c r="I15" s="1625"/>
      <c r="J15" s="1625"/>
      <c r="K15" s="1629"/>
      <c r="L15" s="1627"/>
      <c r="M15" s="758" t="s">
        <v>1020</v>
      </c>
      <c r="N15" s="1625"/>
      <c r="O15" s="294">
        <v>2011</v>
      </c>
      <c r="P15" s="294">
        <v>2012</v>
      </c>
      <c r="Q15" s="294">
        <v>2013</v>
      </c>
      <c r="R15" s="294">
        <v>2014</v>
      </c>
      <c r="S15" s="294">
        <v>2015</v>
      </c>
      <c r="T15" s="1625"/>
      <c r="U15" s="1625"/>
      <c r="V15" s="1625"/>
      <c r="W15" s="1625"/>
      <c r="X15" s="1625"/>
      <c r="Y15" s="1625"/>
    </row>
    <row r="16" spans="2:25" ht="45">
      <c r="B16" s="1632" t="s">
        <v>1222</v>
      </c>
      <c r="C16" s="1635">
        <v>0.46</v>
      </c>
      <c r="D16" s="1638" t="s">
        <v>1223</v>
      </c>
      <c r="E16" s="1640">
        <v>0.4</v>
      </c>
      <c r="F16" s="1630">
        <v>3</v>
      </c>
      <c r="G16" s="1630" t="s">
        <v>1004</v>
      </c>
      <c r="H16" s="1630">
        <v>0</v>
      </c>
      <c r="I16" s="1630">
        <f>F16+H16</f>
        <v>3</v>
      </c>
      <c r="J16" s="1630" t="s">
        <v>1005</v>
      </c>
      <c r="K16" s="237" t="s">
        <v>345</v>
      </c>
      <c r="L16" s="687">
        <v>15</v>
      </c>
      <c r="M16" s="247">
        <v>1</v>
      </c>
      <c r="N16" s="247" t="s">
        <v>355</v>
      </c>
      <c r="O16" s="543" t="s">
        <v>1006</v>
      </c>
      <c r="P16" s="544">
        <v>0.25</v>
      </c>
      <c r="Q16" s="299">
        <v>0.5</v>
      </c>
      <c r="R16" s="299">
        <v>0.75</v>
      </c>
      <c r="S16" s="299">
        <v>1</v>
      </c>
      <c r="T16" s="1643">
        <v>60</v>
      </c>
      <c r="U16" s="1645">
        <v>63</v>
      </c>
      <c r="V16" s="1630">
        <v>66</v>
      </c>
      <c r="W16" s="1630">
        <v>69</v>
      </c>
      <c r="X16" s="1630">
        <f>SUM(T16:W16)</f>
        <v>258</v>
      </c>
      <c r="Y16" s="1630" t="s">
        <v>1009</v>
      </c>
    </row>
    <row r="17" spans="2:25" ht="72">
      <c r="B17" s="1633"/>
      <c r="C17" s="1636"/>
      <c r="D17" s="1639"/>
      <c r="E17" s="1641"/>
      <c r="F17" s="1642"/>
      <c r="G17" s="1642"/>
      <c r="H17" s="1642"/>
      <c r="I17" s="1642"/>
      <c r="J17" s="1642"/>
      <c r="K17" s="545" t="s">
        <v>346</v>
      </c>
      <c r="L17" s="247">
        <v>10</v>
      </c>
      <c r="M17" s="687">
        <v>1</v>
      </c>
      <c r="N17" s="545" t="s">
        <v>356</v>
      </c>
      <c r="O17" s="299">
        <v>0</v>
      </c>
      <c r="P17" s="299">
        <v>0.25</v>
      </c>
      <c r="Q17" s="299">
        <v>0.5</v>
      </c>
      <c r="R17" s="299">
        <v>0.75</v>
      </c>
      <c r="S17" s="299">
        <v>1</v>
      </c>
      <c r="T17" s="1644"/>
      <c r="U17" s="1646"/>
      <c r="V17" s="1631"/>
      <c r="W17" s="1631"/>
      <c r="X17" s="1631"/>
      <c r="Y17" s="1631"/>
    </row>
    <row r="18" spans="2:25" ht="45">
      <c r="B18" s="1633"/>
      <c r="C18" s="1636"/>
      <c r="D18" s="1639"/>
      <c r="E18" s="1641"/>
      <c r="F18" s="1642"/>
      <c r="G18" s="1642"/>
      <c r="H18" s="1642"/>
      <c r="I18" s="1642"/>
      <c r="J18" s="1630" t="s">
        <v>343</v>
      </c>
      <c r="K18" s="1630" t="s">
        <v>347</v>
      </c>
      <c r="L18" s="247">
        <v>5</v>
      </c>
      <c r="M18" s="247">
        <v>18</v>
      </c>
      <c r="N18" s="247" t="s">
        <v>1007</v>
      </c>
      <c r="O18" s="794">
        <v>12</v>
      </c>
      <c r="P18" s="688">
        <v>15</v>
      </c>
      <c r="Q18" s="688">
        <v>21</v>
      </c>
      <c r="R18" s="688">
        <v>27</v>
      </c>
      <c r="S18" s="688">
        <v>30</v>
      </c>
      <c r="T18" s="1643">
        <v>40</v>
      </c>
      <c r="U18" s="1630">
        <v>210</v>
      </c>
      <c r="V18" s="1630">
        <v>221</v>
      </c>
      <c r="W18" s="1630">
        <v>231</v>
      </c>
      <c r="X18" s="1630">
        <f>W18+V18+U18+T18</f>
        <v>702</v>
      </c>
      <c r="Y18" s="1630" t="s">
        <v>1009</v>
      </c>
    </row>
    <row r="19" spans="2:25" ht="45">
      <c r="B19" s="1633"/>
      <c r="C19" s="1636"/>
      <c r="D19" s="1639"/>
      <c r="E19" s="1641"/>
      <c r="F19" s="1642"/>
      <c r="G19" s="1642"/>
      <c r="H19" s="1642"/>
      <c r="I19" s="1642"/>
      <c r="J19" s="1642"/>
      <c r="K19" s="1648"/>
      <c r="L19" s="254">
        <v>5</v>
      </c>
      <c r="M19" s="247">
        <v>30</v>
      </c>
      <c r="N19" s="237" t="s">
        <v>1008</v>
      </c>
      <c r="O19" s="795">
        <v>0</v>
      </c>
      <c r="P19" s="796">
        <v>7.5</v>
      </c>
      <c r="Q19" s="796">
        <v>15</v>
      </c>
      <c r="R19" s="796">
        <v>22.5</v>
      </c>
      <c r="S19" s="796">
        <v>30</v>
      </c>
      <c r="T19" s="1647"/>
      <c r="U19" s="1642"/>
      <c r="V19" s="1642"/>
      <c r="W19" s="1642"/>
      <c r="X19" s="1642"/>
      <c r="Y19" s="1642"/>
    </row>
    <row r="20" spans="2:25" ht="78.75">
      <c r="B20" s="1633"/>
      <c r="C20" s="1636"/>
      <c r="D20" s="1639"/>
      <c r="E20" s="1641"/>
      <c r="F20" s="1642"/>
      <c r="G20" s="1642"/>
      <c r="H20" s="1642"/>
      <c r="I20" s="1642"/>
      <c r="J20" s="1642"/>
      <c r="K20" s="254" t="s">
        <v>348</v>
      </c>
      <c r="L20" s="254">
        <v>10</v>
      </c>
      <c r="M20" s="248">
        <v>3000</v>
      </c>
      <c r="N20" s="547" t="s">
        <v>357</v>
      </c>
      <c r="O20" s="548">
        <v>0</v>
      </c>
      <c r="P20" s="549">
        <v>750</v>
      </c>
      <c r="Q20" s="549">
        <v>1500</v>
      </c>
      <c r="R20" s="549">
        <v>2250</v>
      </c>
      <c r="S20" s="549">
        <v>3000</v>
      </c>
      <c r="T20" s="1647"/>
      <c r="U20" s="1642"/>
      <c r="V20" s="1642"/>
      <c r="W20" s="1642"/>
      <c r="X20" s="1642"/>
      <c r="Y20" s="1642"/>
    </row>
    <row r="21" spans="2:25" ht="90">
      <c r="B21" s="1633"/>
      <c r="C21" s="1636"/>
      <c r="D21" s="1639"/>
      <c r="E21" s="1641"/>
      <c r="F21" s="1642"/>
      <c r="G21" s="1642"/>
      <c r="H21" s="1642"/>
      <c r="I21" s="1642"/>
      <c r="J21" s="1642"/>
      <c r="K21" s="254" t="s">
        <v>349</v>
      </c>
      <c r="L21" s="254">
        <v>10</v>
      </c>
      <c r="M21" s="248">
        <v>1</v>
      </c>
      <c r="N21" s="547" t="s">
        <v>358</v>
      </c>
      <c r="O21" s="548">
        <v>0</v>
      </c>
      <c r="P21" s="299">
        <v>0.25</v>
      </c>
      <c r="Q21" s="299">
        <v>0.5</v>
      </c>
      <c r="R21" s="299">
        <v>0.75</v>
      </c>
      <c r="S21" s="299">
        <v>1</v>
      </c>
      <c r="T21" s="1644"/>
      <c r="U21" s="1631"/>
      <c r="V21" s="1631"/>
      <c r="W21" s="1631"/>
      <c r="X21" s="1631"/>
      <c r="Y21" s="1631"/>
    </row>
    <row r="22" spans="2:25" ht="72">
      <c r="B22" s="1633"/>
      <c r="C22" s="1636"/>
      <c r="D22" s="1639"/>
      <c r="E22" s="1641"/>
      <c r="F22" s="1642"/>
      <c r="G22" s="1642"/>
      <c r="H22" s="1642"/>
      <c r="I22" s="1642"/>
      <c r="J22" s="1630" t="s">
        <v>344</v>
      </c>
      <c r="K22" s="550" t="s">
        <v>350</v>
      </c>
      <c r="L22" s="254">
        <v>10</v>
      </c>
      <c r="M22" s="248">
        <v>30</v>
      </c>
      <c r="N22" s="547" t="s">
        <v>359</v>
      </c>
      <c r="O22" s="548">
        <v>0</v>
      </c>
      <c r="P22" s="299">
        <v>7.5</v>
      </c>
      <c r="Q22" s="299">
        <v>15</v>
      </c>
      <c r="R22" s="299">
        <v>22.5</v>
      </c>
      <c r="S22" s="299">
        <v>30</v>
      </c>
      <c r="T22" s="1643">
        <v>50</v>
      </c>
      <c r="U22" s="1630">
        <v>189</v>
      </c>
      <c r="V22" s="1630">
        <v>198</v>
      </c>
      <c r="W22" s="1630">
        <v>208</v>
      </c>
      <c r="X22" s="1630">
        <f>SUM(T22:W22)</f>
        <v>645</v>
      </c>
      <c r="Y22" s="1630" t="s">
        <v>1009</v>
      </c>
    </row>
    <row r="23" spans="2:25" ht="112.5">
      <c r="B23" s="1633"/>
      <c r="C23" s="1636"/>
      <c r="D23" s="1639"/>
      <c r="E23" s="1641"/>
      <c r="F23" s="1642"/>
      <c r="G23" s="1642"/>
      <c r="H23" s="1642"/>
      <c r="I23" s="1642"/>
      <c r="J23" s="1642"/>
      <c r="K23" s="551" t="s">
        <v>351</v>
      </c>
      <c r="L23" s="254">
        <v>10</v>
      </c>
      <c r="M23" s="248">
        <v>30</v>
      </c>
      <c r="N23" s="552" t="s">
        <v>360</v>
      </c>
      <c r="O23" s="548">
        <v>0</v>
      </c>
      <c r="P23" s="299">
        <v>7.5</v>
      </c>
      <c r="Q23" s="299">
        <v>15</v>
      </c>
      <c r="R23" s="299">
        <v>22.5</v>
      </c>
      <c r="S23" s="299">
        <v>30</v>
      </c>
      <c r="T23" s="1647"/>
      <c r="U23" s="1642" t="s">
        <v>1025</v>
      </c>
      <c r="V23" s="1642" t="s">
        <v>1025</v>
      </c>
      <c r="W23" s="1642" t="s">
        <v>1025</v>
      </c>
      <c r="X23" s="1642" t="s">
        <v>1025</v>
      </c>
      <c r="Y23" s="1642"/>
    </row>
    <row r="24" spans="2:25" ht="67.5">
      <c r="B24" s="1634"/>
      <c r="C24" s="1636"/>
      <c r="D24" s="1639"/>
      <c r="E24" s="1641"/>
      <c r="F24" s="1642"/>
      <c r="G24" s="1642"/>
      <c r="H24" s="1642"/>
      <c r="I24" s="1642"/>
      <c r="J24" s="1642"/>
      <c r="K24" s="1630" t="s">
        <v>352</v>
      </c>
      <c r="L24" s="238">
        <v>2.5</v>
      </c>
      <c r="M24" s="249">
        <v>1</v>
      </c>
      <c r="N24" s="757" t="s">
        <v>361</v>
      </c>
      <c r="O24" s="690">
        <v>0</v>
      </c>
      <c r="P24" s="247">
        <v>0.25</v>
      </c>
      <c r="Q24" s="247">
        <v>0.5</v>
      </c>
      <c r="R24" s="247">
        <v>0.75</v>
      </c>
      <c r="S24" s="691">
        <v>1</v>
      </c>
      <c r="T24" s="1647"/>
      <c r="U24" s="1642"/>
      <c r="V24" s="1642"/>
      <c r="W24" s="1642"/>
      <c r="X24" s="1642"/>
      <c r="Y24" s="1642"/>
    </row>
    <row r="25" spans="2:25" ht="90">
      <c r="B25" s="759"/>
      <c r="C25" s="1636"/>
      <c r="D25" s="1639"/>
      <c r="E25" s="1641"/>
      <c r="F25" s="1642"/>
      <c r="G25" s="1642"/>
      <c r="H25" s="1642"/>
      <c r="I25" s="1642"/>
      <c r="J25" s="1642"/>
      <c r="K25" s="1631"/>
      <c r="L25" s="247">
        <v>2.5</v>
      </c>
      <c r="M25" s="249">
        <v>4</v>
      </c>
      <c r="N25" s="586" t="s">
        <v>1289</v>
      </c>
      <c r="O25" s="587">
        <v>0</v>
      </c>
      <c r="P25" s="237">
        <v>1</v>
      </c>
      <c r="Q25" s="237">
        <v>2</v>
      </c>
      <c r="R25" s="237">
        <v>3</v>
      </c>
      <c r="S25" s="692">
        <v>4</v>
      </c>
      <c r="T25" s="1647"/>
      <c r="U25" s="1642"/>
      <c r="V25" s="1642"/>
      <c r="W25" s="1642"/>
      <c r="X25" s="1642"/>
      <c r="Y25" s="1642"/>
    </row>
    <row r="26" spans="2:25" ht="78.75">
      <c r="B26" s="1632" t="s">
        <v>1222</v>
      </c>
      <c r="C26" s="1636"/>
      <c r="D26" s="1639"/>
      <c r="E26" s="1641"/>
      <c r="F26" s="1642"/>
      <c r="G26" s="1642"/>
      <c r="H26" s="1642"/>
      <c r="I26" s="1642"/>
      <c r="J26" s="1642" t="s">
        <v>344</v>
      </c>
      <c r="K26" s="760" t="s">
        <v>353</v>
      </c>
      <c r="L26" s="247">
        <v>5</v>
      </c>
      <c r="M26" s="247">
        <v>7</v>
      </c>
      <c r="N26" s="553" t="s">
        <v>362</v>
      </c>
      <c r="O26" s="693">
        <v>0</v>
      </c>
      <c r="P26" s="692">
        <v>3</v>
      </c>
      <c r="Q26" s="692">
        <v>5</v>
      </c>
      <c r="R26" s="692">
        <v>6</v>
      </c>
      <c r="S26" s="692">
        <v>7</v>
      </c>
      <c r="T26" s="1647"/>
      <c r="U26" s="1642"/>
      <c r="V26" s="1642"/>
      <c r="W26" s="1642"/>
      <c r="X26" s="1642"/>
      <c r="Y26" s="1642"/>
    </row>
    <row r="27" spans="2:25" ht="78.75">
      <c r="B27" s="1662"/>
      <c r="C27" s="1636"/>
      <c r="D27" s="1639"/>
      <c r="E27" s="1641"/>
      <c r="F27" s="1642"/>
      <c r="G27" s="1642"/>
      <c r="H27" s="1642"/>
      <c r="I27" s="1642"/>
      <c r="J27" s="1505"/>
      <c r="K27" s="760" t="s">
        <v>353</v>
      </c>
      <c r="L27" s="247">
        <v>5</v>
      </c>
      <c r="M27" s="247">
        <v>24</v>
      </c>
      <c r="N27" s="547" t="s">
        <v>363</v>
      </c>
      <c r="O27" s="693">
        <v>0</v>
      </c>
      <c r="P27" s="692">
        <v>6</v>
      </c>
      <c r="Q27" s="692">
        <v>12</v>
      </c>
      <c r="R27" s="692">
        <v>18</v>
      </c>
      <c r="S27" s="692">
        <v>24</v>
      </c>
      <c r="T27" s="1647"/>
      <c r="U27" s="1642"/>
      <c r="V27" s="1642"/>
      <c r="W27" s="1642"/>
      <c r="X27" s="1642"/>
      <c r="Y27" s="1642"/>
    </row>
    <row r="28" spans="2:25" ht="90">
      <c r="B28" s="1662"/>
      <c r="C28" s="1636"/>
      <c r="D28" s="1639"/>
      <c r="E28" s="1641"/>
      <c r="F28" s="1642"/>
      <c r="G28" s="1642"/>
      <c r="H28" s="1642"/>
      <c r="I28" s="1642"/>
      <c r="J28" s="1506"/>
      <c r="K28" s="554" t="s">
        <v>354</v>
      </c>
      <c r="L28" s="247">
        <v>10</v>
      </c>
      <c r="M28" s="247">
        <v>1</v>
      </c>
      <c r="N28" s="547" t="s">
        <v>364</v>
      </c>
      <c r="O28" s="693">
        <v>0</v>
      </c>
      <c r="P28" s="692">
        <v>0.25</v>
      </c>
      <c r="Q28" s="692">
        <v>0.5</v>
      </c>
      <c r="R28" s="692">
        <v>0.75</v>
      </c>
      <c r="S28" s="692">
        <v>1</v>
      </c>
      <c r="T28" s="1644"/>
      <c r="U28" s="1631"/>
      <c r="V28" s="1631"/>
      <c r="W28" s="1631"/>
      <c r="X28" s="1631"/>
      <c r="Y28" s="1631"/>
    </row>
    <row r="29" spans="2:25" ht="20.25">
      <c r="B29" s="1663"/>
      <c r="C29" s="1636"/>
      <c r="D29" s="555" t="s">
        <v>1154</v>
      </c>
      <c r="E29" s="471">
        <f>SUM(E16)</f>
        <v>0.4</v>
      </c>
      <c r="F29" s="1631"/>
      <c r="G29" s="1631"/>
      <c r="H29" s="1631"/>
      <c r="I29" s="1631"/>
      <c r="J29" s="239"/>
      <c r="K29" s="555" t="s">
        <v>146</v>
      </c>
      <c r="L29" s="556">
        <v>1</v>
      </c>
      <c r="M29" s="238"/>
      <c r="N29" s="238"/>
      <c r="O29" s="546"/>
      <c r="P29" s="546"/>
      <c r="Q29" s="546"/>
      <c r="R29" s="546"/>
      <c r="S29" s="546"/>
      <c r="T29" s="246">
        <f aca="true" t="shared" si="0" ref="T29:Y29">SUM(T16:T28)</f>
        <v>150</v>
      </c>
      <c r="U29" s="246">
        <f t="shared" si="0"/>
        <v>462</v>
      </c>
      <c r="V29" s="246">
        <f t="shared" si="0"/>
        <v>485</v>
      </c>
      <c r="W29" s="246">
        <f t="shared" si="0"/>
        <v>508</v>
      </c>
      <c r="X29" s="246">
        <f t="shared" si="0"/>
        <v>1605</v>
      </c>
      <c r="Y29" s="246">
        <f t="shared" si="0"/>
        <v>0</v>
      </c>
    </row>
    <row r="30" spans="2:25" ht="56.25">
      <c r="B30" s="1664" t="s">
        <v>1222</v>
      </c>
      <c r="C30" s="1636"/>
      <c r="D30" s="1632" t="s">
        <v>1224</v>
      </c>
      <c r="E30" s="1640">
        <v>0.15</v>
      </c>
      <c r="F30" s="1630">
        <v>1</v>
      </c>
      <c r="G30" s="1630" t="s">
        <v>1004</v>
      </c>
      <c r="H30" s="1630">
        <v>0</v>
      </c>
      <c r="I30" s="1630">
        <v>1</v>
      </c>
      <c r="J30" s="1649" t="s">
        <v>365</v>
      </c>
      <c r="K30" s="239" t="s">
        <v>366</v>
      </c>
      <c r="L30" s="239">
        <v>10</v>
      </c>
      <c r="M30" s="240">
        <v>6</v>
      </c>
      <c r="N30" s="547" t="s">
        <v>372</v>
      </c>
      <c r="O30" s="690">
        <v>6</v>
      </c>
      <c r="P30" s="239">
        <v>0</v>
      </c>
      <c r="Q30" s="239">
        <v>0</v>
      </c>
      <c r="R30" s="559">
        <v>0.001</v>
      </c>
      <c r="S30" s="239">
        <v>6</v>
      </c>
      <c r="T30" s="1647">
        <v>250</v>
      </c>
      <c r="U30" s="1642">
        <v>796</v>
      </c>
      <c r="V30" s="1642">
        <v>838</v>
      </c>
      <c r="W30" s="1642">
        <v>880</v>
      </c>
      <c r="X30" s="1642"/>
      <c r="Y30" s="1630" t="s">
        <v>1009</v>
      </c>
    </row>
    <row r="31" spans="2:25" ht="67.5">
      <c r="B31" s="1665"/>
      <c r="C31" s="1636"/>
      <c r="D31" s="1662"/>
      <c r="E31" s="1641"/>
      <c r="F31" s="1642"/>
      <c r="G31" s="1642"/>
      <c r="H31" s="1642"/>
      <c r="I31" s="1642"/>
      <c r="J31" s="1650"/>
      <c r="K31" s="239" t="s">
        <v>367</v>
      </c>
      <c r="L31" s="239">
        <v>20</v>
      </c>
      <c r="M31" s="240">
        <v>1</v>
      </c>
      <c r="N31" s="547" t="s">
        <v>373</v>
      </c>
      <c r="O31" s="690">
        <v>0</v>
      </c>
      <c r="P31" s="239">
        <v>0.25</v>
      </c>
      <c r="Q31" s="239">
        <v>0.5</v>
      </c>
      <c r="R31" s="560">
        <v>0.75</v>
      </c>
      <c r="S31" s="239">
        <v>1</v>
      </c>
      <c r="T31" s="1647"/>
      <c r="U31" s="1642"/>
      <c r="V31" s="1642"/>
      <c r="W31" s="1642"/>
      <c r="X31" s="1642"/>
      <c r="Y31" s="1642"/>
    </row>
    <row r="32" spans="2:25" ht="112.5">
      <c r="B32" s="1665"/>
      <c r="C32" s="1636"/>
      <c r="D32" s="1662"/>
      <c r="E32" s="1641"/>
      <c r="F32" s="1642"/>
      <c r="G32" s="1642"/>
      <c r="H32" s="1642"/>
      <c r="I32" s="1642"/>
      <c r="J32" s="1650"/>
      <c r="K32" s="239" t="s">
        <v>368</v>
      </c>
      <c r="L32" s="239">
        <v>25</v>
      </c>
      <c r="M32" s="240">
        <v>4</v>
      </c>
      <c r="N32" s="547" t="s">
        <v>374</v>
      </c>
      <c r="O32" s="690">
        <v>0</v>
      </c>
      <c r="P32" s="239">
        <v>1</v>
      </c>
      <c r="Q32" s="239">
        <v>2</v>
      </c>
      <c r="R32" s="561">
        <v>3</v>
      </c>
      <c r="S32" s="239">
        <v>4</v>
      </c>
      <c r="T32" s="1647"/>
      <c r="U32" s="1642" t="s">
        <v>1025</v>
      </c>
      <c r="V32" s="1642" t="s">
        <v>1025</v>
      </c>
      <c r="W32" s="1642" t="s">
        <v>1025</v>
      </c>
      <c r="X32" s="1642" t="s">
        <v>1025</v>
      </c>
      <c r="Y32" s="1642"/>
    </row>
    <row r="33" spans="2:25" ht="67.5">
      <c r="B33" s="1665"/>
      <c r="C33" s="1636"/>
      <c r="D33" s="1662"/>
      <c r="E33" s="1641"/>
      <c r="F33" s="1642"/>
      <c r="G33" s="1642"/>
      <c r="H33" s="1642"/>
      <c r="I33" s="1642"/>
      <c r="J33" s="1650"/>
      <c r="K33" s="239" t="s">
        <v>369</v>
      </c>
      <c r="L33" s="239">
        <v>25</v>
      </c>
      <c r="M33" s="240">
        <v>1</v>
      </c>
      <c r="N33" s="547" t="s">
        <v>375</v>
      </c>
      <c r="O33" s="690">
        <v>0</v>
      </c>
      <c r="P33" s="239">
        <v>0.25</v>
      </c>
      <c r="Q33" s="239">
        <v>0.5</v>
      </c>
      <c r="R33" s="560">
        <v>0.75</v>
      </c>
      <c r="S33" s="239">
        <v>1</v>
      </c>
      <c r="T33" s="1647"/>
      <c r="U33" s="1642"/>
      <c r="V33" s="1642"/>
      <c r="W33" s="1642"/>
      <c r="X33" s="1642"/>
      <c r="Y33" s="1642"/>
    </row>
    <row r="34" spans="2:25" ht="78.75">
      <c r="B34" s="1665"/>
      <c r="C34" s="1636"/>
      <c r="D34" s="1662"/>
      <c r="E34" s="1641"/>
      <c r="F34" s="1642"/>
      <c r="G34" s="1642"/>
      <c r="H34" s="1642"/>
      <c r="I34" s="1642"/>
      <c r="J34" s="1650"/>
      <c r="K34" s="239" t="s">
        <v>370</v>
      </c>
      <c r="L34" s="239">
        <v>10</v>
      </c>
      <c r="M34" s="240">
        <v>100</v>
      </c>
      <c r="N34" s="547" t="s">
        <v>376</v>
      </c>
      <c r="O34" s="690">
        <v>50</v>
      </c>
      <c r="P34" s="239">
        <v>80</v>
      </c>
      <c r="Q34" s="239">
        <v>110</v>
      </c>
      <c r="R34" s="561">
        <v>125</v>
      </c>
      <c r="S34" s="239">
        <v>150</v>
      </c>
      <c r="T34" s="1647"/>
      <c r="U34" s="1642"/>
      <c r="V34" s="1642"/>
      <c r="W34" s="1642"/>
      <c r="X34" s="1642"/>
      <c r="Y34" s="1642"/>
    </row>
    <row r="35" spans="2:25" ht="90">
      <c r="B35" s="1665"/>
      <c r="C35" s="1636"/>
      <c r="D35" s="1662"/>
      <c r="E35" s="1658"/>
      <c r="F35" s="1631"/>
      <c r="G35" s="1631"/>
      <c r="H35" s="1631"/>
      <c r="I35" s="1631"/>
      <c r="J35" s="1651"/>
      <c r="K35" s="239" t="s">
        <v>371</v>
      </c>
      <c r="L35" s="239">
        <v>10</v>
      </c>
      <c r="M35" s="240">
        <v>24</v>
      </c>
      <c r="N35" s="547" t="s">
        <v>377</v>
      </c>
      <c r="O35" s="690">
        <v>0</v>
      </c>
      <c r="P35" s="239">
        <v>6</v>
      </c>
      <c r="Q35" s="239">
        <v>12</v>
      </c>
      <c r="R35" s="561">
        <v>18</v>
      </c>
      <c r="S35" s="239">
        <v>24</v>
      </c>
      <c r="T35" s="1644"/>
      <c r="U35" s="1631"/>
      <c r="V35" s="1631"/>
      <c r="W35" s="1631"/>
      <c r="X35" s="1631"/>
      <c r="Y35" s="1631"/>
    </row>
    <row r="36" spans="2:25" ht="18">
      <c r="B36" s="1666"/>
      <c r="C36" s="1636"/>
      <c r="D36" s="592" t="s">
        <v>1154</v>
      </c>
      <c r="E36" s="557">
        <f>SUM(E30)</f>
        <v>0.15</v>
      </c>
      <c r="F36" s="239"/>
      <c r="G36" s="247"/>
      <c r="H36" s="247"/>
      <c r="I36" s="247"/>
      <c r="J36" s="239"/>
      <c r="K36" s="239" t="s">
        <v>146</v>
      </c>
      <c r="L36" s="288">
        <v>1</v>
      </c>
      <c r="M36" s="240"/>
      <c r="N36" s="239"/>
      <c r="O36" s="690"/>
      <c r="P36" s="239"/>
      <c r="Q36" s="239"/>
      <c r="R36" s="562"/>
      <c r="S36" s="239"/>
      <c r="T36" s="246">
        <f aca="true" t="shared" si="1" ref="T36:Y36">SUM(T30)</f>
        <v>250</v>
      </c>
      <c r="U36" s="246">
        <f t="shared" si="1"/>
        <v>796</v>
      </c>
      <c r="V36" s="246">
        <f t="shared" si="1"/>
        <v>838</v>
      </c>
      <c r="W36" s="246">
        <f t="shared" si="1"/>
        <v>880</v>
      </c>
      <c r="X36" s="246">
        <f t="shared" si="1"/>
        <v>0</v>
      </c>
      <c r="Y36" s="246">
        <f t="shared" si="1"/>
        <v>0</v>
      </c>
    </row>
    <row r="37" spans="2:25" ht="78.75">
      <c r="B37" s="1638" t="s">
        <v>1222</v>
      </c>
      <c r="C37" s="1636"/>
      <c r="D37" s="1638" t="s">
        <v>378</v>
      </c>
      <c r="E37" s="1640">
        <v>0.35</v>
      </c>
      <c r="F37" s="1630"/>
      <c r="G37" s="1630"/>
      <c r="H37" s="1630"/>
      <c r="I37" s="1630"/>
      <c r="J37" s="1649" t="s">
        <v>379</v>
      </c>
      <c r="K37" s="239" t="s">
        <v>380</v>
      </c>
      <c r="L37" s="239">
        <v>10</v>
      </c>
      <c r="M37" s="240">
        <v>400</v>
      </c>
      <c r="N37" s="291" t="s">
        <v>390</v>
      </c>
      <c r="O37" s="690">
        <v>0</v>
      </c>
      <c r="P37" s="239">
        <v>100</v>
      </c>
      <c r="Q37" s="239">
        <v>200</v>
      </c>
      <c r="R37" s="559">
        <v>300</v>
      </c>
      <c r="S37" s="239">
        <v>400</v>
      </c>
      <c r="T37" s="1643">
        <v>470</v>
      </c>
      <c r="U37" s="1630">
        <v>525</v>
      </c>
      <c r="V37" s="1630">
        <v>551</v>
      </c>
      <c r="W37" s="1630">
        <v>579</v>
      </c>
      <c r="X37" s="1630">
        <f>SUM(T37:W37)</f>
        <v>2125</v>
      </c>
      <c r="Y37" s="1630" t="s">
        <v>1009</v>
      </c>
    </row>
    <row r="38" spans="2:25" ht="67.5">
      <c r="B38" s="1639"/>
      <c r="C38" s="1636"/>
      <c r="D38" s="1639"/>
      <c r="E38" s="1641"/>
      <c r="F38" s="1642"/>
      <c r="G38" s="1642"/>
      <c r="H38" s="1642"/>
      <c r="I38" s="1642"/>
      <c r="J38" s="1650"/>
      <c r="K38" s="239" t="s">
        <v>381</v>
      </c>
      <c r="L38" s="239">
        <v>5</v>
      </c>
      <c r="M38" s="240">
        <v>30</v>
      </c>
      <c r="N38" s="291" t="s">
        <v>391</v>
      </c>
      <c r="O38" s="690">
        <v>0</v>
      </c>
      <c r="P38" s="239">
        <v>7</v>
      </c>
      <c r="Q38" s="239">
        <v>14</v>
      </c>
      <c r="R38" s="559">
        <v>21</v>
      </c>
      <c r="S38" s="239">
        <v>30</v>
      </c>
      <c r="T38" s="1647"/>
      <c r="U38" s="1642"/>
      <c r="V38" s="1642"/>
      <c r="W38" s="1642"/>
      <c r="X38" s="1642"/>
      <c r="Y38" s="1642"/>
    </row>
    <row r="39" spans="2:25" ht="78.75">
      <c r="B39" s="1639"/>
      <c r="C39" s="1636"/>
      <c r="D39" s="1639"/>
      <c r="E39" s="1641"/>
      <c r="F39" s="1642"/>
      <c r="G39" s="1642"/>
      <c r="H39" s="1642"/>
      <c r="I39" s="1642"/>
      <c r="J39" s="1650"/>
      <c r="K39" s="239" t="s">
        <v>382</v>
      </c>
      <c r="L39" s="239">
        <v>10</v>
      </c>
      <c r="M39" s="242">
        <v>16000</v>
      </c>
      <c r="N39" s="547" t="s">
        <v>392</v>
      </c>
      <c r="O39" s="690">
        <v>0</v>
      </c>
      <c r="P39" s="243">
        <v>4000</v>
      </c>
      <c r="Q39" s="243">
        <v>8000</v>
      </c>
      <c r="R39" s="561">
        <v>12000</v>
      </c>
      <c r="S39" s="243">
        <v>16000</v>
      </c>
      <c r="T39" s="1647"/>
      <c r="U39" s="1642" t="s">
        <v>1025</v>
      </c>
      <c r="V39" s="1642" t="s">
        <v>1025</v>
      </c>
      <c r="W39" s="1642" t="s">
        <v>1025</v>
      </c>
      <c r="X39" s="1642" t="s">
        <v>1025</v>
      </c>
      <c r="Y39" s="1642"/>
    </row>
    <row r="40" spans="2:25" ht="117">
      <c r="B40" s="1639"/>
      <c r="C40" s="1636"/>
      <c r="D40" s="1639"/>
      <c r="E40" s="1641"/>
      <c r="F40" s="1642"/>
      <c r="G40" s="1642"/>
      <c r="H40" s="1642"/>
      <c r="I40" s="1642"/>
      <c r="J40" s="1650"/>
      <c r="K40" s="239" t="s">
        <v>383</v>
      </c>
      <c r="L40" s="239">
        <v>5</v>
      </c>
      <c r="M40" s="846">
        <v>2000</v>
      </c>
      <c r="N40" s="547" t="s">
        <v>393</v>
      </c>
      <c r="O40" s="690">
        <v>0</v>
      </c>
      <c r="P40" s="244">
        <v>500</v>
      </c>
      <c r="Q40" s="244">
        <v>1000</v>
      </c>
      <c r="R40" s="559">
        <v>1500</v>
      </c>
      <c r="S40" s="244">
        <v>2000</v>
      </c>
      <c r="T40" s="1647"/>
      <c r="U40" s="1642"/>
      <c r="V40" s="1642"/>
      <c r="W40" s="1642"/>
      <c r="X40" s="1642"/>
      <c r="Y40" s="1642"/>
    </row>
    <row r="41" spans="2:25" ht="63">
      <c r="B41" s="1639"/>
      <c r="C41" s="1636"/>
      <c r="D41" s="1639"/>
      <c r="E41" s="1641"/>
      <c r="F41" s="1642"/>
      <c r="G41" s="1642"/>
      <c r="H41" s="1642"/>
      <c r="I41" s="1642"/>
      <c r="J41" s="1650"/>
      <c r="K41" s="245" t="s">
        <v>384</v>
      </c>
      <c r="L41" s="239">
        <v>5</v>
      </c>
      <c r="M41" s="240">
        <v>4</v>
      </c>
      <c r="N41" s="547" t="s">
        <v>394</v>
      </c>
      <c r="O41" s="690">
        <v>0</v>
      </c>
      <c r="P41" s="239">
        <v>1</v>
      </c>
      <c r="Q41" s="239">
        <v>2</v>
      </c>
      <c r="R41" s="559">
        <v>3</v>
      </c>
      <c r="S41" s="239">
        <v>4</v>
      </c>
      <c r="T41" s="1647"/>
      <c r="U41" s="1642"/>
      <c r="V41" s="1642"/>
      <c r="W41" s="1642"/>
      <c r="X41" s="1642"/>
      <c r="Y41" s="1642"/>
    </row>
    <row r="42" spans="2:25" ht="90">
      <c r="B42" s="1639"/>
      <c r="C42" s="1636"/>
      <c r="D42" s="1639"/>
      <c r="E42" s="1641"/>
      <c r="F42" s="1642"/>
      <c r="G42" s="1642"/>
      <c r="H42" s="1642"/>
      <c r="I42" s="1642"/>
      <c r="J42" s="1650"/>
      <c r="K42" s="760" t="s">
        <v>385</v>
      </c>
      <c r="L42" s="241">
        <v>10</v>
      </c>
      <c r="M42" s="240">
        <v>1</v>
      </c>
      <c r="N42" s="547" t="s">
        <v>395</v>
      </c>
      <c r="O42" s="690">
        <v>0</v>
      </c>
      <c r="P42" s="239">
        <v>0.25</v>
      </c>
      <c r="Q42" s="239">
        <v>0.5</v>
      </c>
      <c r="R42" s="563">
        <v>0.75</v>
      </c>
      <c r="S42" s="239">
        <v>1</v>
      </c>
      <c r="T42" s="1647"/>
      <c r="U42" s="1642"/>
      <c r="V42" s="1642"/>
      <c r="W42" s="1642"/>
      <c r="X42" s="1642"/>
      <c r="Y42" s="1642"/>
    </row>
    <row r="43" spans="2:25" ht="135">
      <c r="B43" s="1654"/>
      <c r="C43" s="1636"/>
      <c r="D43" s="1639"/>
      <c r="E43" s="1641"/>
      <c r="F43" s="1642"/>
      <c r="G43" s="1642"/>
      <c r="H43" s="1642"/>
      <c r="I43" s="1642"/>
      <c r="J43" s="1651"/>
      <c r="K43" s="756" t="s">
        <v>386</v>
      </c>
      <c r="L43" s="241">
        <v>15</v>
      </c>
      <c r="M43" s="240">
        <v>100</v>
      </c>
      <c r="N43" s="291" t="s">
        <v>396</v>
      </c>
      <c r="O43" s="690">
        <v>0</v>
      </c>
      <c r="P43" s="244">
        <v>25</v>
      </c>
      <c r="Q43" s="239">
        <v>50</v>
      </c>
      <c r="R43" s="559">
        <v>75</v>
      </c>
      <c r="S43" s="244">
        <v>100</v>
      </c>
      <c r="T43" s="1647"/>
      <c r="U43" s="1642"/>
      <c r="V43" s="1642"/>
      <c r="W43" s="1642"/>
      <c r="X43" s="1642"/>
      <c r="Y43" s="1642"/>
    </row>
    <row r="44" spans="2:25" ht="101.25">
      <c r="B44" s="1638" t="s">
        <v>1222</v>
      </c>
      <c r="C44" s="1636"/>
      <c r="D44" s="1639"/>
      <c r="E44" s="1641"/>
      <c r="F44" s="1642"/>
      <c r="G44" s="1642"/>
      <c r="H44" s="1642"/>
      <c r="I44" s="1642"/>
      <c r="J44" s="1649" t="s">
        <v>379</v>
      </c>
      <c r="K44" s="554" t="s">
        <v>387</v>
      </c>
      <c r="L44" s="241">
        <v>15</v>
      </c>
      <c r="M44" s="240">
        <v>30</v>
      </c>
      <c r="N44" s="547" t="s">
        <v>397</v>
      </c>
      <c r="O44" s="690">
        <v>0</v>
      </c>
      <c r="P44" s="246">
        <v>7</v>
      </c>
      <c r="Q44" s="246">
        <v>14</v>
      </c>
      <c r="R44" s="564">
        <v>21</v>
      </c>
      <c r="S44" s="246">
        <v>30</v>
      </c>
      <c r="T44" s="1647"/>
      <c r="U44" s="1642"/>
      <c r="V44" s="1642"/>
      <c r="W44" s="1642"/>
      <c r="X44" s="1642"/>
      <c r="Y44" s="1642"/>
    </row>
    <row r="45" spans="2:25" ht="101.25">
      <c r="B45" s="1639"/>
      <c r="C45" s="1636"/>
      <c r="D45" s="1639"/>
      <c r="E45" s="1641"/>
      <c r="F45" s="1642"/>
      <c r="G45" s="1642"/>
      <c r="H45" s="1642"/>
      <c r="I45" s="1642"/>
      <c r="J45" s="1655"/>
      <c r="K45" s="554" t="s">
        <v>388</v>
      </c>
      <c r="L45" s="241">
        <v>5</v>
      </c>
      <c r="M45" s="240">
        <v>2</v>
      </c>
      <c r="N45" s="547" t="s">
        <v>398</v>
      </c>
      <c r="O45" s="690">
        <v>0</v>
      </c>
      <c r="P45" s="246">
        <v>0.5</v>
      </c>
      <c r="Q45" s="246">
        <v>1</v>
      </c>
      <c r="R45" s="565">
        <v>1.5</v>
      </c>
      <c r="S45" s="246">
        <v>2</v>
      </c>
      <c r="T45" s="1647"/>
      <c r="U45" s="1642"/>
      <c r="V45" s="1642"/>
      <c r="W45" s="1642"/>
      <c r="X45" s="1642"/>
      <c r="Y45" s="1642"/>
    </row>
    <row r="46" spans="2:25" ht="90">
      <c r="B46" s="1639"/>
      <c r="C46" s="1636"/>
      <c r="D46" s="1639"/>
      <c r="E46" s="1658"/>
      <c r="F46" s="1631"/>
      <c r="G46" s="1631"/>
      <c r="H46" s="1631"/>
      <c r="I46" s="1631"/>
      <c r="J46" s="1656"/>
      <c r="K46" s="566" t="s">
        <v>389</v>
      </c>
      <c r="L46" s="241">
        <v>20</v>
      </c>
      <c r="M46" s="240">
        <v>1</v>
      </c>
      <c r="N46" s="547" t="s">
        <v>399</v>
      </c>
      <c r="O46" s="690">
        <v>0</v>
      </c>
      <c r="P46" s="246">
        <v>0.25</v>
      </c>
      <c r="Q46" s="246">
        <v>0.5</v>
      </c>
      <c r="R46" s="567">
        <v>0.75</v>
      </c>
      <c r="S46" s="246">
        <v>1</v>
      </c>
      <c r="T46" s="1644"/>
      <c r="U46" s="1631"/>
      <c r="V46" s="1631"/>
      <c r="W46" s="1631"/>
      <c r="X46" s="1631"/>
      <c r="Y46" s="1631"/>
    </row>
    <row r="47" spans="2:25" ht="18">
      <c r="B47" s="1654"/>
      <c r="C47" s="1636"/>
      <c r="D47" s="555" t="s">
        <v>1154</v>
      </c>
      <c r="E47" s="557">
        <f>SUM(E37)</f>
        <v>0.35</v>
      </c>
      <c r="F47" s="239"/>
      <c r="G47" s="247"/>
      <c r="H47" s="247"/>
      <c r="I47" s="247"/>
      <c r="J47" s="558"/>
      <c r="K47" s="568" t="s">
        <v>146</v>
      </c>
      <c r="L47" s="569">
        <v>1</v>
      </c>
      <c r="M47" s="570"/>
      <c r="N47" s="239"/>
      <c r="O47" s="690"/>
      <c r="P47" s="239"/>
      <c r="Q47" s="239"/>
      <c r="R47" s="562"/>
      <c r="S47" s="239"/>
      <c r="T47" s="246">
        <f>SUM(T37)</f>
        <v>470</v>
      </c>
      <c r="U47" s="246">
        <f>SUM(U37)</f>
        <v>525</v>
      </c>
      <c r="V47" s="246">
        <f>SUM(V37)</f>
        <v>551</v>
      </c>
      <c r="W47" s="246">
        <f>SUM(W37)</f>
        <v>579</v>
      </c>
      <c r="X47" s="246">
        <f>SUM(X37)</f>
        <v>2125</v>
      </c>
      <c r="Y47" s="239"/>
    </row>
    <row r="48" spans="2:25" ht="146.25">
      <c r="B48" s="1652" t="s">
        <v>1222</v>
      </c>
      <c r="C48" s="1636"/>
      <c r="D48" s="247" t="s">
        <v>1225</v>
      </c>
      <c r="E48" s="557">
        <v>0.1</v>
      </c>
      <c r="F48" s="239"/>
      <c r="G48" s="247"/>
      <c r="H48" s="247"/>
      <c r="I48" s="248"/>
      <c r="J48" s="760" t="s">
        <v>400</v>
      </c>
      <c r="K48" s="571" t="s">
        <v>401</v>
      </c>
      <c r="L48" s="288">
        <v>1</v>
      </c>
      <c r="M48" s="572">
        <v>100</v>
      </c>
      <c r="N48" s="573" t="s">
        <v>402</v>
      </c>
      <c r="O48" s="690">
        <v>0</v>
      </c>
      <c r="P48" s="246">
        <v>25</v>
      </c>
      <c r="Q48" s="246">
        <v>50</v>
      </c>
      <c r="R48" s="564">
        <v>75</v>
      </c>
      <c r="S48" s="246">
        <v>100</v>
      </c>
      <c r="T48" s="575">
        <v>30</v>
      </c>
      <c r="U48" s="244">
        <v>4994</v>
      </c>
      <c r="V48" s="244">
        <v>3254</v>
      </c>
      <c r="W48" s="244">
        <v>3749</v>
      </c>
      <c r="X48" s="244">
        <f>SUM(T48:W48)</f>
        <v>12027</v>
      </c>
      <c r="Y48" s="239" t="s">
        <v>1227</v>
      </c>
    </row>
    <row r="49" spans="2:25" ht="18">
      <c r="B49" s="1653"/>
      <c r="C49" s="1637"/>
      <c r="D49" s="247" t="s">
        <v>1228</v>
      </c>
      <c r="E49" s="574">
        <f>SUM(E48)</f>
        <v>0.1</v>
      </c>
      <c r="F49" s="239"/>
      <c r="G49" s="247"/>
      <c r="H49" s="247"/>
      <c r="I49" s="247"/>
      <c r="J49" s="303"/>
      <c r="K49" s="303"/>
      <c r="L49" s="303"/>
      <c r="M49" s="303"/>
      <c r="N49" s="303"/>
      <c r="O49" s="239"/>
      <c r="P49" s="239"/>
      <c r="Q49" s="239"/>
      <c r="R49" s="562"/>
      <c r="S49" s="239"/>
      <c r="T49" s="695">
        <f>SUM(T48)</f>
        <v>30</v>
      </c>
      <c r="U49" s="695">
        <f>SUM(U48)</f>
        <v>4994</v>
      </c>
      <c r="V49" s="695">
        <f>SUM(V48)</f>
        <v>3254</v>
      </c>
      <c r="W49" s="695">
        <f>SUM(W48)</f>
        <v>3749</v>
      </c>
      <c r="X49" s="695">
        <f>X48+X37+X30+X22+X18+X16</f>
        <v>15757</v>
      </c>
      <c r="Y49" s="239"/>
    </row>
    <row r="50" spans="2:25" ht="15">
      <c r="B50" s="588"/>
      <c r="C50" s="588"/>
      <c r="D50" s="589" t="s">
        <v>1226</v>
      </c>
      <c r="E50" s="574">
        <f>E49+E47+E36+E29</f>
        <v>1</v>
      </c>
      <c r="F50" s="588"/>
      <c r="G50" s="588"/>
      <c r="H50" s="588"/>
      <c r="I50" s="588"/>
      <c r="J50" s="589"/>
      <c r="K50" s="588"/>
      <c r="L50" s="588"/>
      <c r="M50" s="588"/>
      <c r="N50" s="588"/>
      <c r="O50" s="588"/>
      <c r="P50" s="588"/>
      <c r="Q50" s="588"/>
      <c r="R50" s="588"/>
      <c r="S50" s="588"/>
      <c r="T50" s="695">
        <f>T49+T47+T36+T29</f>
        <v>900</v>
      </c>
      <c r="U50" s="695">
        <f>U49+U47+U36+U29</f>
        <v>6777</v>
      </c>
      <c r="V50" s="695">
        <f>V49+V47+V36+V29</f>
        <v>5128</v>
      </c>
      <c r="W50" s="695">
        <f>W49+W47+W36+W29</f>
        <v>5716</v>
      </c>
      <c r="X50" s="695">
        <f>X49+X47+X36+X29</f>
        <v>19487</v>
      </c>
      <c r="Y50" s="588"/>
    </row>
    <row r="51" spans="2:25" ht="15">
      <c r="B51" s="590"/>
      <c r="C51" s="590"/>
      <c r="D51" s="591"/>
      <c r="E51" s="590"/>
      <c r="F51" s="590"/>
      <c r="G51" s="590"/>
      <c r="H51" s="590"/>
      <c r="I51" s="590"/>
      <c r="J51" s="591"/>
      <c r="K51" s="590"/>
      <c r="L51" s="590"/>
      <c r="M51" s="590"/>
      <c r="N51" s="590"/>
      <c r="O51" s="590"/>
      <c r="P51" s="590"/>
      <c r="Q51" s="590"/>
      <c r="R51" s="590"/>
      <c r="S51" s="590"/>
      <c r="T51" s="696"/>
      <c r="U51" s="590"/>
      <c r="V51" s="590"/>
      <c r="W51" s="590"/>
      <c r="X51" s="590"/>
      <c r="Y51" s="590"/>
    </row>
    <row r="52" spans="2:24" ht="15">
      <c r="B52" s="576"/>
      <c r="D52" s="577"/>
      <c r="J52" s="577"/>
      <c r="S52" s="578"/>
      <c r="T52" s="694"/>
      <c r="U52" s="694"/>
      <c r="V52" s="694"/>
      <c r="W52" s="694"/>
      <c r="X52" s="694"/>
    </row>
  </sheetData>
  <sheetProtection/>
  <mergeCells count="97">
    <mergeCell ref="B26:B29"/>
    <mergeCell ref="J26:J28"/>
    <mergeCell ref="B30:B36"/>
    <mergeCell ref="D30:D35"/>
    <mergeCell ref="E30:E35"/>
    <mergeCell ref="T37:T46"/>
    <mergeCell ref="U37:U46"/>
    <mergeCell ref="G37:G46"/>
    <mergeCell ref="H37:H46"/>
    <mergeCell ref="I37:I46"/>
    <mergeCell ref="F37:F46"/>
    <mergeCell ref="V37:V46"/>
    <mergeCell ref="W37:W46"/>
    <mergeCell ref="X37:X46"/>
    <mergeCell ref="Y37:Y46"/>
    <mergeCell ref="B44:B47"/>
    <mergeCell ref="J44:J46"/>
    <mergeCell ref="B37:B43"/>
    <mergeCell ref="D37:D46"/>
    <mergeCell ref="E37:E46"/>
    <mergeCell ref="J37:J43"/>
    <mergeCell ref="F30:F35"/>
    <mergeCell ref="J30:J35"/>
    <mergeCell ref="G30:G35"/>
    <mergeCell ref="H30:H35"/>
    <mergeCell ref="I30:I35"/>
    <mergeCell ref="B48:B49"/>
    <mergeCell ref="W18:W21"/>
    <mergeCell ref="W30:W35"/>
    <mergeCell ref="X30:X35"/>
    <mergeCell ref="Y30:Y35"/>
    <mergeCell ref="V30:V35"/>
    <mergeCell ref="T30:T35"/>
    <mergeCell ref="U30:U35"/>
    <mergeCell ref="K24:K25"/>
    <mergeCell ref="J18:J21"/>
    <mergeCell ref="K18:K19"/>
    <mergeCell ref="T18:T21"/>
    <mergeCell ref="U18:U21"/>
    <mergeCell ref="V18:V21"/>
    <mergeCell ref="X16:X17"/>
    <mergeCell ref="X18:X21"/>
    <mergeCell ref="Y18:Y21"/>
    <mergeCell ref="J22:J25"/>
    <mergeCell ref="T22:T28"/>
    <mergeCell ref="U22:U28"/>
    <mergeCell ref="V22:V28"/>
    <mergeCell ref="W22:W28"/>
    <mergeCell ref="X22:X28"/>
    <mergeCell ref="Y22:Y28"/>
    <mergeCell ref="J16:J17"/>
    <mergeCell ref="N14:N15"/>
    <mergeCell ref="T14:T15"/>
    <mergeCell ref="U14:U15"/>
    <mergeCell ref="V14:V15"/>
    <mergeCell ref="W14:W15"/>
    <mergeCell ref="T16:T17"/>
    <mergeCell ref="U16:U17"/>
    <mergeCell ref="V16:V17"/>
    <mergeCell ref="W16:W17"/>
    <mergeCell ref="Y16:Y17"/>
    <mergeCell ref="Y14:Y15"/>
    <mergeCell ref="B16:B24"/>
    <mergeCell ref="C16:C49"/>
    <mergeCell ref="D16:D28"/>
    <mergeCell ref="E16:E28"/>
    <mergeCell ref="F16:F29"/>
    <mergeCell ref="G16:G29"/>
    <mergeCell ref="H16:H29"/>
    <mergeCell ref="I16:I29"/>
    <mergeCell ref="T2:Y4"/>
    <mergeCell ref="H5:S5"/>
    <mergeCell ref="T5:Y5"/>
    <mergeCell ref="H6:S6"/>
    <mergeCell ref="T6:Y6"/>
    <mergeCell ref="X14:X15"/>
    <mergeCell ref="H14:H15"/>
    <mergeCell ref="I14:I15"/>
    <mergeCell ref="J14:J15"/>
    <mergeCell ref="K14:K15"/>
    <mergeCell ref="T13:X13"/>
    <mergeCell ref="B14:B15"/>
    <mergeCell ref="C14:C15"/>
    <mergeCell ref="D14:D15"/>
    <mergeCell ref="E14:E15"/>
    <mergeCell ref="F14:F15"/>
    <mergeCell ref="G14:G15"/>
    <mergeCell ref="L14:L15"/>
    <mergeCell ref="B2:G6"/>
    <mergeCell ref="H2:S4"/>
    <mergeCell ref="B13:F13"/>
    <mergeCell ref="G13:I13"/>
    <mergeCell ref="J13:M13"/>
    <mergeCell ref="N13:S13"/>
    <mergeCell ref="B10:C10"/>
    <mergeCell ref="D8:Y8"/>
    <mergeCell ref="D10:Y10"/>
  </mergeCells>
  <printOptions/>
  <pageMargins left="1.55" right="0.7086614173228347" top="0.7480314960629921" bottom="0.7480314960629921" header="0.31496062992125984" footer="0.31496062992125984"/>
  <pageSetup horizontalDpi="600" verticalDpi="600" orientation="landscape" paperSize="5" scale="60" r:id="rId2"/>
  <drawing r:id="rId1"/>
</worksheet>
</file>

<file path=xl/worksheets/sheet5.xml><?xml version="1.0" encoding="utf-8"?>
<worksheet xmlns="http://schemas.openxmlformats.org/spreadsheetml/2006/main" xmlns:r="http://schemas.openxmlformats.org/officeDocument/2006/relationships">
  <sheetPr>
    <tabColor rgb="FF00B050"/>
  </sheetPr>
  <dimension ref="B3:Y82"/>
  <sheetViews>
    <sheetView showGridLines="0" showRowColHeaders="0" zoomScalePageLayoutView="0" workbookViewId="0" topLeftCell="A1">
      <selection activeCell="C10" sqref="C10:Y10"/>
    </sheetView>
  </sheetViews>
  <sheetFormatPr defaultColWidth="11.421875" defaultRowHeight="15"/>
  <cols>
    <col min="1" max="1" width="3.28125" style="0" customWidth="1"/>
  </cols>
  <sheetData>
    <row r="3" spans="2:25" ht="15">
      <c r="B3" s="1366"/>
      <c r="C3" s="1366"/>
      <c r="D3" s="1366"/>
      <c r="E3" s="1366"/>
      <c r="F3" s="1366"/>
      <c r="G3" s="1366"/>
      <c r="H3" s="1465" t="s">
        <v>148</v>
      </c>
      <c r="I3" s="1465"/>
      <c r="J3" s="1465"/>
      <c r="K3" s="1465"/>
      <c r="L3" s="1465"/>
      <c r="M3" s="1465"/>
      <c r="N3" s="1465"/>
      <c r="O3" s="1465"/>
      <c r="P3" s="1465"/>
      <c r="Q3" s="1465"/>
      <c r="R3" s="1465"/>
      <c r="S3" s="1465"/>
      <c r="T3" s="1465" t="s">
        <v>149</v>
      </c>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15">
      <c r="B5" s="1366"/>
      <c r="C5" s="1366"/>
      <c r="D5" s="1366"/>
      <c r="E5" s="1366"/>
      <c r="F5" s="1366"/>
      <c r="G5" s="1366"/>
      <c r="H5" s="1465"/>
      <c r="I5" s="1465"/>
      <c r="J5" s="1465"/>
      <c r="K5" s="1465"/>
      <c r="L5" s="1465"/>
      <c r="M5" s="1465"/>
      <c r="N5" s="1465"/>
      <c r="O5" s="1465"/>
      <c r="P5" s="1465"/>
      <c r="Q5" s="1465"/>
      <c r="R5" s="1465"/>
      <c r="S5" s="1465"/>
      <c r="T5" s="1466"/>
      <c r="U5" s="1466"/>
      <c r="V5" s="1466"/>
      <c r="W5" s="1466"/>
      <c r="X5" s="1466"/>
      <c r="Y5" s="1466"/>
    </row>
    <row r="6" spans="2:25" ht="20.25">
      <c r="B6" s="1366"/>
      <c r="C6" s="1366"/>
      <c r="D6" s="1366"/>
      <c r="E6" s="1366"/>
      <c r="F6" s="1366"/>
      <c r="G6" s="1366"/>
      <c r="H6" s="1365" t="s">
        <v>150</v>
      </c>
      <c r="I6" s="1384"/>
      <c r="J6" s="1384"/>
      <c r="K6" s="1384"/>
      <c r="L6" s="1384"/>
      <c r="M6" s="1384"/>
      <c r="N6" s="1384"/>
      <c r="O6" s="1384"/>
      <c r="P6" s="1384"/>
      <c r="Q6" s="1384"/>
      <c r="R6" s="1384"/>
      <c r="S6" s="1384"/>
      <c r="T6" s="1365" t="s">
        <v>151</v>
      </c>
      <c r="U6" s="1366"/>
      <c r="V6" s="1366"/>
      <c r="W6" s="1366"/>
      <c r="X6" s="1366"/>
      <c r="Y6" s="1366"/>
    </row>
    <row r="7" spans="2:25" ht="20.25">
      <c r="B7" s="1366"/>
      <c r="C7" s="1366"/>
      <c r="D7" s="1366"/>
      <c r="E7" s="1366"/>
      <c r="F7" s="1366"/>
      <c r="G7" s="1366"/>
      <c r="H7" s="1365" t="s">
        <v>152</v>
      </c>
      <c r="I7" s="1384"/>
      <c r="J7" s="1384"/>
      <c r="K7" s="1384"/>
      <c r="L7" s="1384"/>
      <c r="M7" s="1384"/>
      <c r="N7" s="1384"/>
      <c r="O7" s="1384"/>
      <c r="P7" s="1384"/>
      <c r="Q7" s="1384"/>
      <c r="R7" s="1384"/>
      <c r="S7" s="1384"/>
      <c r="T7" s="1365" t="s">
        <v>153</v>
      </c>
      <c r="U7" s="1366"/>
      <c r="V7" s="1366"/>
      <c r="W7" s="1366"/>
      <c r="X7" s="1366"/>
      <c r="Y7" s="1366"/>
    </row>
    <row r="8" spans="2:25" ht="15">
      <c r="B8" s="996"/>
      <c r="C8" s="996"/>
      <c r="D8" s="996"/>
      <c r="E8" s="996"/>
      <c r="F8" s="996"/>
      <c r="G8" s="996"/>
      <c r="H8" s="996"/>
      <c r="I8" s="996"/>
      <c r="J8" s="996"/>
      <c r="K8" s="996"/>
      <c r="L8" s="996"/>
      <c r="M8" s="996"/>
      <c r="N8" s="996"/>
      <c r="O8" s="996"/>
      <c r="P8" s="996"/>
      <c r="Q8" s="996"/>
      <c r="R8" s="996"/>
      <c r="S8" s="996"/>
      <c r="T8" s="996"/>
      <c r="U8" s="996"/>
      <c r="V8" s="996"/>
      <c r="W8" s="996"/>
      <c r="X8" s="996"/>
      <c r="Y8" s="996"/>
    </row>
    <row r="9" spans="2:25" ht="15">
      <c r="B9" s="1031" t="s">
        <v>103</v>
      </c>
      <c r="C9" s="1042" t="s">
        <v>1413</v>
      </c>
      <c r="D9" s="1042"/>
      <c r="E9" s="1042"/>
      <c r="F9" s="1042"/>
      <c r="G9" s="1042"/>
      <c r="H9" s="1042"/>
      <c r="I9" s="1042"/>
      <c r="J9" s="1042"/>
      <c r="K9" s="1042"/>
      <c r="L9" s="1042"/>
      <c r="M9" s="1042"/>
      <c r="N9" s="1667"/>
      <c r="O9" s="1668"/>
      <c r="P9" s="1668"/>
      <c r="Q9" s="1668"/>
      <c r="R9" s="1668"/>
      <c r="S9" s="1668"/>
      <c r="T9" s="1668"/>
      <c r="U9" s="1668"/>
      <c r="V9" s="1668"/>
      <c r="W9" s="1668"/>
      <c r="X9" s="1669"/>
      <c r="Y9" s="1013"/>
    </row>
    <row r="10" spans="2:25" ht="15">
      <c r="B10" s="1031" t="s">
        <v>154</v>
      </c>
      <c r="C10" s="1575" t="s">
        <v>1344</v>
      </c>
      <c r="D10" s="1575"/>
      <c r="E10" s="1575"/>
      <c r="F10" s="1575"/>
      <c r="G10" s="1575"/>
      <c r="H10" s="1575"/>
      <c r="I10" s="1575"/>
      <c r="J10" s="1575"/>
      <c r="K10" s="1575"/>
      <c r="L10" s="1575"/>
      <c r="M10" s="1575"/>
      <c r="N10" s="1575"/>
      <c r="O10" s="1575"/>
      <c r="P10" s="1575"/>
      <c r="Q10" s="1575"/>
      <c r="R10" s="1575"/>
      <c r="S10" s="1575"/>
      <c r="T10" s="1575"/>
      <c r="U10" s="1575"/>
      <c r="V10" s="1575"/>
      <c r="W10" s="1575"/>
      <c r="X10" s="1575"/>
      <c r="Y10" s="1657"/>
    </row>
    <row r="11" spans="2:25" ht="23.25" customHeight="1">
      <c r="B11" s="1044" t="s">
        <v>1387</v>
      </c>
      <c r="C11" s="1042" t="s">
        <v>1390</v>
      </c>
      <c r="D11" s="1042"/>
      <c r="E11" s="1042"/>
      <c r="F11" s="1042"/>
      <c r="G11" s="1042"/>
      <c r="H11" s="1042"/>
      <c r="I11" s="1042"/>
      <c r="J11" s="1042"/>
      <c r="K11" s="1042"/>
      <c r="L11" s="1042"/>
      <c r="M11" s="1043"/>
      <c r="N11" s="969"/>
      <c r="O11" s="263"/>
      <c r="P11" s="263"/>
      <c r="Q11" s="263"/>
      <c r="R11" s="263"/>
      <c r="S11" s="263"/>
      <c r="T11" s="263"/>
      <c r="U11" s="263"/>
      <c r="V11" s="263"/>
      <c r="W11" s="263"/>
      <c r="X11" s="263"/>
      <c r="Y11" s="1013"/>
    </row>
    <row r="12" spans="2:25" ht="15">
      <c r="B12" s="996"/>
      <c r="C12" s="996"/>
      <c r="D12" s="996"/>
      <c r="E12" s="996"/>
      <c r="F12" s="996"/>
      <c r="G12" s="996"/>
      <c r="H12" s="996"/>
      <c r="I12" s="996"/>
      <c r="J12" s="996"/>
      <c r="K12" s="996"/>
      <c r="L12" s="996"/>
      <c r="M12" s="996"/>
      <c r="N12" s="996"/>
      <c r="O12" s="996"/>
      <c r="P12" s="996"/>
      <c r="Q12" s="996"/>
      <c r="R12" s="996"/>
      <c r="S12" s="996"/>
      <c r="T12" s="1483" t="s">
        <v>1345</v>
      </c>
      <c r="U12" s="1483"/>
      <c r="V12" s="1483"/>
      <c r="W12" s="1483"/>
      <c r="X12" s="1483"/>
      <c r="Y12" s="996"/>
    </row>
    <row r="13" spans="2:25" ht="27">
      <c r="B13" s="1670" t="s">
        <v>103</v>
      </c>
      <c r="C13" s="1671" t="s">
        <v>140</v>
      </c>
      <c r="D13" s="1673" t="s">
        <v>0</v>
      </c>
      <c r="E13" s="1674" t="s">
        <v>140</v>
      </c>
      <c r="F13" s="1675" t="s">
        <v>141</v>
      </c>
      <c r="G13" s="1674" t="s">
        <v>104</v>
      </c>
      <c r="H13" s="1674" t="s">
        <v>142</v>
      </c>
      <c r="I13" s="1674" t="s">
        <v>143</v>
      </c>
      <c r="J13" s="1674" t="s">
        <v>1</v>
      </c>
      <c r="K13" s="1674" t="s">
        <v>2</v>
      </c>
      <c r="L13" s="1674" t="s">
        <v>140</v>
      </c>
      <c r="M13" s="1674" t="s">
        <v>3</v>
      </c>
      <c r="N13" s="1674" t="s">
        <v>4</v>
      </c>
      <c r="O13" s="1677" t="s">
        <v>5</v>
      </c>
      <c r="P13" s="32" t="s">
        <v>144</v>
      </c>
      <c r="Q13" s="32" t="s">
        <v>144</v>
      </c>
      <c r="R13" s="32" t="s">
        <v>145</v>
      </c>
      <c r="S13" s="32" t="s">
        <v>144</v>
      </c>
      <c r="T13" s="8">
        <v>2012</v>
      </c>
      <c r="U13" s="33">
        <v>2013</v>
      </c>
      <c r="V13" s="33">
        <v>2014</v>
      </c>
      <c r="W13" s="33">
        <v>2015</v>
      </c>
      <c r="X13" s="33" t="s">
        <v>146</v>
      </c>
      <c r="Y13" s="33" t="s">
        <v>147</v>
      </c>
    </row>
    <row r="14" spans="2:25" ht="15">
      <c r="B14" s="1670"/>
      <c r="C14" s="1672"/>
      <c r="D14" s="1673"/>
      <c r="E14" s="1674"/>
      <c r="F14" s="1676"/>
      <c r="G14" s="1674"/>
      <c r="H14" s="1674"/>
      <c r="I14" s="1674"/>
      <c r="J14" s="1674"/>
      <c r="K14" s="1674"/>
      <c r="L14" s="1674"/>
      <c r="M14" s="1674"/>
      <c r="N14" s="1674"/>
      <c r="O14" s="1677"/>
      <c r="P14" s="7">
        <v>2012</v>
      </c>
      <c r="Q14" s="7">
        <v>2013</v>
      </c>
      <c r="R14" s="7">
        <v>2014</v>
      </c>
      <c r="S14" s="7">
        <v>2015</v>
      </c>
      <c r="T14" s="8"/>
      <c r="U14" s="9"/>
      <c r="V14" s="9"/>
      <c r="W14" s="9"/>
      <c r="X14" s="9"/>
      <c r="Y14" s="9"/>
    </row>
    <row r="15" spans="2:25" ht="90">
      <c r="B15" s="1678" t="s">
        <v>123</v>
      </c>
      <c r="C15" s="1681">
        <v>0.34</v>
      </c>
      <c r="D15" s="1684" t="s">
        <v>403</v>
      </c>
      <c r="E15" s="1687">
        <v>100</v>
      </c>
      <c r="F15" s="1690" t="s">
        <v>1346</v>
      </c>
      <c r="G15" s="1678" t="s">
        <v>1347</v>
      </c>
      <c r="H15" s="1695">
        <v>0.1</v>
      </c>
      <c r="I15" s="1695">
        <v>0.3</v>
      </c>
      <c r="J15" s="1698" t="s">
        <v>404</v>
      </c>
      <c r="K15" s="954" t="s">
        <v>406</v>
      </c>
      <c r="L15" s="956">
        <v>10</v>
      </c>
      <c r="M15" s="253">
        <v>19</v>
      </c>
      <c r="N15" s="954" t="s">
        <v>413</v>
      </c>
      <c r="O15" s="957" t="s">
        <v>1348</v>
      </c>
      <c r="P15" s="958">
        <v>25</v>
      </c>
      <c r="Q15" s="958">
        <v>30</v>
      </c>
      <c r="R15" s="958">
        <v>30</v>
      </c>
      <c r="S15" s="958">
        <v>30</v>
      </c>
      <c r="T15" s="959">
        <v>95000</v>
      </c>
      <c r="U15" s="960">
        <v>0</v>
      </c>
      <c r="V15" s="960">
        <v>0</v>
      </c>
      <c r="W15" s="959">
        <v>169442.908</v>
      </c>
      <c r="X15" s="959">
        <f>(T15+U15+V15+W15)</f>
        <v>264442.908</v>
      </c>
      <c r="Y15" s="960" t="s">
        <v>1349</v>
      </c>
    </row>
    <row r="16" spans="2:25" ht="67.5">
      <c r="B16" s="1679"/>
      <c r="C16" s="1682"/>
      <c r="D16" s="1685"/>
      <c r="E16" s="1688"/>
      <c r="F16" s="1691"/>
      <c r="G16" s="1693"/>
      <c r="H16" s="1696"/>
      <c r="I16" s="1696"/>
      <c r="J16" s="1699"/>
      <c r="K16" s="954" t="s">
        <v>407</v>
      </c>
      <c r="L16" s="956">
        <v>7</v>
      </c>
      <c r="M16" s="253">
        <v>30</v>
      </c>
      <c r="N16" s="954" t="s">
        <v>414</v>
      </c>
      <c r="O16" s="956">
        <v>11</v>
      </c>
      <c r="P16" s="958">
        <v>11</v>
      </c>
      <c r="Q16" s="958">
        <v>21</v>
      </c>
      <c r="R16" s="958">
        <v>26</v>
      </c>
      <c r="S16" s="958">
        <v>30</v>
      </c>
      <c r="T16" s="959">
        <v>10000</v>
      </c>
      <c r="U16" s="959">
        <f>(25000+123000)</f>
        <v>148000</v>
      </c>
      <c r="V16" s="959">
        <f>(25000+99726.9)</f>
        <v>124726.9</v>
      </c>
      <c r="W16" s="960">
        <f>(25000+150000)</f>
        <v>175000</v>
      </c>
      <c r="X16" s="959">
        <f>(T16+U16+V16+W16)</f>
        <v>457726.9</v>
      </c>
      <c r="Y16" s="960" t="s">
        <v>1349</v>
      </c>
    </row>
    <row r="17" spans="2:25" ht="112.5">
      <c r="B17" s="1679"/>
      <c r="C17" s="1682"/>
      <c r="D17" s="1685"/>
      <c r="E17" s="1688"/>
      <c r="F17" s="1691"/>
      <c r="G17" s="1693"/>
      <c r="H17" s="1696"/>
      <c r="I17" s="1696"/>
      <c r="J17" s="1699"/>
      <c r="K17" s="954" t="s">
        <v>1350</v>
      </c>
      <c r="L17" s="956">
        <v>10</v>
      </c>
      <c r="M17" s="253">
        <v>30</v>
      </c>
      <c r="N17" s="954" t="s">
        <v>415</v>
      </c>
      <c r="O17" s="956">
        <v>0</v>
      </c>
      <c r="P17" s="960">
        <v>15</v>
      </c>
      <c r="Q17" s="960">
        <v>20</v>
      </c>
      <c r="R17" s="960">
        <v>25</v>
      </c>
      <c r="S17" s="960">
        <v>30</v>
      </c>
      <c r="T17" s="959">
        <v>75000</v>
      </c>
      <c r="U17" s="959">
        <f>(15000+123000)</f>
        <v>138000</v>
      </c>
      <c r="V17" s="959">
        <f>(15000+100000)</f>
        <v>115000</v>
      </c>
      <c r="W17" s="959">
        <v>15000</v>
      </c>
      <c r="X17" s="959">
        <f>(T17+U17+V17+W17)</f>
        <v>343000</v>
      </c>
      <c r="Y17" s="960" t="s">
        <v>1349</v>
      </c>
    </row>
    <row r="18" spans="2:25" ht="67.5">
      <c r="B18" s="1679"/>
      <c r="C18" s="1682"/>
      <c r="D18" s="1685"/>
      <c r="E18" s="1688"/>
      <c r="F18" s="1691"/>
      <c r="G18" s="1693"/>
      <c r="H18" s="1696"/>
      <c r="I18" s="1696"/>
      <c r="J18" s="1699"/>
      <c r="K18" s="954" t="s">
        <v>408</v>
      </c>
      <c r="L18" s="956">
        <v>5</v>
      </c>
      <c r="M18" s="253">
        <v>30</v>
      </c>
      <c r="N18" s="954" t="s">
        <v>416</v>
      </c>
      <c r="O18" s="956">
        <v>0</v>
      </c>
      <c r="P18" s="960">
        <v>15</v>
      </c>
      <c r="Q18" s="960">
        <v>20</v>
      </c>
      <c r="R18" s="960">
        <v>25</v>
      </c>
      <c r="S18" s="960">
        <v>30</v>
      </c>
      <c r="T18" s="960">
        <v>0</v>
      </c>
      <c r="U18" s="959">
        <f>(10000+123000)</f>
        <v>133000</v>
      </c>
      <c r="V18" s="959">
        <f>(10000+100000)</f>
        <v>110000</v>
      </c>
      <c r="W18" s="959">
        <v>10000</v>
      </c>
      <c r="X18" s="959">
        <f>(T18+U18+V18+W18)</f>
        <v>253000</v>
      </c>
      <c r="Y18" s="960" t="s">
        <v>1349</v>
      </c>
    </row>
    <row r="19" spans="2:25" ht="15">
      <c r="B19" s="1679"/>
      <c r="C19" s="1682"/>
      <c r="D19" s="1685"/>
      <c r="E19" s="1688"/>
      <c r="F19" s="1691"/>
      <c r="G19" s="1693"/>
      <c r="H19" s="1696"/>
      <c r="I19" s="1696"/>
      <c r="J19" s="1700" t="s">
        <v>405</v>
      </c>
      <c r="K19" s="1700" t="s">
        <v>409</v>
      </c>
      <c r="L19" s="1701">
        <v>6</v>
      </c>
      <c r="M19" s="1701">
        <v>400</v>
      </c>
      <c r="N19" s="1701" t="s">
        <v>417</v>
      </c>
      <c r="O19" s="1701">
        <v>0</v>
      </c>
      <c r="P19" s="1699">
        <v>0</v>
      </c>
      <c r="Q19" s="1699">
        <v>150</v>
      </c>
      <c r="R19" s="1699">
        <v>300</v>
      </c>
      <c r="S19" s="1699">
        <v>400</v>
      </c>
      <c r="T19" s="1699">
        <v>0</v>
      </c>
      <c r="U19" s="1702">
        <v>15000</v>
      </c>
      <c r="V19" s="1702">
        <f>(15000+150792.5)</f>
        <v>165792.5</v>
      </c>
      <c r="W19" s="1702">
        <f>(15000+50374.177)</f>
        <v>65374.177</v>
      </c>
      <c r="X19" s="1702">
        <f>(T19+U19+V19+W19)</f>
        <v>246166.677</v>
      </c>
      <c r="Y19" s="1699" t="s">
        <v>1349</v>
      </c>
    </row>
    <row r="20" spans="2:25" ht="15">
      <c r="B20" s="1679"/>
      <c r="C20" s="1682"/>
      <c r="D20" s="1685"/>
      <c r="E20" s="1688"/>
      <c r="F20" s="1691"/>
      <c r="G20" s="1693"/>
      <c r="H20" s="1696"/>
      <c r="I20" s="1696"/>
      <c r="J20" s="1699"/>
      <c r="K20" s="1700"/>
      <c r="L20" s="1701"/>
      <c r="M20" s="1701"/>
      <c r="N20" s="1701"/>
      <c r="O20" s="1701"/>
      <c r="P20" s="1699"/>
      <c r="Q20" s="1699"/>
      <c r="R20" s="1699"/>
      <c r="S20" s="1699"/>
      <c r="T20" s="1699"/>
      <c r="U20" s="1702"/>
      <c r="V20" s="1702"/>
      <c r="W20" s="1702"/>
      <c r="X20" s="1702"/>
      <c r="Y20" s="1699"/>
    </row>
    <row r="21" spans="2:25" ht="15">
      <c r="B21" s="1679"/>
      <c r="C21" s="1682"/>
      <c r="D21" s="1685"/>
      <c r="E21" s="1688"/>
      <c r="F21" s="1691"/>
      <c r="G21" s="1693"/>
      <c r="H21" s="1696"/>
      <c r="I21" s="1696"/>
      <c r="J21" s="1699"/>
      <c r="K21" s="1700"/>
      <c r="L21" s="1701"/>
      <c r="M21" s="1701"/>
      <c r="N21" s="1701"/>
      <c r="O21" s="1701"/>
      <c r="P21" s="1699"/>
      <c r="Q21" s="1699"/>
      <c r="R21" s="1699"/>
      <c r="S21" s="1699"/>
      <c r="T21" s="1699"/>
      <c r="U21" s="1702"/>
      <c r="V21" s="1702"/>
      <c r="W21" s="1702"/>
      <c r="X21" s="1702"/>
      <c r="Y21" s="1699"/>
    </row>
    <row r="22" spans="2:25" ht="15">
      <c r="B22" s="1679"/>
      <c r="C22" s="1682"/>
      <c r="D22" s="1685"/>
      <c r="E22" s="1688"/>
      <c r="F22" s="1691"/>
      <c r="G22" s="1693"/>
      <c r="H22" s="1696"/>
      <c r="I22" s="1696"/>
      <c r="J22" s="1699"/>
      <c r="K22" s="1700"/>
      <c r="L22" s="1701"/>
      <c r="M22" s="1701"/>
      <c r="N22" s="1701"/>
      <c r="O22" s="1701"/>
      <c r="P22" s="1699"/>
      <c r="Q22" s="1699"/>
      <c r="R22" s="1699"/>
      <c r="S22" s="1699"/>
      <c r="T22" s="1699"/>
      <c r="U22" s="1702"/>
      <c r="V22" s="1702"/>
      <c r="W22" s="1702"/>
      <c r="X22" s="1702"/>
      <c r="Y22" s="1699"/>
    </row>
    <row r="23" spans="2:25" ht="15">
      <c r="B23" s="1679"/>
      <c r="C23" s="1682"/>
      <c r="D23" s="1685"/>
      <c r="E23" s="1688"/>
      <c r="F23" s="1691"/>
      <c r="G23" s="1693"/>
      <c r="H23" s="1696"/>
      <c r="I23" s="1696"/>
      <c r="J23" s="1699"/>
      <c r="K23" s="1700"/>
      <c r="L23" s="1701"/>
      <c r="M23" s="1701"/>
      <c r="N23" s="1701"/>
      <c r="O23" s="1701"/>
      <c r="P23" s="1699"/>
      <c r="Q23" s="1699"/>
      <c r="R23" s="1699"/>
      <c r="S23" s="1699"/>
      <c r="T23" s="1699"/>
      <c r="U23" s="1702"/>
      <c r="V23" s="1702"/>
      <c r="W23" s="1702"/>
      <c r="X23" s="1702"/>
      <c r="Y23" s="1699"/>
    </row>
    <row r="24" spans="2:25" ht="15">
      <c r="B24" s="1679"/>
      <c r="C24" s="1682"/>
      <c r="D24" s="1685"/>
      <c r="E24" s="1688"/>
      <c r="F24" s="1691"/>
      <c r="G24" s="1693"/>
      <c r="H24" s="1696"/>
      <c r="I24" s="1696"/>
      <c r="J24" s="1699"/>
      <c r="K24" s="1700"/>
      <c r="L24" s="1701"/>
      <c r="M24" s="1701"/>
      <c r="N24" s="1701"/>
      <c r="O24" s="1701"/>
      <c r="P24" s="1699"/>
      <c r="Q24" s="1699"/>
      <c r="R24" s="1699"/>
      <c r="S24" s="1699"/>
      <c r="T24" s="1699"/>
      <c r="U24" s="1702"/>
      <c r="V24" s="1702"/>
      <c r="W24" s="1702"/>
      <c r="X24" s="1702"/>
      <c r="Y24" s="1699"/>
    </row>
    <row r="25" spans="2:25" ht="15">
      <c r="B25" s="1679"/>
      <c r="C25" s="1682"/>
      <c r="D25" s="1685"/>
      <c r="E25" s="1688"/>
      <c r="F25" s="1691"/>
      <c r="G25" s="1693"/>
      <c r="H25" s="1696"/>
      <c r="I25" s="1696"/>
      <c r="J25" s="1699"/>
      <c r="K25" s="1700"/>
      <c r="L25" s="1701"/>
      <c r="M25" s="1701"/>
      <c r="N25" s="1701"/>
      <c r="O25" s="1701"/>
      <c r="P25" s="1699"/>
      <c r="Q25" s="1699"/>
      <c r="R25" s="1699"/>
      <c r="S25" s="1699"/>
      <c r="T25" s="1699"/>
      <c r="U25" s="1702"/>
      <c r="V25" s="1702"/>
      <c r="W25" s="1702"/>
      <c r="X25" s="1702"/>
      <c r="Y25" s="1699"/>
    </row>
    <row r="26" spans="2:25" ht="15">
      <c r="B26" s="1679"/>
      <c r="C26" s="1682"/>
      <c r="D26" s="1685"/>
      <c r="E26" s="1688"/>
      <c r="F26" s="1691"/>
      <c r="G26" s="1693"/>
      <c r="H26" s="1696"/>
      <c r="I26" s="1696"/>
      <c r="J26" s="1699"/>
      <c r="K26" s="1700"/>
      <c r="L26" s="1701"/>
      <c r="M26" s="1701"/>
      <c r="N26" s="1701"/>
      <c r="O26" s="1701"/>
      <c r="P26" s="1699"/>
      <c r="Q26" s="1699"/>
      <c r="R26" s="1699"/>
      <c r="S26" s="1699"/>
      <c r="T26" s="1699"/>
      <c r="U26" s="1702"/>
      <c r="V26" s="1702"/>
      <c r="W26" s="1702"/>
      <c r="X26" s="1702"/>
      <c r="Y26" s="1699"/>
    </row>
    <row r="27" spans="2:25" ht="114.75">
      <c r="B27" s="1679"/>
      <c r="C27" s="1682"/>
      <c r="D27" s="1685"/>
      <c r="E27" s="1688"/>
      <c r="F27" s="1691"/>
      <c r="G27" s="1693"/>
      <c r="H27" s="1696"/>
      <c r="I27" s="1696"/>
      <c r="J27" s="1699"/>
      <c r="K27" s="954" t="s">
        <v>410</v>
      </c>
      <c r="L27" s="956">
        <v>10</v>
      </c>
      <c r="M27" s="957">
        <v>400</v>
      </c>
      <c r="N27" s="956" t="s">
        <v>418</v>
      </c>
      <c r="O27" s="957">
        <v>0</v>
      </c>
      <c r="P27" s="960">
        <v>100</v>
      </c>
      <c r="Q27" s="960">
        <v>200</v>
      </c>
      <c r="R27" s="960">
        <v>300</v>
      </c>
      <c r="S27" s="960">
        <v>400</v>
      </c>
      <c r="T27" s="959">
        <v>20000</v>
      </c>
      <c r="U27" s="959">
        <f>(20000+325000)</f>
        <v>345000</v>
      </c>
      <c r="V27" s="959">
        <f>(20000+150000)</f>
        <v>170000</v>
      </c>
      <c r="W27" s="959">
        <f>(20000+250000)</f>
        <v>270000</v>
      </c>
      <c r="X27" s="959">
        <f>(T27+U27+V27+W27)</f>
        <v>805000</v>
      </c>
      <c r="Y27" s="960" t="s">
        <v>1349</v>
      </c>
    </row>
    <row r="28" spans="2:25" ht="15">
      <c r="B28" s="1679"/>
      <c r="C28" s="1682"/>
      <c r="D28" s="1685"/>
      <c r="E28" s="1688"/>
      <c r="F28" s="1691"/>
      <c r="G28" s="1693"/>
      <c r="H28" s="1696"/>
      <c r="I28" s="1696"/>
      <c r="J28" s="1699"/>
      <c r="K28" s="1700" t="s">
        <v>1351</v>
      </c>
      <c r="L28" s="1701">
        <v>6</v>
      </c>
      <c r="M28" s="1701">
        <v>10</v>
      </c>
      <c r="N28" s="1701" t="s">
        <v>421</v>
      </c>
      <c r="O28" s="1701">
        <v>0</v>
      </c>
      <c r="P28" s="1699">
        <v>0</v>
      </c>
      <c r="Q28" s="1699">
        <v>3</v>
      </c>
      <c r="R28" s="1699">
        <v>7</v>
      </c>
      <c r="S28" s="1699">
        <v>10</v>
      </c>
      <c r="T28" s="1699">
        <v>0</v>
      </c>
      <c r="U28" s="1702">
        <v>20000</v>
      </c>
      <c r="V28" s="1702">
        <v>20000</v>
      </c>
      <c r="W28" s="1702">
        <v>20000</v>
      </c>
      <c r="X28" s="1702">
        <f>(T28+U28+V28+W28)</f>
        <v>60000</v>
      </c>
      <c r="Y28" s="1699" t="s">
        <v>1349</v>
      </c>
    </row>
    <row r="29" spans="2:25" ht="15">
      <c r="B29" s="1679"/>
      <c r="C29" s="1682"/>
      <c r="D29" s="1685"/>
      <c r="E29" s="1688"/>
      <c r="F29" s="1691"/>
      <c r="G29" s="1693"/>
      <c r="H29" s="1696"/>
      <c r="I29" s="1696"/>
      <c r="J29" s="1699"/>
      <c r="K29" s="1700"/>
      <c r="L29" s="1701"/>
      <c r="M29" s="1701"/>
      <c r="N29" s="1701"/>
      <c r="O29" s="1701"/>
      <c r="P29" s="1699"/>
      <c r="Q29" s="1699"/>
      <c r="R29" s="1699"/>
      <c r="S29" s="1699"/>
      <c r="T29" s="1699"/>
      <c r="U29" s="1702"/>
      <c r="V29" s="1702"/>
      <c r="W29" s="1702"/>
      <c r="X29" s="1702"/>
      <c r="Y29" s="1699"/>
    </row>
    <row r="30" spans="2:25" ht="15">
      <c r="B30" s="1679"/>
      <c r="C30" s="1682"/>
      <c r="D30" s="1685"/>
      <c r="E30" s="1688"/>
      <c r="F30" s="1691"/>
      <c r="G30" s="1693"/>
      <c r="H30" s="1696"/>
      <c r="I30" s="1696"/>
      <c r="J30" s="1699"/>
      <c r="K30" s="1700"/>
      <c r="L30" s="1701"/>
      <c r="M30" s="1701"/>
      <c r="N30" s="1701"/>
      <c r="O30" s="1701"/>
      <c r="P30" s="1699"/>
      <c r="Q30" s="1699"/>
      <c r="R30" s="1699"/>
      <c r="S30" s="1699"/>
      <c r="T30" s="1699"/>
      <c r="U30" s="1702"/>
      <c r="V30" s="1702"/>
      <c r="W30" s="1702"/>
      <c r="X30" s="1702"/>
      <c r="Y30" s="1699"/>
    </row>
    <row r="31" spans="2:25" ht="15">
      <c r="B31" s="1679"/>
      <c r="C31" s="1682"/>
      <c r="D31" s="1685"/>
      <c r="E31" s="1688"/>
      <c r="F31" s="1691"/>
      <c r="G31" s="1693"/>
      <c r="H31" s="1696"/>
      <c r="I31" s="1696"/>
      <c r="J31" s="1699"/>
      <c r="K31" s="1700"/>
      <c r="L31" s="1701"/>
      <c r="M31" s="1701"/>
      <c r="N31" s="1701"/>
      <c r="O31" s="1701"/>
      <c r="P31" s="1699"/>
      <c r="Q31" s="1699"/>
      <c r="R31" s="1699"/>
      <c r="S31" s="1699"/>
      <c r="T31" s="1699"/>
      <c r="U31" s="1702"/>
      <c r="V31" s="1702"/>
      <c r="W31" s="1702"/>
      <c r="X31" s="1702"/>
      <c r="Y31" s="1699"/>
    </row>
    <row r="32" spans="2:25" ht="15">
      <c r="B32" s="1679"/>
      <c r="C32" s="1682"/>
      <c r="D32" s="1685"/>
      <c r="E32" s="1688"/>
      <c r="F32" s="1691"/>
      <c r="G32" s="1693"/>
      <c r="H32" s="1696"/>
      <c r="I32" s="1696"/>
      <c r="J32" s="1699"/>
      <c r="K32" s="1700"/>
      <c r="L32" s="1701"/>
      <c r="M32" s="1701"/>
      <c r="N32" s="1701"/>
      <c r="O32" s="1701"/>
      <c r="P32" s="1699"/>
      <c r="Q32" s="1699"/>
      <c r="R32" s="1699"/>
      <c r="S32" s="1699"/>
      <c r="T32" s="1699"/>
      <c r="U32" s="1702"/>
      <c r="V32" s="1702"/>
      <c r="W32" s="1702"/>
      <c r="X32" s="1702"/>
      <c r="Y32" s="1699"/>
    </row>
    <row r="33" spans="2:25" ht="15">
      <c r="B33" s="1679"/>
      <c r="C33" s="1682"/>
      <c r="D33" s="1685"/>
      <c r="E33" s="1688"/>
      <c r="F33" s="1691"/>
      <c r="G33" s="1693"/>
      <c r="H33" s="1696"/>
      <c r="I33" s="1696"/>
      <c r="J33" s="1699"/>
      <c r="K33" s="1700"/>
      <c r="L33" s="1701"/>
      <c r="M33" s="1701"/>
      <c r="N33" s="1701"/>
      <c r="O33" s="1701"/>
      <c r="P33" s="1699"/>
      <c r="Q33" s="1699"/>
      <c r="R33" s="1699"/>
      <c r="S33" s="1699"/>
      <c r="T33" s="1699"/>
      <c r="U33" s="1702"/>
      <c r="V33" s="1702"/>
      <c r="W33" s="1702"/>
      <c r="X33" s="1702"/>
      <c r="Y33" s="1699"/>
    </row>
    <row r="34" spans="2:25" ht="15">
      <c r="B34" s="1679"/>
      <c r="C34" s="1682"/>
      <c r="D34" s="1685"/>
      <c r="E34" s="1688"/>
      <c r="F34" s="1691"/>
      <c r="G34" s="1693"/>
      <c r="H34" s="1696"/>
      <c r="I34" s="1696"/>
      <c r="J34" s="1699"/>
      <c r="K34" s="1701" t="s">
        <v>1352</v>
      </c>
      <c r="L34" s="1701">
        <v>6</v>
      </c>
      <c r="M34" s="1701">
        <v>12</v>
      </c>
      <c r="N34" s="1701" t="s">
        <v>419</v>
      </c>
      <c r="O34" s="1701">
        <v>0</v>
      </c>
      <c r="P34" s="1699">
        <v>3</v>
      </c>
      <c r="Q34" s="1699">
        <v>6</v>
      </c>
      <c r="R34" s="1699">
        <v>9</v>
      </c>
      <c r="S34" s="1699">
        <v>12</v>
      </c>
      <c r="T34" s="1699">
        <v>0</v>
      </c>
      <c r="U34" s="1702">
        <v>18000</v>
      </c>
      <c r="V34" s="1702">
        <v>18000</v>
      </c>
      <c r="W34" s="1702">
        <v>18000</v>
      </c>
      <c r="X34" s="1702">
        <f>(T34+U34+V34+W34)</f>
        <v>54000</v>
      </c>
      <c r="Y34" s="1699" t="s">
        <v>1349</v>
      </c>
    </row>
    <row r="35" spans="2:25" ht="15">
      <c r="B35" s="1679"/>
      <c r="C35" s="1682"/>
      <c r="D35" s="1685"/>
      <c r="E35" s="1688"/>
      <c r="F35" s="1691"/>
      <c r="G35" s="1693"/>
      <c r="H35" s="1696"/>
      <c r="I35" s="1696"/>
      <c r="J35" s="1699"/>
      <c r="K35" s="1701"/>
      <c r="L35" s="1701"/>
      <c r="M35" s="1701"/>
      <c r="N35" s="1701"/>
      <c r="O35" s="1701"/>
      <c r="P35" s="1699"/>
      <c r="Q35" s="1699"/>
      <c r="R35" s="1699"/>
      <c r="S35" s="1699"/>
      <c r="T35" s="1699"/>
      <c r="U35" s="1702"/>
      <c r="V35" s="1702"/>
      <c r="W35" s="1702"/>
      <c r="X35" s="1702"/>
      <c r="Y35" s="1699"/>
    </row>
    <row r="36" spans="2:25" ht="15">
      <c r="B36" s="1679"/>
      <c r="C36" s="1682"/>
      <c r="D36" s="1685"/>
      <c r="E36" s="1688"/>
      <c r="F36" s="1691"/>
      <c r="G36" s="1693"/>
      <c r="H36" s="1696"/>
      <c r="I36" s="1696"/>
      <c r="J36" s="1699"/>
      <c r="K36" s="1701"/>
      <c r="L36" s="1701"/>
      <c r="M36" s="1701"/>
      <c r="N36" s="1701"/>
      <c r="O36" s="1701"/>
      <c r="P36" s="1699"/>
      <c r="Q36" s="1699"/>
      <c r="R36" s="1699"/>
      <c r="S36" s="1699"/>
      <c r="T36" s="1699"/>
      <c r="U36" s="1702"/>
      <c r="V36" s="1702"/>
      <c r="W36" s="1702"/>
      <c r="X36" s="1702"/>
      <c r="Y36" s="1699"/>
    </row>
    <row r="37" spans="2:25" ht="15">
      <c r="B37" s="1679"/>
      <c r="C37" s="1682"/>
      <c r="D37" s="1685"/>
      <c r="E37" s="1688"/>
      <c r="F37" s="1691"/>
      <c r="G37" s="1693"/>
      <c r="H37" s="1696"/>
      <c r="I37" s="1696"/>
      <c r="J37" s="1699"/>
      <c r="K37" s="1701"/>
      <c r="L37" s="1701"/>
      <c r="M37" s="1701"/>
      <c r="N37" s="1701"/>
      <c r="O37" s="1701"/>
      <c r="P37" s="1699"/>
      <c r="Q37" s="1699"/>
      <c r="R37" s="1699"/>
      <c r="S37" s="1699"/>
      <c r="T37" s="1699"/>
      <c r="U37" s="1702"/>
      <c r="V37" s="1702"/>
      <c r="W37" s="1702"/>
      <c r="X37" s="1702"/>
      <c r="Y37" s="1699"/>
    </row>
    <row r="38" spans="2:25" ht="15">
      <c r="B38" s="1679"/>
      <c r="C38" s="1682"/>
      <c r="D38" s="1685"/>
      <c r="E38" s="1688"/>
      <c r="F38" s="1691"/>
      <c r="G38" s="1693"/>
      <c r="H38" s="1696"/>
      <c r="I38" s="1696"/>
      <c r="J38" s="1699"/>
      <c r="K38" s="1701"/>
      <c r="L38" s="1701"/>
      <c r="M38" s="1701"/>
      <c r="N38" s="1701"/>
      <c r="O38" s="1701"/>
      <c r="P38" s="1699"/>
      <c r="Q38" s="1699"/>
      <c r="R38" s="1699"/>
      <c r="S38" s="1699"/>
      <c r="T38" s="1699"/>
      <c r="U38" s="1702"/>
      <c r="V38" s="1702"/>
      <c r="W38" s="1702"/>
      <c r="X38" s="1702"/>
      <c r="Y38" s="1699"/>
    </row>
    <row r="39" spans="2:25" ht="15">
      <c r="B39" s="1679"/>
      <c r="C39" s="1682"/>
      <c r="D39" s="1685"/>
      <c r="E39" s="1688"/>
      <c r="F39" s="1691"/>
      <c r="G39" s="1693"/>
      <c r="H39" s="1696"/>
      <c r="I39" s="1696"/>
      <c r="J39" s="1699"/>
      <c r="K39" s="1701"/>
      <c r="L39" s="1701"/>
      <c r="M39" s="1701"/>
      <c r="N39" s="1701"/>
      <c r="O39" s="1701"/>
      <c r="P39" s="1699"/>
      <c r="Q39" s="1699"/>
      <c r="R39" s="1699"/>
      <c r="S39" s="1699"/>
      <c r="T39" s="1699"/>
      <c r="U39" s="1702"/>
      <c r="V39" s="1702"/>
      <c r="W39" s="1702"/>
      <c r="X39" s="1702"/>
      <c r="Y39" s="1699"/>
    </row>
    <row r="40" spans="2:25" ht="15">
      <c r="B40" s="1679"/>
      <c r="C40" s="1682"/>
      <c r="D40" s="1685"/>
      <c r="E40" s="1688"/>
      <c r="F40" s="1691"/>
      <c r="G40" s="1693"/>
      <c r="H40" s="1696"/>
      <c r="I40" s="1696"/>
      <c r="J40" s="1699"/>
      <c r="K40" s="1701" t="s">
        <v>1353</v>
      </c>
      <c r="L40" s="1701">
        <v>8</v>
      </c>
      <c r="M40" s="1701">
        <v>200</v>
      </c>
      <c r="N40" s="1701" t="s">
        <v>422</v>
      </c>
      <c r="O40" s="1701">
        <v>0</v>
      </c>
      <c r="P40" s="1699">
        <v>0</v>
      </c>
      <c r="Q40" s="1699">
        <v>70</v>
      </c>
      <c r="R40" s="1699">
        <v>140</v>
      </c>
      <c r="S40" s="1699">
        <v>200</v>
      </c>
      <c r="T40" s="1699">
        <v>0</v>
      </c>
      <c r="U40" s="1702">
        <f>(22000+200000)</f>
        <v>222000</v>
      </c>
      <c r="V40" s="1702">
        <f>(22000+150000)</f>
        <v>172000</v>
      </c>
      <c r="W40" s="1702">
        <f>(22000+200000)</f>
        <v>222000</v>
      </c>
      <c r="X40" s="1702">
        <f>(T40+U40+V40+W40)</f>
        <v>616000</v>
      </c>
      <c r="Y40" s="1699" t="s">
        <v>1349</v>
      </c>
    </row>
    <row r="41" spans="2:25" ht="15">
      <c r="B41" s="1679"/>
      <c r="C41" s="1682"/>
      <c r="D41" s="1685"/>
      <c r="E41" s="1688"/>
      <c r="F41" s="1691"/>
      <c r="G41" s="1693"/>
      <c r="H41" s="1696"/>
      <c r="I41" s="1696"/>
      <c r="J41" s="1699"/>
      <c r="K41" s="1701"/>
      <c r="L41" s="1701"/>
      <c r="M41" s="1701"/>
      <c r="N41" s="1701"/>
      <c r="O41" s="1701"/>
      <c r="P41" s="1699"/>
      <c r="Q41" s="1699"/>
      <c r="R41" s="1699"/>
      <c r="S41" s="1699"/>
      <c r="T41" s="1699"/>
      <c r="U41" s="1702"/>
      <c r="V41" s="1702"/>
      <c r="W41" s="1702"/>
      <c r="X41" s="1702"/>
      <c r="Y41" s="1699"/>
    </row>
    <row r="42" spans="2:25" ht="15">
      <c r="B42" s="1679"/>
      <c r="C42" s="1682"/>
      <c r="D42" s="1685"/>
      <c r="E42" s="1688"/>
      <c r="F42" s="1691"/>
      <c r="G42" s="1693"/>
      <c r="H42" s="1696"/>
      <c r="I42" s="1696"/>
      <c r="J42" s="1699"/>
      <c r="K42" s="1701"/>
      <c r="L42" s="1701"/>
      <c r="M42" s="1701"/>
      <c r="N42" s="1701"/>
      <c r="O42" s="1701"/>
      <c r="P42" s="1699"/>
      <c r="Q42" s="1699"/>
      <c r="R42" s="1699"/>
      <c r="S42" s="1699"/>
      <c r="T42" s="1699"/>
      <c r="U42" s="1702"/>
      <c r="V42" s="1702"/>
      <c r="W42" s="1702"/>
      <c r="X42" s="1702"/>
      <c r="Y42" s="1699"/>
    </row>
    <row r="43" spans="2:25" ht="15">
      <c r="B43" s="1679"/>
      <c r="C43" s="1682"/>
      <c r="D43" s="1685"/>
      <c r="E43" s="1688"/>
      <c r="F43" s="1691"/>
      <c r="G43" s="1693"/>
      <c r="H43" s="1696"/>
      <c r="I43" s="1696"/>
      <c r="J43" s="1699"/>
      <c r="K43" s="1701"/>
      <c r="L43" s="1701"/>
      <c r="M43" s="1701"/>
      <c r="N43" s="1701"/>
      <c r="O43" s="1701"/>
      <c r="P43" s="1699"/>
      <c r="Q43" s="1699"/>
      <c r="R43" s="1699"/>
      <c r="S43" s="1699"/>
      <c r="T43" s="1699"/>
      <c r="U43" s="1702"/>
      <c r="V43" s="1702"/>
      <c r="W43" s="1702"/>
      <c r="X43" s="1702"/>
      <c r="Y43" s="1699"/>
    </row>
    <row r="44" spans="2:25" ht="15">
      <c r="B44" s="1679"/>
      <c r="C44" s="1682"/>
      <c r="D44" s="1685"/>
      <c r="E44" s="1688"/>
      <c r="F44" s="1691"/>
      <c r="G44" s="1693"/>
      <c r="H44" s="1696"/>
      <c r="I44" s="1696"/>
      <c r="J44" s="1699"/>
      <c r="K44" s="1701"/>
      <c r="L44" s="1701"/>
      <c r="M44" s="1701"/>
      <c r="N44" s="1701"/>
      <c r="O44" s="1701"/>
      <c r="P44" s="1699"/>
      <c r="Q44" s="1699"/>
      <c r="R44" s="1699"/>
      <c r="S44" s="1699"/>
      <c r="T44" s="1699"/>
      <c r="U44" s="1702"/>
      <c r="V44" s="1702"/>
      <c r="W44" s="1702"/>
      <c r="X44" s="1702"/>
      <c r="Y44" s="1699"/>
    </row>
    <row r="45" spans="2:25" ht="15">
      <c r="B45" s="1679"/>
      <c r="C45" s="1682"/>
      <c r="D45" s="1685"/>
      <c r="E45" s="1688"/>
      <c r="F45" s="1691"/>
      <c r="G45" s="1693"/>
      <c r="H45" s="1696"/>
      <c r="I45" s="1696"/>
      <c r="J45" s="1699"/>
      <c r="K45" s="1701" t="s">
        <v>411</v>
      </c>
      <c r="L45" s="1701">
        <v>5</v>
      </c>
      <c r="M45" s="1703">
        <v>20</v>
      </c>
      <c r="N45" s="1701" t="s">
        <v>420</v>
      </c>
      <c r="O45" s="1704">
        <v>0</v>
      </c>
      <c r="P45" s="1699">
        <v>5</v>
      </c>
      <c r="Q45" s="1699">
        <v>10</v>
      </c>
      <c r="R45" s="1699">
        <v>15</v>
      </c>
      <c r="S45" s="1699">
        <v>20</v>
      </c>
      <c r="T45" s="1699">
        <v>0</v>
      </c>
      <c r="U45" s="1699">
        <v>0</v>
      </c>
      <c r="V45" s="1699">
        <v>0</v>
      </c>
      <c r="W45" s="1699">
        <v>0</v>
      </c>
      <c r="X45" s="1699">
        <v>0</v>
      </c>
      <c r="Y45" s="1699" t="s">
        <v>1349</v>
      </c>
    </row>
    <row r="46" spans="2:25" ht="15">
      <c r="B46" s="1679"/>
      <c r="C46" s="1682"/>
      <c r="D46" s="1685"/>
      <c r="E46" s="1688"/>
      <c r="F46" s="1691"/>
      <c r="G46" s="1693"/>
      <c r="H46" s="1696"/>
      <c r="I46" s="1696"/>
      <c r="J46" s="1699"/>
      <c r="K46" s="1701"/>
      <c r="L46" s="1701"/>
      <c r="M46" s="1703"/>
      <c r="N46" s="1701"/>
      <c r="O46" s="1704"/>
      <c r="P46" s="1699"/>
      <c r="Q46" s="1699"/>
      <c r="R46" s="1699"/>
      <c r="S46" s="1699"/>
      <c r="T46" s="1699"/>
      <c r="U46" s="1699"/>
      <c r="V46" s="1699"/>
      <c r="W46" s="1699"/>
      <c r="X46" s="1699"/>
      <c r="Y46" s="1699"/>
    </row>
    <row r="47" spans="2:25" ht="15">
      <c r="B47" s="1679"/>
      <c r="C47" s="1682"/>
      <c r="D47" s="1685"/>
      <c r="E47" s="1688"/>
      <c r="F47" s="1691"/>
      <c r="G47" s="1693"/>
      <c r="H47" s="1696"/>
      <c r="I47" s="1696"/>
      <c r="J47" s="1699"/>
      <c r="K47" s="1701"/>
      <c r="L47" s="1701"/>
      <c r="M47" s="1703"/>
      <c r="N47" s="1701"/>
      <c r="O47" s="1704"/>
      <c r="P47" s="1699"/>
      <c r="Q47" s="1699"/>
      <c r="R47" s="1699"/>
      <c r="S47" s="1699"/>
      <c r="T47" s="1699"/>
      <c r="U47" s="1699"/>
      <c r="V47" s="1699"/>
      <c r="W47" s="1699"/>
      <c r="X47" s="1699"/>
      <c r="Y47" s="1699"/>
    </row>
    <row r="48" spans="2:25" ht="15">
      <c r="B48" s="1679"/>
      <c r="C48" s="1682"/>
      <c r="D48" s="1685"/>
      <c r="E48" s="1688"/>
      <c r="F48" s="1691"/>
      <c r="G48" s="1693"/>
      <c r="H48" s="1696"/>
      <c r="I48" s="1696"/>
      <c r="J48" s="1699"/>
      <c r="K48" s="1701"/>
      <c r="L48" s="1701"/>
      <c r="M48" s="1703"/>
      <c r="N48" s="1701"/>
      <c r="O48" s="1704"/>
      <c r="P48" s="1699"/>
      <c r="Q48" s="1699"/>
      <c r="R48" s="1699"/>
      <c r="S48" s="1699"/>
      <c r="T48" s="1699"/>
      <c r="U48" s="1699"/>
      <c r="V48" s="1699"/>
      <c r="W48" s="1699"/>
      <c r="X48" s="1699"/>
      <c r="Y48" s="1699"/>
    </row>
    <row r="49" spans="2:25" ht="15">
      <c r="B49" s="1679"/>
      <c r="C49" s="1682"/>
      <c r="D49" s="1685"/>
      <c r="E49" s="1688"/>
      <c r="F49" s="1691"/>
      <c r="G49" s="1693"/>
      <c r="H49" s="1696"/>
      <c r="I49" s="1696"/>
      <c r="J49" s="1699"/>
      <c r="K49" s="1701"/>
      <c r="L49" s="1701"/>
      <c r="M49" s="1703"/>
      <c r="N49" s="1701"/>
      <c r="O49" s="1704"/>
      <c r="P49" s="1699"/>
      <c r="Q49" s="1699"/>
      <c r="R49" s="1699"/>
      <c r="S49" s="1699"/>
      <c r="T49" s="1699"/>
      <c r="U49" s="1699"/>
      <c r="V49" s="1699"/>
      <c r="W49" s="1699"/>
      <c r="X49" s="1699"/>
      <c r="Y49" s="1699"/>
    </row>
    <row r="50" spans="2:25" ht="15">
      <c r="B50" s="1679"/>
      <c r="C50" s="1682"/>
      <c r="D50" s="1685"/>
      <c r="E50" s="1688"/>
      <c r="F50" s="1691"/>
      <c r="G50" s="1693"/>
      <c r="H50" s="1696"/>
      <c r="I50" s="1696"/>
      <c r="J50" s="1699"/>
      <c r="K50" s="1701"/>
      <c r="L50" s="1701"/>
      <c r="M50" s="1703"/>
      <c r="N50" s="1701"/>
      <c r="O50" s="1704"/>
      <c r="P50" s="1699"/>
      <c r="Q50" s="1699"/>
      <c r="R50" s="1699"/>
      <c r="S50" s="1699"/>
      <c r="T50" s="1699"/>
      <c r="U50" s="1699"/>
      <c r="V50" s="1699"/>
      <c r="W50" s="1699"/>
      <c r="X50" s="1699"/>
      <c r="Y50" s="1699"/>
    </row>
    <row r="51" spans="2:25" ht="15">
      <c r="B51" s="1679"/>
      <c r="C51" s="1682"/>
      <c r="D51" s="1685"/>
      <c r="E51" s="1688"/>
      <c r="F51" s="1691"/>
      <c r="G51" s="1693"/>
      <c r="H51" s="1696"/>
      <c r="I51" s="1696"/>
      <c r="J51" s="1699"/>
      <c r="K51" s="1701"/>
      <c r="L51" s="1701"/>
      <c r="M51" s="1703"/>
      <c r="N51" s="1701"/>
      <c r="O51" s="1704"/>
      <c r="P51" s="1699"/>
      <c r="Q51" s="1699"/>
      <c r="R51" s="1699"/>
      <c r="S51" s="1699"/>
      <c r="T51" s="1699"/>
      <c r="U51" s="1699"/>
      <c r="V51" s="1699"/>
      <c r="W51" s="1699"/>
      <c r="X51" s="1699"/>
      <c r="Y51" s="1699"/>
    </row>
    <row r="52" spans="2:25" ht="15">
      <c r="B52" s="1679"/>
      <c r="C52" s="1682"/>
      <c r="D52" s="1685"/>
      <c r="E52" s="1688"/>
      <c r="F52" s="1691"/>
      <c r="G52" s="1693"/>
      <c r="H52" s="1696"/>
      <c r="I52" s="1696"/>
      <c r="J52" s="1699"/>
      <c r="K52" s="1701" t="s">
        <v>1354</v>
      </c>
      <c r="L52" s="1705">
        <v>5</v>
      </c>
      <c r="M52" s="1705">
        <v>4</v>
      </c>
      <c r="N52" s="1701" t="s">
        <v>1355</v>
      </c>
      <c r="O52" s="1701">
        <v>0</v>
      </c>
      <c r="P52" s="1699">
        <v>1</v>
      </c>
      <c r="Q52" s="1699">
        <v>2</v>
      </c>
      <c r="R52" s="1699">
        <v>3</v>
      </c>
      <c r="S52" s="1699">
        <v>4</v>
      </c>
      <c r="T52" s="1699">
        <v>0</v>
      </c>
      <c r="U52" s="1702">
        <v>5000</v>
      </c>
      <c r="V52" s="1702">
        <v>5000</v>
      </c>
      <c r="W52" s="1702">
        <v>5000</v>
      </c>
      <c r="X52" s="1702">
        <v>15000</v>
      </c>
      <c r="Y52" s="1699" t="s">
        <v>1349</v>
      </c>
    </row>
    <row r="53" spans="2:25" ht="15">
      <c r="B53" s="1679"/>
      <c r="C53" s="1682"/>
      <c r="D53" s="1685"/>
      <c r="E53" s="1688"/>
      <c r="F53" s="1691"/>
      <c r="G53" s="1693"/>
      <c r="H53" s="1696"/>
      <c r="I53" s="1696"/>
      <c r="J53" s="1699"/>
      <c r="K53" s="1701"/>
      <c r="L53" s="1705"/>
      <c r="M53" s="1705"/>
      <c r="N53" s="1701"/>
      <c r="O53" s="1701"/>
      <c r="P53" s="1699"/>
      <c r="Q53" s="1699"/>
      <c r="R53" s="1699"/>
      <c r="S53" s="1699"/>
      <c r="T53" s="1699"/>
      <c r="U53" s="1702"/>
      <c r="V53" s="1702"/>
      <c r="W53" s="1702"/>
      <c r="X53" s="1702"/>
      <c r="Y53" s="1699"/>
    </row>
    <row r="54" spans="2:25" ht="15">
      <c r="B54" s="1679"/>
      <c r="C54" s="1682"/>
      <c r="D54" s="1685"/>
      <c r="E54" s="1688"/>
      <c r="F54" s="1691"/>
      <c r="G54" s="1693"/>
      <c r="H54" s="1696"/>
      <c r="I54" s="1696"/>
      <c r="J54" s="1699"/>
      <c r="K54" s="1701"/>
      <c r="L54" s="1705"/>
      <c r="M54" s="1705"/>
      <c r="N54" s="1701"/>
      <c r="O54" s="1701"/>
      <c r="P54" s="1699"/>
      <c r="Q54" s="1699"/>
      <c r="R54" s="1699"/>
      <c r="S54" s="1699"/>
      <c r="T54" s="1699"/>
      <c r="U54" s="1702"/>
      <c r="V54" s="1702"/>
      <c r="W54" s="1702"/>
      <c r="X54" s="1702"/>
      <c r="Y54" s="1699"/>
    </row>
    <row r="55" spans="2:25" ht="15">
      <c r="B55" s="1679"/>
      <c r="C55" s="1682"/>
      <c r="D55" s="1685"/>
      <c r="E55" s="1688"/>
      <c r="F55" s="1691"/>
      <c r="G55" s="1693"/>
      <c r="H55" s="1696"/>
      <c r="I55" s="1696"/>
      <c r="J55" s="1699"/>
      <c r="K55" s="1701"/>
      <c r="L55" s="1705"/>
      <c r="M55" s="1705"/>
      <c r="N55" s="1701"/>
      <c r="O55" s="1701"/>
      <c r="P55" s="1699"/>
      <c r="Q55" s="1699"/>
      <c r="R55" s="1699"/>
      <c r="S55" s="1699"/>
      <c r="T55" s="1699"/>
      <c r="U55" s="1702"/>
      <c r="V55" s="1702"/>
      <c r="W55" s="1702"/>
      <c r="X55" s="1702"/>
      <c r="Y55" s="1699"/>
    </row>
    <row r="56" spans="2:25" ht="15">
      <c r="B56" s="1679"/>
      <c r="C56" s="1682"/>
      <c r="D56" s="1685"/>
      <c r="E56" s="1688"/>
      <c r="F56" s="1691"/>
      <c r="G56" s="1693"/>
      <c r="H56" s="1696"/>
      <c r="I56" s="1696"/>
      <c r="J56" s="1699"/>
      <c r="K56" s="1701"/>
      <c r="L56" s="1705"/>
      <c r="M56" s="1705"/>
      <c r="N56" s="1701"/>
      <c r="O56" s="1701"/>
      <c r="P56" s="1699"/>
      <c r="Q56" s="1699"/>
      <c r="R56" s="1699"/>
      <c r="S56" s="1699"/>
      <c r="T56" s="1699"/>
      <c r="U56" s="1702"/>
      <c r="V56" s="1702"/>
      <c r="W56" s="1702"/>
      <c r="X56" s="1702"/>
      <c r="Y56" s="1699"/>
    </row>
    <row r="57" spans="2:25" ht="15">
      <c r="B57" s="1679"/>
      <c r="C57" s="1682"/>
      <c r="D57" s="1685"/>
      <c r="E57" s="1688"/>
      <c r="F57" s="1691"/>
      <c r="G57" s="1693"/>
      <c r="H57" s="1696"/>
      <c r="I57" s="1696"/>
      <c r="J57" s="1699"/>
      <c r="K57" s="1701" t="s">
        <v>1356</v>
      </c>
      <c r="L57" s="1701">
        <v>10</v>
      </c>
      <c r="M57" s="1705">
        <v>1</v>
      </c>
      <c r="N57" s="1701" t="s">
        <v>1357</v>
      </c>
      <c r="O57" s="1701">
        <v>0</v>
      </c>
      <c r="P57" s="1699">
        <v>1</v>
      </c>
      <c r="Q57" s="1699">
        <v>1</v>
      </c>
      <c r="R57" s="1699">
        <v>1</v>
      </c>
      <c r="S57" s="1699">
        <v>1</v>
      </c>
      <c r="T57" s="1702">
        <v>50000</v>
      </c>
      <c r="U57" s="1702">
        <f>(100000+100000)</f>
        <v>200000</v>
      </c>
      <c r="V57" s="1702">
        <v>100000</v>
      </c>
      <c r="W57" s="1702">
        <v>100000</v>
      </c>
      <c r="X57" s="1702">
        <f>(T57+U57+V57+W57)</f>
        <v>450000</v>
      </c>
      <c r="Y57" s="1699" t="s">
        <v>1349</v>
      </c>
    </row>
    <row r="58" spans="2:25" ht="15">
      <c r="B58" s="1679"/>
      <c r="C58" s="1682"/>
      <c r="D58" s="1685"/>
      <c r="E58" s="1688"/>
      <c r="F58" s="1691"/>
      <c r="G58" s="1693"/>
      <c r="H58" s="1696"/>
      <c r="I58" s="1696"/>
      <c r="J58" s="1699"/>
      <c r="K58" s="1701"/>
      <c r="L58" s="1701"/>
      <c r="M58" s="1705"/>
      <c r="N58" s="1701"/>
      <c r="O58" s="1701"/>
      <c r="P58" s="1699"/>
      <c r="Q58" s="1699"/>
      <c r="R58" s="1699"/>
      <c r="S58" s="1699"/>
      <c r="T58" s="1702"/>
      <c r="U58" s="1702"/>
      <c r="V58" s="1702"/>
      <c r="W58" s="1702"/>
      <c r="X58" s="1702"/>
      <c r="Y58" s="1699"/>
    </row>
    <row r="59" spans="2:25" ht="15">
      <c r="B59" s="1679"/>
      <c r="C59" s="1682"/>
      <c r="D59" s="1685"/>
      <c r="E59" s="1688"/>
      <c r="F59" s="1691"/>
      <c r="G59" s="1693"/>
      <c r="H59" s="1696"/>
      <c r="I59" s="1696"/>
      <c r="J59" s="1699"/>
      <c r="K59" s="1701"/>
      <c r="L59" s="1701"/>
      <c r="M59" s="1705"/>
      <c r="N59" s="1701"/>
      <c r="O59" s="1701"/>
      <c r="P59" s="1699"/>
      <c r="Q59" s="1699"/>
      <c r="R59" s="1699"/>
      <c r="S59" s="1699"/>
      <c r="T59" s="1702"/>
      <c r="U59" s="1702"/>
      <c r="V59" s="1702"/>
      <c r="W59" s="1702"/>
      <c r="X59" s="1702"/>
      <c r="Y59" s="1699"/>
    </row>
    <row r="60" spans="2:25" ht="15">
      <c r="B60" s="1679"/>
      <c r="C60" s="1682"/>
      <c r="D60" s="1685"/>
      <c r="E60" s="1688"/>
      <c r="F60" s="1691"/>
      <c r="G60" s="1693"/>
      <c r="H60" s="1696"/>
      <c r="I60" s="1696"/>
      <c r="J60" s="1699"/>
      <c r="K60" s="1701"/>
      <c r="L60" s="1701"/>
      <c r="M60" s="1705"/>
      <c r="N60" s="1701"/>
      <c r="O60" s="1701"/>
      <c r="P60" s="1699"/>
      <c r="Q60" s="1699"/>
      <c r="R60" s="1699"/>
      <c r="S60" s="1699"/>
      <c r="T60" s="1702"/>
      <c r="U60" s="1702"/>
      <c r="V60" s="1702"/>
      <c r="W60" s="1702"/>
      <c r="X60" s="1702"/>
      <c r="Y60" s="1699"/>
    </row>
    <row r="61" spans="2:25" ht="15">
      <c r="B61" s="1679"/>
      <c r="C61" s="1682"/>
      <c r="D61" s="1685"/>
      <c r="E61" s="1688"/>
      <c r="F61" s="1691"/>
      <c r="G61" s="1693"/>
      <c r="H61" s="1696"/>
      <c r="I61" s="1696"/>
      <c r="J61" s="1699"/>
      <c r="K61" s="1701"/>
      <c r="L61" s="1701"/>
      <c r="M61" s="1705"/>
      <c r="N61" s="1701"/>
      <c r="O61" s="1701"/>
      <c r="P61" s="1699"/>
      <c r="Q61" s="1699"/>
      <c r="R61" s="1699"/>
      <c r="S61" s="1699"/>
      <c r="T61" s="1702"/>
      <c r="U61" s="1702"/>
      <c r="V61" s="1702"/>
      <c r="W61" s="1702"/>
      <c r="X61" s="1702"/>
      <c r="Y61" s="1699"/>
    </row>
    <row r="62" spans="2:25" ht="15">
      <c r="B62" s="1679"/>
      <c r="C62" s="1682"/>
      <c r="D62" s="1685"/>
      <c r="E62" s="1688"/>
      <c r="F62" s="1691"/>
      <c r="G62" s="1693"/>
      <c r="H62" s="1696"/>
      <c r="I62" s="1696"/>
      <c r="J62" s="1699"/>
      <c r="K62" s="1701"/>
      <c r="L62" s="1701"/>
      <c r="M62" s="1705"/>
      <c r="N62" s="1701"/>
      <c r="O62" s="1701"/>
      <c r="P62" s="1699"/>
      <c r="Q62" s="1699"/>
      <c r="R62" s="1699"/>
      <c r="S62" s="1699"/>
      <c r="T62" s="1702"/>
      <c r="U62" s="1702"/>
      <c r="V62" s="1702"/>
      <c r="W62" s="1702"/>
      <c r="X62" s="1702"/>
      <c r="Y62" s="1699"/>
    </row>
    <row r="63" spans="2:25" ht="15">
      <c r="B63" s="1679"/>
      <c r="C63" s="1682"/>
      <c r="D63" s="1685"/>
      <c r="E63" s="1688"/>
      <c r="F63" s="1691"/>
      <c r="G63" s="1693"/>
      <c r="H63" s="1696"/>
      <c r="I63" s="1696"/>
      <c r="J63" s="1699"/>
      <c r="K63" s="1701"/>
      <c r="L63" s="1701"/>
      <c r="M63" s="1705"/>
      <c r="N63" s="1701"/>
      <c r="O63" s="1701"/>
      <c r="P63" s="1699"/>
      <c r="Q63" s="1699"/>
      <c r="R63" s="1699"/>
      <c r="S63" s="1699"/>
      <c r="T63" s="1702"/>
      <c r="U63" s="1702"/>
      <c r="V63" s="1702"/>
      <c r="W63" s="1702"/>
      <c r="X63" s="1702"/>
      <c r="Y63" s="1699"/>
    </row>
    <row r="64" spans="2:25" ht="15">
      <c r="B64" s="1679"/>
      <c r="C64" s="1682"/>
      <c r="D64" s="1685"/>
      <c r="E64" s="1688"/>
      <c r="F64" s="1691"/>
      <c r="G64" s="1693"/>
      <c r="H64" s="1696"/>
      <c r="I64" s="1696"/>
      <c r="J64" s="1699"/>
      <c r="K64" s="1701"/>
      <c r="L64" s="1701"/>
      <c r="M64" s="1705"/>
      <c r="N64" s="1701"/>
      <c r="O64" s="1701"/>
      <c r="P64" s="1699"/>
      <c r="Q64" s="1699"/>
      <c r="R64" s="1699"/>
      <c r="S64" s="1699"/>
      <c r="T64" s="1702"/>
      <c r="U64" s="1702"/>
      <c r="V64" s="1702"/>
      <c r="W64" s="1702"/>
      <c r="X64" s="1702"/>
      <c r="Y64" s="1699"/>
    </row>
    <row r="65" spans="2:25" ht="15">
      <c r="B65" s="1679"/>
      <c r="C65" s="1682"/>
      <c r="D65" s="1685"/>
      <c r="E65" s="1688"/>
      <c r="F65" s="1691"/>
      <c r="G65" s="1693"/>
      <c r="H65" s="1696"/>
      <c r="I65" s="1696"/>
      <c r="J65" s="1699"/>
      <c r="K65" s="1701"/>
      <c r="L65" s="1701"/>
      <c r="M65" s="1705">
        <v>20</v>
      </c>
      <c r="N65" s="1701" t="s">
        <v>1358</v>
      </c>
      <c r="O65" s="1701">
        <v>0</v>
      </c>
      <c r="P65" s="1699">
        <v>5</v>
      </c>
      <c r="Q65" s="1699">
        <v>10</v>
      </c>
      <c r="R65" s="1699">
        <v>15</v>
      </c>
      <c r="S65" s="1699">
        <v>20</v>
      </c>
      <c r="T65" s="1702"/>
      <c r="U65" s="1702"/>
      <c r="V65" s="1702"/>
      <c r="W65" s="1702"/>
      <c r="X65" s="1702"/>
      <c r="Y65" s="1699"/>
    </row>
    <row r="66" spans="2:25" ht="15">
      <c r="B66" s="1679"/>
      <c r="C66" s="1682"/>
      <c r="D66" s="1685"/>
      <c r="E66" s="1688"/>
      <c r="F66" s="1691"/>
      <c r="G66" s="1693"/>
      <c r="H66" s="1696"/>
      <c r="I66" s="1696"/>
      <c r="J66" s="1699"/>
      <c r="K66" s="1701"/>
      <c r="L66" s="1701"/>
      <c r="M66" s="1705"/>
      <c r="N66" s="1701"/>
      <c r="O66" s="1701"/>
      <c r="P66" s="1699"/>
      <c r="Q66" s="1699"/>
      <c r="R66" s="1699"/>
      <c r="S66" s="1699"/>
      <c r="T66" s="1702"/>
      <c r="U66" s="1702"/>
      <c r="V66" s="1702"/>
      <c r="W66" s="1702"/>
      <c r="X66" s="1702"/>
      <c r="Y66" s="1699"/>
    </row>
    <row r="67" spans="2:25" ht="15">
      <c r="B67" s="1679"/>
      <c r="C67" s="1682"/>
      <c r="D67" s="1685"/>
      <c r="E67" s="1688"/>
      <c r="F67" s="1691"/>
      <c r="G67" s="1693"/>
      <c r="H67" s="1696"/>
      <c r="I67" s="1696"/>
      <c r="J67" s="1699"/>
      <c r="K67" s="1701"/>
      <c r="L67" s="1701"/>
      <c r="M67" s="1705"/>
      <c r="N67" s="1701"/>
      <c r="O67" s="1701"/>
      <c r="P67" s="1699"/>
      <c r="Q67" s="1699"/>
      <c r="R67" s="1699"/>
      <c r="S67" s="1699"/>
      <c r="T67" s="1702"/>
      <c r="U67" s="1702"/>
      <c r="V67" s="1702"/>
      <c r="W67" s="1702"/>
      <c r="X67" s="1702"/>
      <c r="Y67" s="1699"/>
    </row>
    <row r="68" spans="2:25" ht="15">
      <c r="B68" s="1679"/>
      <c r="C68" s="1682"/>
      <c r="D68" s="1685"/>
      <c r="E68" s="1688"/>
      <c r="F68" s="1691"/>
      <c r="G68" s="1693"/>
      <c r="H68" s="1696"/>
      <c r="I68" s="1696"/>
      <c r="J68" s="1699"/>
      <c r="K68" s="1701"/>
      <c r="L68" s="1701"/>
      <c r="M68" s="1705"/>
      <c r="N68" s="1701"/>
      <c r="O68" s="1701"/>
      <c r="P68" s="1699"/>
      <c r="Q68" s="1699"/>
      <c r="R68" s="1699"/>
      <c r="S68" s="1699"/>
      <c r="T68" s="1702"/>
      <c r="U68" s="1702"/>
      <c r="V68" s="1702"/>
      <c r="W68" s="1702"/>
      <c r="X68" s="1702"/>
      <c r="Y68" s="1699"/>
    </row>
    <row r="69" spans="2:25" ht="15">
      <c r="B69" s="1679"/>
      <c r="C69" s="1682"/>
      <c r="D69" s="1685"/>
      <c r="E69" s="1688"/>
      <c r="F69" s="1691"/>
      <c r="G69" s="1693"/>
      <c r="H69" s="1696"/>
      <c r="I69" s="1696"/>
      <c r="J69" s="1699"/>
      <c r="K69" s="1701"/>
      <c r="L69" s="1701"/>
      <c r="M69" s="1705"/>
      <c r="N69" s="1701"/>
      <c r="O69" s="1701"/>
      <c r="P69" s="1699"/>
      <c r="Q69" s="1699"/>
      <c r="R69" s="1699"/>
      <c r="S69" s="1699"/>
      <c r="T69" s="1702"/>
      <c r="U69" s="1702"/>
      <c r="V69" s="1702"/>
      <c r="W69" s="1702"/>
      <c r="X69" s="1702"/>
      <c r="Y69" s="1699"/>
    </row>
    <row r="70" spans="2:25" ht="15">
      <c r="B70" s="1679"/>
      <c r="C70" s="1682"/>
      <c r="D70" s="1685"/>
      <c r="E70" s="1688"/>
      <c r="F70" s="1691"/>
      <c r="G70" s="1693"/>
      <c r="H70" s="1696"/>
      <c r="I70" s="1696"/>
      <c r="J70" s="1699"/>
      <c r="K70" s="1701"/>
      <c r="L70" s="1701"/>
      <c r="M70" s="1705"/>
      <c r="N70" s="1701"/>
      <c r="O70" s="1701"/>
      <c r="P70" s="1699"/>
      <c r="Q70" s="1699"/>
      <c r="R70" s="1699"/>
      <c r="S70" s="1699"/>
      <c r="T70" s="1702"/>
      <c r="U70" s="1702"/>
      <c r="V70" s="1702"/>
      <c r="W70" s="1702"/>
      <c r="X70" s="1702"/>
      <c r="Y70" s="1699"/>
    </row>
    <row r="71" spans="2:25" ht="15">
      <c r="B71" s="1679"/>
      <c r="C71" s="1682"/>
      <c r="D71" s="1685"/>
      <c r="E71" s="1688"/>
      <c r="F71" s="1691"/>
      <c r="G71" s="1693"/>
      <c r="H71" s="1696"/>
      <c r="I71" s="1696"/>
      <c r="J71" s="1699"/>
      <c r="K71" s="1701"/>
      <c r="L71" s="1701"/>
      <c r="M71" s="961"/>
      <c r="N71" s="962"/>
      <c r="O71" s="962"/>
      <c r="P71" s="963"/>
      <c r="Q71" s="963"/>
      <c r="R71" s="963"/>
      <c r="S71" s="963"/>
      <c r="T71" s="1702"/>
      <c r="U71" s="1702"/>
      <c r="V71" s="1702"/>
      <c r="W71" s="1702"/>
      <c r="X71" s="1702"/>
      <c r="Y71" s="1699"/>
    </row>
    <row r="72" spans="2:25" ht="15">
      <c r="B72" s="1679"/>
      <c r="C72" s="1682"/>
      <c r="D72" s="1685"/>
      <c r="E72" s="1688"/>
      <c r="F72" s="1691"/>
      <c r="G72" s="1693"/>
      <c r="H72" s="1696"/>
      <c r="I72" s="1696"/>
      <c r="J72" s="1699"/>
      <c r="K72" s="1701"/>
      <c r="L72" s="1701"/>
      <c r="M72" s="961"/>
      <c r="N72" s="962"/>
      <c r="O72" s="962"/>
      <c r="P72" s="963"/>
      <c r="Q72" s="963"/>
      <c r="R72" s="963"/>
      <c r="S72" s="963"/>
      <c r="T72" s="1702"/>
      <c r="U72" s="1702"/>
      <c r="V72" s="1702"/>
      <c r="W72" s="1702"/>
      <c r="X72" s="1702"/>
      <c r="Y72" s="1699"/>
    </row>
    <row r="73" spans="2:25" ht="127.5">
      <c r="B73" s="1679"/>
      <c r="C73" s="1682"/>
      <c r="D73" s="1685"/>
      <c r="E73" s="1688"/>
      <c r="F73" s="1691"/>
      <c r="G73" s="1693"/>
      <c r="H73" s="1696"/>
      <c r="I73" s="1696"/>
      <c r="J73" s="1701" t="s">
        <v>412</v>
      </c>
      <c r="K73" s="1698" t="s">
        <v>1359</v>
      </c>
      <c r="L73" s="1698">
        <v>7</v>
      </c>
      <c r="M73" s="964">
        <v>1</v>
      </c>
      <c r="N73" s="962" t="s">
        <v>1360</v>
      </c>
      <c r="O73" s="962">
        <v>0</v>
      </c>
      <c r="P73" s="963">
        <v>1</v>
      </c>
      <c r="Q73" s="963">
        <v>1</v>
      </c>
      <c r="R73" s="963">
        <v>1</v>
      </c>
      <c r="S73" s="963">
        <v>1</v>
      </c>
      <c r="T73" s="1699">
        <v>0</v>
      </c>
      <c r="U73" s="1702">
        <v>2544000</v>
      </c>
      <c r="V73" s="1702">
        <v>1304384.4</v>
      </c>
      <c r="W73" s="1702">
        <v>1299501.196</v>
      </c>
      <c r="X73" s="1702">
        <f>(T73+U73+V73+W73)</f>
        <v>5147885.596</v>
      </c>
      <c r="Y73" s="1699" t="s">
        <v>1349</v>
      </c>
    </row>
    <row r="74" spans="2:25" ht="15">
      <c r="B74" s="1679"/>
      <c r="C74" s="1682"/>
      <c r="D74" s="1685"/>
      <c r="E74" s="1688"/>
      <c r="F74" s="1691"/>
      <c r="G74" s="1693"/>
      <c r="H74" s="1696"/>
      <c r="I74" s="1696"/>
      <c r="J74" s="1701"/>
      <c r="K74" s="1698"/>
      <c r="L74" s="1698"/>
      <c r="M74" s="1705">
        <v>3</v>
      </c>
      <c r="N74" s="1701" t="s">
        <v>1361</v>
      </c>
      <c r="O74" s="1701">
        <v>0</v>
      </c>
      <c r="P74" s="1701">
        <v>0</v>
      </c>
      <c r="Q74" s="1701">
        <v>1</v>
      </c>
      <c r="R74" s="1701">
        <v>2</v>
      </c>
      <c r="S74" s="1701">
        <v>3</v>
      </c>
      <c r="T74" s="1699"/>
      <c r="U74" s="1702"/>
      <c r="V74" s="1702"/>
      <c r="W74" s="1702"/>
      <c r="X74" s="1702"/>
      <c r="Y74" s="1699"/>
    </row>
    <row r="75" spans="2:25" ht="15">
      <c r="B75" s="1679"/>
      <c r="C75" s="1682"/>
      <c r="D75" s="1685"/>
      <c r="E75" s="1688"/>
      <c r="F75" s="1691"/>
      <c r="G75" s="1693"/>
      <c r="H75" s="1696"/>
      <c r="I75" s="1696"/>
      <c r="J75" s="1701"/>
      <c r="K75" s="1698"/>
      <c r="L75" s="1698"/>
      <c r="M75" s="1705"/>
      <c r="N75" s="1701"/>
      <c r="O75" s="1701"/>
      <c r="P75" s="1701"/>
      <c r="Q75" s="1701"/>
      <c r="R75" s="1701"/>
      <c r="S75" s="1701"/>
      <c r="T75" s="1699"/>
      <c r="U75" s="1702"/>
      <c r="V75" s="1702"/>
      <c r="W75" s="1702"/>
      <c r="X75" s="1702"/>
      <c r="Y75" s="1699"/>
    </row>
    <row r="76" spans="2:25" ht="15">
      <c r="B76" s="1679"/>
      <c r="C76" s="1682"/>
      <c r="D76" s="1685"/>
      <c r="E76" s="1688"/>
      <c r="F76" s="1691"/>
      <c r="G76" s="1693"/>
      <c r="H76" s="1696"/>
      <c r="I76" s="1696"/>
      <c r="J76" s="1701"/>
      <c r="K76" s="1698"/>
      <c r="L76" s="1698"/>
      <c r="M76" s="1705"/>
      <c r="N76" s="1701"/>
      <c r="O76" s="1701"/>
      <c r="P76" s="1701"/>
      <c r="Q76" s="1701"/>
      <c r="R76" s="1701"/>
      <c r="S76" s="1701"/>
      <c r="T76" s="1699"/>
      <c r="U76" s="1702"/>
      <c r="V76" s="1702"/>
      <c r="W76" s="1702"/>
      <c r="X76" s="1702"/>
      <c r="Y76" s="1699"/>
    </row>
    <row r="77" spans="2:25" ht="15">
      <c r="B77" s="1679"/>
      <c r="C77" s="1682"/>
      <c r="D77" s="1685"/>
      <c r="E77" s="1688"/>
      <c r="F77" s="1691"/>
      <c r="G77" s="1693"/>
      <c r="H77" s="1696"/>
      <c r="I77" s="1696"/>
      <c r="J77" s="1701"/>
      <c r="K77" s="1698"/>
      <c r="L77" s="1698"/>
      <c r="M77" s="1705"/>
      <c r="N77" s="1701"/>
      <c r="O77" s="1701"/>
      <c r="P77" s="1701"/>
      <c r="Q77" s="1701"/>
      <c r="R77" s="1701"/>
      <c r="S77" s="1701"/>
      <c r="T77" s="1699"/>
      <c r="U77" s="1702"/>
      <c r="V77" s="1702"/>
      <c r="W77" s="1702"/>
      <c r="X77" s="1702"/>
      <c r="Y77" s="1699"/>
    </row>
    <row r="78" spans="2:25" ht="15">
      <c r="B78" s="1679"/>
      <c r="C78" s="1682"/>
      <c r="D78" s="1685"/>
      <c r="E78" s="1688"/>
      <c r="F78" s="1691"/>
      <c r="G78" s="1693"/>
      <c r="H78" s="1696"/>
      <c r="I78" s="1696"/>
      <c r="J78" s="1701"/>
      <c r="K78" s="1698"/>
      <c r="L78" s="1698"/>
      <c r="M78" s="1705"/>
      <c r="N78" s="1701"/>
      <c r="O78" s="1701"/>
      <c r="P78" s="1701"/>
      <c r="Q78" s="1701"/>
      <c r="R78" s="1701"/>
      <c r="S78" s="1701"/>
      <c r="T78" s="1699"/>
      <c r="U78" s="1702"/>
      <c r="V78" s="1702"/>
      <c r="W78" s="1702"/>
      <c r="X78" s="1702"/>
      <c r="Y78" s="1699"/>
    </row>
    <row r="79" spans="2:25" ht="15">
      <c r="B79" s="1679"/>
      <c r="C79" s="1682"/>
      <c r="D79" s="1685"/>
      <c r="E79" s="1688"/>
      <c r="F79" s="1691"/>
      <c r="G79" s="1693"/>
      <c r="H79" s="1696"/>
      <c r="I79" s="1696"/>
      <c r="J79" s="1701"/>
      <c r="K79" s="1698"/>
      <c r="L79" s="1698"/>
      <c r="M79" s="1705"/>
      <c r="N79" s="1701"/>
      <c r="O79" s="1701"/>
      <c r="P79" s="1701"/>
      <c r="Q79" s="1701"/>
      <c r="R79" s="1701"/>
      <c r="S79" s="1701"/>
      <c r="T79" s="1699"/>
      <c r="U79" s="1702"/>
      <c r="V79" s="1702"/>
      <c r="W79" s="1702"/>
      <c r="X79" s="1702"/>
      <c r="Y79" s="1699"/>
    </row>
    <row r="80" spans="2:25" ht="15">
      <c r="B80" s="1679"/>
      <c r="C80" s="1682"/>
      <c r="D80" s="1685"/>
      <c r="E80" s="1688"/>
      <c r="F80" s="1691"/>
      <c r="G80" s="1693"/>
      <c r="H80" s="1696"/>
      <c r="I80" s="1696"/>
      <c r="J80" s="1701"/>
      <c r="K80" s="1698"/>
      <c r="L80" s="1698"/>
      <c r="M80" s="1705"/>
      <c r="N80" s="1701"/>
      <c r="O80" s="1701"/>
      <c r="P80" s="1701"/>
      <c r="Q80" s="1701"/>
      <c r="R80" s="1701"/>
      <c r="S80" s="1701"/>
      <c r="T80" s="1699"/>
      <c r="U80" s="1702"/>
      <c r="V80" s="1702"/>
      <c r="W80" s="1702"/>
      <c r="X80" s="1702"/>
      <c r="Y80" s="1699"/>
    </row>
    <row r="81" spans="2:25" ht="204">
      <c r="B81" s="1680"/>
      <c r="C81" s="1683"/>
      <c r="D81" s="1686"/>
      <c r="E81" s="1689"/>
      <c r="F81" s="1692"/>
      <c r="G81" s="1694"/>
      <c r="H81" s="1697"/>
      <c r="I81" s="1697"/>
      <c r="J81" s="1701"/>
      <c r="K81" s="965" t="s">
        <v>101</v>
      </c>
      <c r="L81" s="956">
        <v>5</v>
      </c>
      <c r="M81" s="956" t="s">
        <v>1362</v>
      </c>
      <c r="N81" s="956" t="s">
        <v>1363</v>
      </c>
      <c r="O81" s="966">
        <v>0</v>
      </c>
      <c r="P81" s="960">
        <v>1</v>
      </c>
      <c r="Q81" s="960">
        <v>1</v>
      </c>
      <c r="R81" s="960">
        <v>1</v>
      </c>
      <c r="S81" s="960">
        <v>1</v>
      </c>
      <c r="T81" s="959">
        <v>0</v>
      </c>
      <c r="U81" s="959">
        <v>2000000</v>
      </c>
      <c r="V81" s="959">
        <v>1500000</v>
      </c>
      <c r="W81" s="959">
        <v>2000000</v>
      </c>
      <c r="X81" s="959">
        <f>(T81+U81+W81+V81)</f>
        <v>5500000</v>
      </c>
      <c r="Y81" s="960" t="s">
        <v>1349</v>
      </c>
    </row>
    <row r="82" spans="2:25" ht="15">
      <c r="B82" s="953"/>
      <c r="C82" s="953"/>
      <c r="D82" s="953"/>
      <c r="E82" s="953"/>
      <c r="F82" s="953"/>
      <c r="G82" s="953"/>
      <c r="H82" s="953"/>
      <c r="I82" s="953"/>
      <c r="J82" s="953"/>
      <c r="K82" s="953" t="s">
        <v>1364</v>
      </c>
      <c r="L82" s="953">
        <f>SUM(L15:L81)</f>
        <v>100</v>
      </c>
      <c r="M82" s="953"/>
      <c r="N82" s="953"/>
      <c r="O82" s="953"/>
      <c r="P82" s="953"/>
      <c r="Q82" s="953"/>
      <c r="R82" s="953"/>
      <c r="S82" s="953"/>
      <c r="T82" s="967">
        <f>SUM(T15:T81)</f>
        <v>250000</v>
      </c>
      <c r="U82" s="967">
        <f>SUM(U15:U81)</f>
        <v>5788000</v>
      </c>
      <c r="V82" s="967">
        <f>SUM(V15:V81)</f>
        <v>3804903.8</v>
      </c>
      <c r="W82" s="967">
        <f>SUM(W15:W81)</f>
        <v>4369318.2809999995</v>
      </c>
      <c r="X82" s="967">
        <f>SUM(X15:X81)</f>
        <v>14212222.081</v>
      </c>
      <c r="Y82" s="953"/>
    </row>
  </sheetData>
  <sheetProtection/>
  <mergeCells count="162">
    <mergeCell ref="U57:U72"/>
    <mergeCell ref="V57:V72"/>
    <mergeCell ref="W57:W72"/>
    <mergeCell ref="V52:V56"/>
    <mergeCell ref="X57:X72"/>
    <mergeCell ref="Y57:Y72"/>
    <mergeCell ref="Y73:Y80"/>
    <mergeCell ref="M74:M80"/>
    <mergeCell ref="N74:N80"/>
    <mergeCell ref="O74:O80"/>
    <mergeCell ref="P74:P80"/>
    <mergeCell ref="Q74:Q80"/>
    <mergeCell ref="R74:R80"/>
    <mergeCell ref="S74:S80"/>
    <mergeCell ref="S65:S70"/>
    <mergeCell ref="V45:V51"/>
    <mergeCell ref="W45:W51"/>
    <mergeCell ref="C10:Y10"/>
    <mergeCell ref="L73:L80"/>
    <mergeCell ref="T73:T80"/>
    <mergeCell ref="U73:U80"/>
    <mergeCell ref="V73:V80"/>
    <mergeCell ref="W73:W80"/>
    <mergeCell ref="X73:X80"/>
    <mergeCell ref="U45:U51"/>
    <mergeCell ref="U52:U56"/>
    <mergeCell ref="W52:W56"/>
    <mergeCell ref="X52:X56"/>
    <mergeCell ref="M65:M70"/>
    <mergeCell ref="N65:N70"/>
    <mergeCell ref="O65:O70"/>
    <mergeCell ref="P65:P70"/>
    <mergeCell ref="Q65:Q70"/>
    <mergeCell ref="R65:R70"/>
    <mergeCell ref="Q57:Q64"/>
    <mergeCell ref="T52:T56"/>
    <mergeCell ref="Q52:Q56"/>
    <mergeCell ref="R52:R56"/>
    <mergeCell ref="S52:S56"/>
    <mergeCell ref="S45:S51"/>
    <mergeCell ref="T45:T51"/>
    <mergeCell ref="R57:R64"/>
    <mergeCell ref="S57:S64"/>
    <mergeCell ref="T57:T72"/>
    <mergeCell ref="R45:R51"/>
    <mergeCell ref="R40:R44"/>
    <mergeCell ref="S40:S44"/>
    <mergeCell ref="T40:T44"/>
    <mergeCell ref="X45:X51"/>
    <mergeCell ref="L57:L72"/>
    <mergeCell ref="M57:M64"/>
    <mergeCell ref="N57:N64"/>
    <mergeCell ref="O57:O64"/>
    <mergeCell ref="P57:P64"/>
    <mergeCell ref="U40:U44"/>
    <mergeCell ref="V40:V44"/>
    <mergeCell ref="W40:W44"/>
    <mergeCell ref="L40:L44"/>
    <mergeCell ref="M40:M44"/>
    <mergeCell ref="N40:N44"/>
    <mergeCell ref="O40:O44"/>
    <mergeCell ref="P40:P44"/>
    <mergeCell ref="Q40:Q44"/>
    <mergeCell ref="Y52:Y56"/>
    <mergeCell ref="Y45:Y51"/>
    <mergeCell ref="K52:K56"/>
    <mergeCell ref="L52:L56"/>
    <mergeCell ref="M52:M56"/>
    <mergeCell ref="N52:N56"/>
    <mergeCell ref="O52:O56"/>
    <mergeCell ref="P52:P56"/>
    <mergeCell ref="P45:P51"/>
    <mergeCell ref="Q45:Q51"/>
    <mergeCell ref="K34:K39"/>
    <mergeCell ref="L34:L39"/>
    <mergeCell ref="M34:M39"/>
    <mergeCell ref="N34:N39"/>
    <mergeCell ref="O34:O39"/>
    <mergeCell ref="P34:P39"/>
    <mergeCell ref="Q34:Q39"/>
    <mergeCell ref="R34:R39"/>
    <mergeCell ref="S34:S39"/>
    <mergeCell ref="X40:X44"/>
    <mergeCell ref="Y40:Y44"/>
    <mergeCell ref="K45:K51"/>
    <mergeCell ref="L45:L51"/>
    <mergeCell ref="M45:M51"/>
    <mergeCell ref="N45:N51"/>
    <mergeCell ref="O45:O51"/>
    <mergeCell ref="T34:T39"/>
    <mergeCell ref="U34:U39"/>
    <mergeCell ref="V34:V39"/>
    <mergeCell ref="W34:W39"/>
    <mergeCell ref="X34:X39"/>
    <mergeCell ref="Y34:Y39"/>
    <mergeCell ref="S19:S26"/>
    <mergeCell ref="T19:T26"/>
    <mergeCell ref="Y28:Y33"/>
    <mergeCell ref="S28:S33"/>
    <mergeCell ref="T28:T33"/>
    <mergeCell ref="U28:U33"/>
    <mergeCell ref="V28:V33"/>
    <mergeCell ref="W28:W33"/>
    <mergeCell ref="X28:X33"/>
    <mergeCell ref="P28:P33"/>
    <mergeCell ref="Q28:Q33"/>
    <mergeCell ref="R28:R33"/>
    <mergeCell ref="L19:L26"/>
    <mergeCell ref="M19:M26"/>
    <mergeCell ref="N19:N26"/>
    <mergeCell ref="O19:O26"/>
    <mergeCell ref="P19:P26"/>
    <mergeCell ref="Q19:Q26"/>
    <mergeCell ref="R19:R26"/>
    <mergeCell ref="U19:U26"/>
    <mergeCell ref="V19:V26"/>
    <mergeCell ref="W19:W26"/>
    <mergeCell ref="X19:X26"/>
    <mergeCell ref="Y19:Y26"/>
    <mergeCell ref="K28:K33"/>
    <mergeCell ref="L28:L33"/>
    <mergeCell ref="M28:M33"/>
    <mergeCell ref="N28:N33"/>
    <mergeCell ref="O28:O33"/>
    <mergeCell ref="G15:G81"/>
    <mergeCell ref="H15:H81"/>
    <mergeCell ref="I15:I81"/>
    <mergeCell ref="J15:J18"/>
    <mergeCell ref="J19:J72"/>
    <mergeCell ref="K19:K26"/>
    <mergeCell ref="K40:K44"/>
    <mergeCell ref="K57:K72"/>
    <mergeCell ref="J73:J81"/>
    <mergeCell ref="K73:K80"/>
    <mergeCell ref="K13:K14"/>
    <mergeCell ref="L13:L14"/>
    <mergeCell ref="M13:M14"/>
    <mergeCell ref="N13:N14"/>
    <mergeCell ref="O13:O14"/>
    <mergeCell ref="B15:B81"/>
    <mergeCell ref="C15:C81"/>
    <mergeCell ref="D15:D81"/>
    <mergeCell ref="E15:E81"/>
    <mergeCell ref="F15:F81"/>
    <mergeCell ref="T12:X12"/>
    <mergeCell ref="B13:B14"/>
    <mergeCell ref="C13:C14"/>
    <mergeCell ref="D13:D14"/>
    <mergeCell ref="E13:E14"/>
    <mergeCell ref="F13:F14"/>
    <mergeCell ref="G13:G14"/>
    <mergeCell ref="H13:H14"/>
    <mergeCell ref="I13:I14"/>
    <mergeCell ref="J13:J14"/>
    <mergeCell ref="N9:X9"/>
    <mergeCell ref="B3:G7"/>
    <mergeCell ref="H3:S5"/>
    <mergeCell ref="T3:Y5"/>
    <mergeCell ref="H6:S6"/>
    <mergeCell ref="T6:Y6"/>
    <mergeCell ref="H7:S7"/>
    <mergeCell ref="T7:Y7"/>
  </mergeCells>
  <printOptions/>
  <pageMargins left="0.7480314960629921" right="0.7086614173228347" top="0.7480314960629921" bottom="0.7480314960629921" header="0.31496062992125984" footer="0.31496062992125984"/>
  <pageSetup horizontalDpi="600" verticalDpi="600" orientation="landscape" paperSize="5" scale="55"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AG95"/>
  <sheetViews>
    <sheetView showGridLines="0" showRowColHeaders="0" zoomScalePageLayoutView="0" workbookViewId="0" topLeftCell="A1">
      <selection activeCell="E9" sqref="E9"/>
    </sheetView>
  </sheetViews>
  <sheetFormatPr defaultColWidth="11.421875" defaultRowHeight="15"/>
  <cols>
    <col min="1" max="1" width="2.421875" style="0" customWidth="1"/>
    <col min="2" max="2" width="11.7109375" style="0" customWidth="1"/>
    <col min="3" max="3" width="13.7109375" style="0" customWidth="1"/>
    <col min="11" max="11" width="12.421875" style="0" customWidth="1"/>
    <col min="25" max="25" width="14.28125" style="0" customWidth="1"/>
  </cols>
  <sheetData>
    <row r="1" spans="2:25" ht="15">
      <c r="B1" s="1030"/>
      <c r="C1" s="14"/>
      <c r="D1" s="14"/>
      <c r="E1" s="14"/>
      <c r="F1" s="14"/>
      <c r="G1" s="14"/>
      <c r="H1" s="14"/>
      <c r="I1" s="14"/>
      <c r="J1" s="14"/>
      <c r="K1" s="14"/>
      <c r="L1" s="14"/>
      <c r="M1" s="14"/>
      <c r="N1" s="14"/>
      <c r="O1" s="14"/>
      <c r="P1" s="14"/>
      <c r="Q1" s="14"/>
      <c r="R1" s="14"/>
      <c r="S1" s="14"/>
      <c r="T1" s="14"/>
      <c r="U1" s="14"/>
      <c r="V1" s="14"/>
      <c r="W1" s="14"/>
      <c r="X1" s="14"/>
      <c r="Y1" s="15"/>
    </row>
    <row r="2" spans="2:25" ht="15">
      <c r="B2" s="1366"/>
      <c r="C2" s="1366"/>
      <c r="D2" s="1366"/>
      <c r="E2" s="1366"/>
      <c r="F2" s="1366"/>
      <c r="G2" s="1366"/>
      <c r="H2" s="1465" t="s">
        <v>148</v>
      </c>
      <c r="I2" s="1465"/>
      <c r="J2" s="1465"/>
      <c r="K2" s="1465"/>
      <c r="L2" s="1465"/>
      <c r="M2" s="1465"/>
      <c r="N2" s="1465"/>
      <c r="O2" s="1465"/>
      <c r="P2" s="1465"/>
      <c r="Q2" s="1465"/>
      <c r="R2" s="1465"/>
      <c r="S2" s="1465"/>
      <c r="T2" s="1465" t="s">
        <v>149</v>
      </c>
      <c r="U2" s="1466"/>
      <c r="V2" s="1466"/>
      <c r="W2" s="1466"/>
      <c r="X2" s="1466"/>
      <c r="Y2" s="1466"/>
    </row>
    <row r="3" spans="2:25" ht="15">
      <c r="B3" s="1366"/>
      <c r="C3" s="1366"/>
      <c r="D3" s="1366"/>
      <c r="E3" s="1366"/>
      <c r="F3" s="1366"/>
      <c r="G3" s="1366"/>
      <c r="H3" s="1465"/>
      <c r="I3" s="1465"/>
      <c r="J3" s="1465"/>
      <c r="K3" s="1465"/>
      <c r="L3" s="1465"/>
      <c r="M3" s="1465"/>
      <c r="N3" s="1465"/>
      <c r="O3" s="1465"/>
      <c r="P3" s="1465"/>
      <c r="Q3" s="1465"/>
      <c r="R3" s="1465"/>
      <c r="S3" s="1465"/>
      <c r="T3" s="1466"/>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20.25">
      <c r="B5" s="1366"/>
      <c r="C5" s="1366"/>
      <c r="D5" s="1366"/>
      <c r="E5" s="1366"/>
      <c r="F5" s="1366"/>
      <c r="G5" s="1366"/>
      <c r="H5" s="1365" t="s">
        <v>150</v>
      </c>
      <c r="I5" s="1384"/>
      <c r="J5" s="1384"/>
      <c r="K5" s="1384"/>
      <c r="L5" s="1384"/>
      <c r="M5" s="1384"/>
      <c r="N5" s="1384"/>
      <c r="O5" s="1384"/>
      <c r="P5" s="1384"/>
      <c r="Q5" s="1384"/>
      <c r="R5" s="1384"/>
      <c r="S5" s="1384"/>
      <c r="T5" s="1365" t="s">
        <v>151</v>
      </c>
      <c r="U5" s="1366"/>
      <c r="V5" s="1366"/>
      <c r="W5" s="1366"/>
      <c r="X5" s="1366"/>
      <c r="Y5" s="1366"/>
    </row>
    <row r="6" spans="2:25" ht="20.25">
      <c r="B6" s="1366"/>
      <c r="C6" s="1366"/>
      <c r="D6" s="1366"/>
      <c r="E6" s="1366"/>
      <c r="F6" s="1366"/>
      <c r="G6" s="1366"/>
      <c r="H6" s="1365" t="s">
        <v>152</v>
      </c>
      <c r="I6" s="1384"/>
      <c r="J6" s="1384"/>
      <c r="K6" s="1384"/>
      <c r="L6" s="1384"/>
      <c r="M6" s="1384"/>
      <c r="N6" s="1384"/>
      <c r="O6" s="1384"/>
      <c r="P6" s="1384"/>
      <c r="Q6" s="1384"/>
      <c r="R6" s="1384"/>
      <c r="S6" s="1384"/>
      <c r="T6" s="1365" t="s">
        <v>153</v>
      </c>
      <c r="U6" s="1366"/>
      <c r="V6" s="1366"/>
      <c r="W6" s="1366"/>
      <c r="X6" s="1366"/>
      <c r="Y6" s="1366"/>
    </row>
    <row r="7" spans="2:25" s="2" customFormat="1" ht="9">
      <c r="B7" s="996"/>
      <c r="C7" s="996"/>
      <c r="D7" s="996"/>
      <c r="E7" s="996"/>
      <c r="F7" s="996"/>
      <c r="G7" s="996"/>
      <c r="H7" s="996"/>
      <c r="I7" s="996"/>
      <c r="J7" s="996"/>
      <c r="K7" s="996"/>
      <c r="L7" s="996"/>
      <c r="M7" s="996"/>
      <c r="N7" s="996"/>
      <c r="O7" s="996"/>
      <c r="P7" s="996"/>
      <c r="Q7" s="996"/>
      <c r="R7" s="996"/>
      <c r="S7" s="996"/>
      <c r="T7" s="996"/>
      <c r="U7" s="996"/>
      <c r="V7" s="996"/>
      <c r="W7" s="996"/>
      <c r="X7" s="996"/>
      <c r="Y7" s="996"/>
    </row>
    <row r="8" spans="2:25" s="1049" customFormat="1" ht="15">
      <c r="B8" s="1050" t="s">
        <v>103</v>
      </c>
      <c r="C8" s="1045" t="s">
        <v>124</v>
      </c>
      <c r="D8" s="1038"/>
      <c r="E8" s="1038"/>
      <c r="F8" s="1038"/>
      <c r="G8" s="1038"/>
      <c r="H8" s="1038"/>
      <c r="I8" s="1038"/>
      <c r="J8" s="1042"/>
      <c r="K8" s="1042"/>
      <c r="L8" s="1042"/>
      <c r="M8" s="1042"/>
      <c r="N8" s="1657"/>
      <c r="O8" s="1719"/>
      <c r="P8" s="1719"/>
      <c r="Q8" s="1719"/>
      <c r="R8" s="1719"/>
      <c r="S8" s="1719"/>
      <c r="T8" s="1719"/>
      <c r="U8" s="1719"/>
      <c r="V8" s="1719"/>
      <c r="W8" s="1719"/>
      <c r="X8" s="1574"/>
      <c r="Y8" s="1051"/>
    </row>
    <row r="9" spans="2:25" s="1049" customFormat="1" ht="15">
      <c r="B9" s="1031" t="s">
        <v>154</v>
      </c>
      <c r="C9" s="1045" t="s">
        <v>1368</v>
      </c>
      <c r="D9" s="1042"/>
      <c r="E9" s="1042"/>
      <c r="F9" s="1042"/>
      <c r="G9" s="1042"/>
      <c r="H9" s="1042"/>
      <c r="I9" s="1042"/>
      <c r="J9" s="1042"/>
      <c r="K9" s="1042"/>
      <c r="L9" s="1042"/>
      <c r="M9" s="1042"/>
      <c r="N9" s="1042"/>
      <c r="O9" s="1042"/>
      <c r="P9" s="1042"/>
      <c r="Q9" s="1042"/>
      <c r="R9" s="1042"/>
      <c r="S9" s="1042"/>
      <c r="T9" s="1042"/>
      <c r="U9" s="1042"/>
      <c r="V9" s="1042"/>
      <c r="W9" s="1042"/>
      <c r="X9" s="1042"/>
      <c r="Y9" s="1051"/>
    </row>
    <row r="10" spans="2:25" s="1049" customFormat="1" ht="25.5" customHeight="1">
      <c r="B10" s="1052" t="s">
        <v>1387</v>
      </c>
      <c r="C10" s="1720" t="s">
        <v>1391</v>
      </c>
      <c r="D10" s="1721"/>
      <c r="E10" s="1721"/>
      <c r="F10" s="1721"/>
      <c r="G10" s="1721"/>
      <c r="H10" s="1721"/>
      <c r="I10" s="1721"/>
      <c r="J10" s="1721"/>
      <c r="K10" s="1721"/>
      <c r="L10" s="1721"/>
      <c r="M10" s="1721"/>
      <c r="N10" s="1721"/>
      <c r="O10" s="1721"/>
      <c r="P10" s="1721"/>
      <c r="Q10" s="1721"/>
      <c r="R10" s="1721"/>
      <c r="S10" s="1721"/>
      <c r="T10" s="1721"/>
      <c r="U10" s="1721"/>
      <c r="V10" s="1721"/>
      <c r="W10" s="1721"/>
      <c r="X10" s="1721"/>
      <c r="Y10" s="1051"/>
    </row>
    <row r="11" spans="2:25" ht="18.75" customHeight="1">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row>
    <row r="12" spans="2:25" ht="27" customHeight="1">
      <c r="B12" s="1712" t="s">
        <v>103</v>
      </c>
      <c r="C12" s="1713" t="s">
        <v>140</v>
      </c>
      <c r="D12" s="1714" t="s">
        <v>0</v>
      </c>
      <c r="E12" s="1715" t="s">
        <v>140</v>
      </c>
      <c r="F12" s="1715" t="s">
        <v>141</v>
      </c>
      <c r="G12" s="1715" t="s">
        <v>104</v>
      </c>
      <c r="H12" s="1715" t="s">
        <v>142</v>
      </c>
      <c r="I12" s="1715" t="s">
        <v>143</v>
      </c>
      <c r="J12" s="1715" t="s">
        <v>1</v>
      </c>
      <c r="K12" s="1715" t="s">
        <v>2</v>
      </c>
      <c r="L12" s="1715" t="s">
        <v>140</v>
      </c>
      <c r="M12" s="1715" t="s">
        <v>3</v>
      </c>
      <c r="N12" s="1715" t="s">
        <v>4</v>
      </c>
      <c r="O12" s="1730" t="s">
        <v>5</v>
      </c>
      <c r="P12" s="1733" t="s">
        <v>1410</v>
      </c>
      <c r="Q12" s="1731" t="s">
        <v>1411</v>
      </c>
      <c r="R12" s="1731" t="s">
        <v>1412</v>
      </c>
      <c r="S12" s="1731" t="s">
        <v>143</v>
      </c>
      <c r="T12" s="1731">
        <v>2012</v>
      </c>
      <c r="U12" s="1731">
        <v>2013</v>
      </c>
      <c r="V12" s="1731">
        <v>2014</v>
      </c>
      <c r="W12" s="1731">
        <v>2015</v>
      </c>
      <c r="X12" s="1731" t="s">
        <v>146</v>
      </c>
      <c r="Y12" s="1731" t="s">
        <v>147</v>
      </c>
    </row>
    <row r="13" spans="1:25" ht="22.5" customHeight="1">
      <c r="A13" s="1008"/>
      <c r="B13" s="1712"/>
      <c r="C13" s="1713"/>
      <c r="D13" s="1714"/>
      <c r="E13" s="1715"/>
      <c r="F13" s="1715"/>
      <c r="G13" s="1715"/>
      <c r="H13" s="1715"/>
      <c r="I13" s="1715"/>
      <c r="J13" s="1715"/>
      <c r="K13" s="1715"/>
      <c r="L13" s="1715"/>
      <c r="M13" s="1715"/>
      <c r="N13" s="1715"/>
      <c r="O13" s="1730"/>
      <c r="P13" s="1734"/>
      <c r="Q13" s="1732"/>
      <c r="R13" s="1732"/>
      <c r="S13" s="1732"/>
      <c r="T13" s="1732"/>
      <c r="U13" s="1732"/>
      <c r="V13" s="1732"/>
      <c r="W13" s="1732"/>
      <c r="X13" s="1732"/>
      <c r="Y13" s="1732"/>
    </row>
    <row r="14" spans="1:33" s="10" customFormat="1" ht="51" customHeight="1">
      <c r="A14" s="1004"/>
      <c r="B14" s="1532" t="s">
        <v>124</v>
      </c>
      <c r="C14" s="1706">
        <v>0.28</v>
      </c>
      <c r="D14" s="1605" t="s">
        <v>423</v>
      </c>
      <c r="E14" s="1468">
        <v>100</v>
      </c>
      <c r="F14" s="1723">
        <v>1000</v>
      </c>
      <c r="G14" s="1532" t="s">
        <v>125</v>
      </c>
      <c r="H14" s="1716">
        <v>26332</v>
      </c>
      <c r="I14" s="1716">
        <v>13166</v>
      </c>
      <c r="J14" s="1605" t="s">
        <v>424</v>
      </c>
      <c r="K14" s="97" t="s">
        <v>426</v>
      </c>
      <c r="L14" s="98">
        <v>30</v>
      </c>
      <c r="M14" s="98">
        <v>1</v>
      </c>
      <c r="N14" s="98" t="s">
        <v>430</v>
      </c>
      <c r="O14" s="225">
        <v>0</v>
      </c>
      <c r="P14" s="226">
        <v>0.25</v>
      </c>
      <c r="Q14" s="226">
        <v>0.5</v>
      </c>
      <c r="R14" s="226">
        <v>0.75</v>
      </c>
      <c r="S14" s="226">
        <v>1</v>
      </c>
      <c r="T14" s="1706">
        <v>190</v>
      </c>
      <c r="U14" s="1709">
        <v>199</v>
      </c>
      <c r="V14" s="1706">
        <v>209</v>
      </c>
      <c r="W14" s="1706">
        <v>219</v>
      </c>
      <c r="X14" s="1706">
        <f>SUM(T14:W14)</f>
        <v>817</v>
      </c>
      <c r="Y14" s="1709" t="s">
        <v>978</v>
      </c>
      <c r="Z14" s="13"/>
      <c r="AA14" s="13"/>
      <c r="AB14" s="13"/>
      <c r="AC14" s="13"/>
      <c r="AD14" s="13"/>
      <c r="AE14" s="13"/>
      <c r="AF14" s="13"/>
      <c r="AG14" s="13"/>
    </row>
    <row r="15" spans="1:33" s="10" customFormat="1" ht="15" customHeight="1">
      <c r="A15" s="1004"/>
      <c r="B15" s="1508"/>
      <c r="C15" s="1707"/>
      <c r="D15" s="1605"/>
      <c r="E15" s="1468"/>
      <c r="F15" s="1724"/>
      <c r="G15" s="1508"/>
      <c r="H15" s="1717"/>
      <c r="I15" s="1717"/>
      <c r="J15" s="1605"/>
      <c r="K15" s="1518" t="s">
        <v>427</v>
      </c>
      <c r="L15" s="1518">
        <v>20</v>
      </c>
      <c r="M15" s="1519">
        <v>1</v>
      </c>
      <c r="N15" s="1518" t="s">
        <v>431</v>
      </c>
      <c r="O15" s="1518">
        <v>0</v>
      </c>
      <c r="P15" s="1706">
        <v>0.25</v>
      </c>
      <c r="Q15" s="1706">
        <v>0.5</v>
      </c>
      <c r="R15" s="1706">
        <v>0.75</v>
      </c>
      <c r="S15" s="1706">
        <v>1</v>
      </c>
      <c r="T15" s="1707"/>
      <c r="U15" s="1710"/>
      <c r="V15" s="1707"/>
      <c r="W15" s="1707"/>
      <c r="X15" s="1707"/>
      <c r="Y15" s="1710"/>
      <c r="Z15" s="13"/>
      <c r="AA15" s="13"/>
      <c r="AB15" s="13"/>
      <c r="AC15" s="13"/>
      <c r="AD15" s="13"/>
      <c r="AE15" s="13"/>
      <c r="AF15" s="13"/>
      <c r="AG15" s="13"/>
    </row>
    <row r="16" spans="1:33" s="10" customFormat="1" ht="15">
      <c r="A16" s="1004"/>
      <c r="B16" s="1508"/>
      <c r="C16" s="1707"/>
      <c r="D16" s="1605"/>
      <c r="E16" s="1468"/>
      <c r="F16" s="1724"/>
      <c r="G16" s="1508"/>
      <c r="H16" s="1717"/>
      <c r="I16" s="1717"/>
      <c r="J16" s="1605"/>
      <c r="K16" s="1518"/>
      <c r="L16" s="1518"/>
      <c r="M16" s="1538"/>
      <c r="N16" s="1518"/>
      <c r="O16" s="1518"/>
      <c r="P16" s="1707"/>
      <c r="Q16" s="1707"/>
      <c r="R16" s="1707"/>
      <c r="S16" s="1707"/>
      <c r="T16" s="1707"/>
      <c r="U16" s="1710"/>
      <c r="V16" s="1707"/>
      <c r="W16" s="1707"/>
      <c r="X16" s="1707"/>
      <c r="Y16" s="1710"/>
      <c r="Z16" s="13"/>
      <c r="AA16" s="13"/>
      <c r="AB16" s="13"/>
      <c r="AC16" s="13"/>
      <c r="AD16" s="13"/>
      <c r="AE16" s="13"/>
      <c r="AF16" s="13"/>
      <c r="AG16" s="13"/>
    </row>
    <row r="17" spans="1:33" s="10" customFormat="1" ht="15">
      <c r="A17" s="1004"/>
      <c r="B17" s="1508"/>
      <c r="C17" s="1707"/>
      <c r="D17" s="1605"/>
      <c r="E17" s="1468"/>
      <c r="F17" s="1724"/>
      <c r="G17" s="1508"/>
      <c r="H17" s="1717"/>
      <c r="I17" s="1717"/>
      <c r="J17" s="1605"/>
      <c r="K17" s="1518"/>
      <c r="L17" s="1518"/>
      <c r="M17" s="1538"/>
      <c r="N17" s="1518"/>
      <c r="O17" s="1518"/>
      <c r="P17" s="1707"/>
      <c r="Q17" s="1707"/>
      <c r="R17" s="1707"/>
      <c r="S17" s="1707"/>
      <c r="T17" s="1707"/>
      <c r="U17" s="1710"/>
      <c r="V17" s="1707"/>
      <c r="W17" s="1707"/>
      <c r="X17" s="1707"/>
      <c r="Y17" s="1710"/>
      <c r="Z17" s="13"/>
      <c r="AA17" s="13"/>
      <c r="AB17" s="13"/>
      <c r="AC17" s="13"/>
      <c r="AD17" s="13"/>
      <c r="AE17" s="13"/>
      <c r="AF17" s="13"/>
      <c r="AG17" s="13"/>
    </row>
    <row r="18" spans="1:33" s="10" customFormat="1" ht="15">
      <c r="A18" s="1004"/>
      <c r="B18" s="1508"/>
      <c r="C18" s="1707"/>
      <c r="D18" s="1605"/>
      <c r="E18" s="1468"/>
      <c r="F18" s="1724"/>
      <c r="G18" s="1508"/>
      <c r="H18" s="1717"/>
      <c r="I18" s="1717"/>
      <c r="J18" s="1605"/>
      <c r="K18" s="1518"/>
      <c r="L18" s="1518"/>
      <c r="M18" s="1538"/>
      <c r="N18" s="1518"/>
      <c r="O18" s="1518"/>
      <c r="P18" s="1707"/>
      <c r="Q18" s="1707"/>
      <c r="R18" s="1707"/>
      <c r="S18" s="1707"/>
      <c r="T18" s="1707"/>
      <c r="U18" s="1710"/>
      <c r="V18" s="1707"/>
      <c r="W18" s="1707"/>
      <c r="X18" s="1707"/>
      <c r="Y18" s="1710"/>
      <c r="Z18" s="13"/>
      <c r="AA18" s="13"/>
      <c r="AB18" s="13"/>
      <c r="AC18" s="13"/>
      <c r="AD18" s="13"/>
      <c r="AE18" s="13"/>
      <c r="AF18" s="13"/>
      <c r="AG18" s="13"/>
    </row>
    <row r="19" spans="1:33" s="10" customFormat="1" ht="15">
      <c r="A19" s="1004"/>
      <c r="B19" s="1508"/>
      <c r="C19" s="1707"/>
      <c r="D19" s="1605"/>
      <c r="E19" s="1468"/>
      <c r="F19" s="1724"/>
      <c r="G19" s="1508"/>
      <c r="H19" s="1717"/>
      <c r="I19" s="1717"/>
      <c r="J19" s="1605"/>
      <c r="K19" s="1518"/>
      <c r="L19" s="1518"/>
      <c r="M19" s="1538"/>
      <c r="N19" s="1518"/>
      <c r="O19" s="1518"/>
      <c r="P19" s="1707"/>
      <c r="Q19" s="1707"/>
      <c r="R19" s="1707"/>
      <c r="S19" s="1707"/>
      <c r="T19" s="1707"/>
      <c r="U19" s="1710"/>
      <c r="V19" s="1707"/>
      <c r="W19" s="1707"/>
      <c r="X19" s="1707"/>
      <c r="Y19" s="1710"/>
      <c r="Z19" s="13"/>
      <c r="AA19" s="13"/>
      <c r="AB19" s="13"/>
      <c r="AC19" s="13"/>
      <c r="AD19" s="13"/>
      <c r="AE19" s="13"/>
      <c r="AF19" s="13"/>
      <c r="AG19" s="13"/>
    </row>
    <row r="20" spans="1:33" s="10" customFormat="1" ht="15">
      <c r="A20" s="1004"/>
      <c r="B20" s="1508"/>
      <c r="C20" s="1707"/>
      <c r="D20" s="1605"/>
      <c r="E20" s="1468"/>
      <c r="F20" s="1724"/>
      <c r="G20" s="1508"/>
      <c r="H20" s="1717"/>
      <c r="I20" s="1717"/>
      <c r="J20" s="1605"/>
      <c r="K20" s="1518"/>
      <c r="L20" s="1518"/>
      <c r="M20" s="1517"/>
      <c r="N20" s="1518"/>
      <c r="O20" s="1518"/>
      <c r="P20" s="1708"/>
      <c r="Q20" s="1708"/>
      <c r="R20" s="1708"/>
      <c r="S20" s="1708"/>
      <c r="T20" s="1707"/>
      <c r="U20" s="1710"/>
      <c r="V20" s="1707"/>
      <c r="W20" s="1707"/>
      <c r="X20" s="1707"/>
      <c r="Y20" s="1710"/>
      <c r="Z20" s="13"/>
      <c r="AA20" s="13"/>
      <c r="AB20" s="13"/>
      <c r="AC20" s="13"/>
      <c r="AD20" s="13"/>
      <c r="AE20" s="13"/>
      <c r="AF20" s="13"/>
      <c r="AG20" s="13"/>
    </row>
    <row r="21" spans="1:33" s="10" customFormat="1" ht="15" customHeight="1">
      <c r="A21" s="1004"/>
      <c r="B21" s="1508"/>
      <c r="C21" s="1707"/>
      <c r="D21" s="1605"/>
      <c r="E21" s="1468"/>
      <c r="F21" s="1724"/>
      <c r="G21" s="1508"/>
      <c r="H21" s="1717"/>
      <c r="I21" s="1717"/>
      <c r="J21" s="1605"/>
      <c r="K21" s="1518" t="s">
        <v>428</v>
      </c>
      <c r="L21" s="1519">
        <v>10</v>
      </c>
      <c r="M21" s="1519">
        <v>1</v>
      </c>
      <c r="N21" s="1722" t="s">
        <v>432</v>
      </c>
      <c r="O21" s="1518">
        <v>1</v>
      </c>
      <c r="P21" s="1706">
        <v>0.25</v>
      </c>
      <c r="Q21" s="1706">
        <v>0.5</v>
      </c>
      <c r="R21" s="1706">
        <v>0.75</v>
      </c>
      <c r="S21" s="1706">
        <v>1</v>
      </c>
      <c r="T21" s="1707"/>
      <c r="U21" s="1710"/>
      <c r="V21" s="1707"/>
      <c r="W21" s="1707"/>
      <c r="X21" s="1707"/>
      <c r="Y21" s="1710"/>
      <c r="Z21" s="13"/>
      <c r="AA21" s="13"/>
      <c r="AB21" s="13"/>
      <c r="AC21" s="13"/>
      <c r="AD21" s="13"/>
      <c r="AE21" s="13"/>
      <c r="AF21" s="13"/>
      <c r="AG21" s="13"/>
    </row>
    <row r="22" spans="1:33" s="10" customFormat="1" ht="15">
      <c r="A22" s="1004"/>
      <c r="B22" s="1508"/>
      <c r="C22" s="1707"/>
      <c r="D22" s="1605"/>
      <c r="E22" s="1468"/>
      <c r="F22" s="1724"/>
      <c r="G22" s="1508"/>
      <c r="H22" s="1717"/>
      <c r="I22" s="1717"/>
      <c r="J22" s="1605"/>
      <c r="K22" s="1518"/>
      <c r="L22" s="1538"/>
      <c r="M22" s="1538"/>
      <c r="N22" s="1722"/>
      <c r="O22" s="1518"/>
      <c r="P22" s="1707"/>
      <c r="Q22" s="1707"/>
      <c r="R22" s="1707"/>
      <c r="S22" s="1707"/>
      <c r="T22" s="1707"/>
      <c r="U22" s="1710"/>
      <c r="V22" s="1707"/>
      <c r="W22" s="1707"/>
      <c r="X22" s="1707"/>
      <c r="Y22" s="1710"/>
      <c r="Z22" s="13"/>
      <c r="AA22" s="13"/>
      <c r="AB22" s="13"/>
      <c r="AC22" s="13"/>
      <c r="AD22" s="13"/>
      <c r="AE22" s="13"/>
      <c r="AF22" s="13"/>
      <c r="AG22" s="13"/>
    </row>
    <row r="23" spans="1:33" s="10" customFormat="1" ht="15">
      <c r="A23" s="1004"/>
      <c r="B23" s="1508"/>
      <c r="C23" s="1707"/>
      <c r="D23" s="1605"/>
      <c r="E23" s="1468"/>
      <c r="F23" s="1724"/>
      <c r="G23" s="1508"/>
      <c r="H23" s="1717"/>
      <c r="I23" s="1717"/>
      <c r="J23" s="1605"/>
      <c r="K23" s="1518"/>
      <c r="L23" s="1538"/>
      <c r="M23" s="1538"/>
      <c r="N23" s="1722"/>
      <c r="O23" s="1518"/>
      <c r="P23" s="1707"/>
      <c r="Q23" s="1707"/>
      <c r="R23" s="1707"/>
      <c r="S23" s="1707"/>
      <c r="T23" s="1707"/>
      <c r="U23" s="1710"/>
      <c r="V23" s="1707"/>
      <c r="W23" s="1707"/>
      <c r="X23" s="1707"/>
      <c r="Y23" s="1710"/>
      <c r="Z23" s="13"/>
      <c r="AA23" s="13"/>
      <c r="AB23" s="13"/>
      <c r="AC23" s="13"/>
      <c r="AD23" s="13"/>
      <c r="AE23" s="13"/>
      <c r="AF23" s="13"/>
      <c r="AG23" s="13"/>
    </row>
    <row r="24" spans="1:33" s="10" customFormat="1" ht="15">
      <c r="A24" s="1004"/>
      <c r="B24" s="1508"/>
      <c r="C24" s="1707"/>
      <c r="D24" s="1605"/>
      <c r="E24" s="1468"/>
      <c r="F24" s="1724"/>
      <c r="G24" s="1508"/>
      <c r="H24" s="1717"/>
      <c r="I24" s="1717"/>
      <c r="J24" s="1605"/>
      <c r="K24" s="1518"/>
      <c r="L24" s="1538"/>
      <c r="M24" s="1538"/>
      <c r="N24" s="1722"/>
      <c r="O24" s="1518"/>
      <c r="P24" s="1707"/>
      <c r="Q24" s="1707"/>
      <c r="R24" s="1707"/>
      <c r="S24" s="1707"/>
      <c r="T24" s="1707"/>
      <c r="U24" s="1710"/>
      <c r="V24" s="1707"/>
      <c r="W24" s="1707"/>
      <c r="X24" s="1707"/>
      <c r="Y24" s="1710"/>
      <c r="Z24" s="13"/>
      <c r="AA24" s="13"/>
      <c r="AB24" s="13"/>
      <c r="AC24" s="13"/>
      <c r="AD24" s="13"/>
      <c r="AE24" s="13"/>
      <c r="AF24" s="13"/>
      <c r="AG24" s="13"/>
    </row>
    <row r="25" spans="1:33" s="10" customFormat="1" ht="15" customHeight="1">
      <c r="A25" s="1004"/>
      <c r="B25" s="1508"/>
      <c r="C25" s="1707"/>
      <c r="D25" s="1605"/>
      <c r="E25" s="1468"/>
      <c r="F25" s="1724"/>
      <c r="G25" s="1508"/>
      <c r="H25" s="1717"/>
      <c r="I25" s="1717"/>
      <c r="J25" s="1605"/>
      <c r="K25" s="1518"/>
      <c r="L25" s="1538"/>
      <c r="M25" s="1538"/>
      <c r="N25" s="1722"/>
      <c r="O25" s="1518"/>
      <c r="P25" s="1707"/>
      <c r="Q25" s="1707"/>
      <c r="R25" s="1707"/>
      <c r="S25" s="1707"/>
      <c r="T25" s="1707"/>
      <c r="U25" s="1710"/>
      <c r="V25" s="1707"/>
      <c r="W25" s="1707"/>
      <c r="X25" s="1707"/>
      <c r="Y25" s="1710"/>
      <c r="Z25" s="13"/>
      <c r="AA25" s="13"/>
      <c r="AB25" s="13"/>
      <c r="AC25" s="13"/>
      <c r="AD25" s="13"/>
      <c r="AE25" s="13"/>
      <c r="AF25" s="13"/>
      <c r="AG25" s="13"/>
    </row>
    <row r="26" spans="1:33" s="10" customFormat="1" ht="15">
      <c r="A26" s="1004"/>
      <c r="B26" s="1508"/>
      <c r="C26" s="1707"/>
      <c r="D26" s="1605"/>
      <c r="E26" s="1468"/>
      <c r="F26" s="1724"/>
      <c r="G26" s="1508"/>
      <c r="H26" s="1717"/>
      <c r="I26" s="1717"/>
      <c r="J26" s="1605"/>
      <c r="K26" s="1518"/>
      <c r="L26" s="1538"/>
      <c r="M26" s="1538"/>
      <c r="N26" s="1722"/>
      <c r="O26" s="1518"/>
      <c r="P26" s="1707"/>
      <c r="Q26" s="1707"/>
      <c r="R26" s="1707"/>
      <c r="S26" s="1707"/>
      <c r="T26" s="1707"/>
      <c r="U26" s="1710"/>
      <c r="V26" s="1707"/>
      <c r="W26" s="1707"/>
      <c r="X26" s="1707"/>
      <c r="Y26" s="1710"/>
      <c r="Z26" s="13"/>
      <c r="AA26" s="13"/>
      <c r="AB26" s="13"/>
      <c r="AC26" s="13"/>
      <c r="AD26" s="13"/>
      <c r="AE26" s="13"/>
      <c r="AF26" s="13"/>
      <c r="AG26" s="13"/>
    </row>
    <row r="27" spans="1:33" s="10" customFormat="1" ht="15">
      <c r="A27" s="1004"/>
      <c r="B27" s="1508"/>
      <c r="C27" s="1707"/>
      <c r="D27" s="1605"/>
      <c r="E27" s="1468"/>
      <c r="F27" s="1724"/>
      <c r="G27" s="1508"/>
      <c r="H27" s="1717"/>
      <c r="I27" s="1717"/>
      <c r="J27" s="1605"/>
      <c r="K27" s="1518"/>
      <c r="L27" s="1538"/>
      <c r="M27" s="1538"/>
      <c r="N27" s="1722"/>
      <c r="O27" s="1518"/>
      <c r="P27" s="1707"/>
      <c r="Q27" s="1707"/>
      <c r="R27" s="1707"/>
      <c r="S27" s="1707"/>
      <c r="T27" s="1707"/>
      <c r="U27" s="1710"/>
      <c r="V27" s="1707"/>
      <c r="W27" s="1707"/>
      <c r="X27" s="1707"/>
      <c r="Y27" s="1710"/>
      <c r="Z27" s="13"/>
      <c r="AA27" s="13"/>
      <c r="AB27" s="13"/>
      <c r="AC27" s="13"/>
      <c r="AD27" s="13"/>
      <c r="AE27" s="13"/>
      <c r="AF27" s="13"/>
      <c r="AG27" s="13"/>
    </row>
    <row r="28" spans="1:33" s="10" customFormat="1" ht="15">
      <c r="A28" s="1004"/>
      <c r="B28" s="1508"/>
      <c r="C28" s="1707"/>
      <c r="D28" s="1605"/>
      <c r="E28" s="1468"/>
      <c r="F28" s="1724"/>
      <c r="G28" s="1508"/>
      <c r="H28" s="1717"/>
      <c r="I28" s="1717"/>
      <c r="J28" s="1605"/>
      <c r="K28" s="1518"/>
      <c r="L28" s="1538"/>
      <c r="M28" s="1538"/>
      <c r="N28" s="1722"/>
      <c r="O28" s="1518"/>
      <c r="P28" s="1707"/>
      <c r="Q28" s="1707"/>
      <c r="R28" s="1707"/>
      <c r="S28" s="1707"/>
      <c r="T28" s="1707"/>
      <c r="U28" s="1710"/>
      <c r="V28" s="1707"/>
      <c r="W28" s="1707"/>
      <c r="X28" s="1707"/>
      <c r="Y28" s="1710"/>
      <c r="Z28" s="13"/>
      <c r="AA28" s="13"/>
      <c r="AB28" s="13"/>
      <c r="AC28" s="13"/>
      <c r="AD28" s="13"/>
      <c r="AE28" s="13"/>
      <c r="AF28" s="13"/>
      <c r="AG28" s="13"/>
    </row>
    <row r="29" spans="1:33" s="10" customFormat="1" ht="15">
      <c r="A29" s="1004"/>
      <c r="B29" s="1508"/>
      <c r="C29" s="1707"/>
      <c r="D29" s="1605"/>
      <c r="E29" s="1468"/>
      <c r="F29" s="1724"/>
      <c r="G29" s="1508"/>
      <c r="H29" s="1717"/>
      <c r="I29" s="1717"/>
      <c r="J29" s="1605"/>
      <c r="K29" s="1518"/>
      <c r="L29" s="1538"/>
      <c r="M29" s="1538"/>
      <c r="N29" s="1722"/>
      <c r="O29" s="1518"/>
      <c r="P29" s="1707"/>
      <c r="Q29" s="1707"/>
      <c r="R29" s="1707"/>
      <c r="S29" s="1707"/>
      <c r="T29" s="1707"/>
      <c r="U29" s="1710"/>
      <c r="V29" s="1707"/>
      <c r="W29" s="1707"/>
      <c r="X29" s="1707"/>
      <c r="Y29" s="1710"/>
      <c r="Z29" s="13"/>
      <c r="AA29" s="13"/>
      <c r="AB29" s="13"/>
      <c r="AC29" s="13"/>
      <c r="AD29" s="13"/>
      <c r="AE29" s="13"/>
      <c r="AF29" s="13"/>
      <c r="AG29" s="13"/>
    </row>
    <row r="30" spans="1:33" s="10" customFormat="1" ht="15">
      <c r="A30" s="1004"/>
      <c r="B30" s="1508"/>
      <c r="C30" s="1707"/>
      <c r="D30" s="1605"/>
      <c r="E30" s="1468"/>
      <c r="F30" s="1724"/>
      <c r="G30" s="1508"/>
      <c r="H30" s="1717"/>
      <c r="I30" s="1717"/>
      <c r="J30" s="1605"/>
      <c r="K30" s="1518"/>
      <c r="L30" s="1538"/>
      <c r="M30" s="1538"/>
      <c r="N30" s="1722"/>
      <c r="O30" s="1518"/>
      <c r="P30" s="1707"/>
      <c r="Q30" s="1707"/>
      <c r="R30" s="1707"/>
      <c r="S30" s="1707"/>
      <c r="T30" s="1707"/>
      <c r="U30" s="1710"/>
      <c r="V30" s="1707"/>
      <c r="W30" s="1707"/>
      <c r="X30" s="1707"/>
      <c r="Y30" s="1710"/>
      <c r="Z30" s="13"/>
      <c r="AA30" s="13"/>
      <c r="AB30" s="13"/>
      <c r="AC30" s="13"/>
      <c r="AD30" s="13"/>
      <c r="AE30" s="13"/>
      <c r="AF30" s="13"/>
      <c r="AG30" s="13"/>
    </row>
    <row r="31" spans="1:33" s="10" customFormat="1" ht="51" customHeight="1">
      <c r="A31" s="1004"/>
      <c r="B31" s="1508"/>
      <c r="C31" s="1707"/>
      <c r="D31" s="1605"/>
      <c r="E31" s="1468"/>
      <c r="F31" s="1724"/>
      <c r="G31" s="1508"/>
      <c r="H31" s="1717"/>
      <c r="I31" s="1717"/>
      <c r="J31" s="1605"/>
      <c r="K31" s="1518"/>
      <c r="L31" s="1538"/>
      <c r="M31" s="1538"/>
      <c r="N31" s="1722"/>
      <c r="O31" s="1518"/>
      <c r="P31" s="1708"/>
      <c r="Q31" s="1708"/>
      <c r="R31" s="1708"/>
      <c r="S31" s="1708"/>
      <c r="T31" s="1707"/>
      <c r="U31" s="1710"/>
      <c r="V31" s="1707"/>
      <c r="W31" s="1707"/>
      <c r="X31" s="1707"/>
      <c r="Y31" s="1710"/>
      <c r="Z31" s="13"/>
      <c r="AA31" s="13"/>
      <c r="AB31" s="13"/>
      <c r="AC31" s="13"/>
      <c r="AD31" s="13"/>
      <c r="AE31" s="13"/>
      <c r="AF31" s="13"/>
      <c r="AG31" s="13"/>
    </row>
    <row r="32" spans="1:33" s="10" customFormat="1" ht="15" customHeight="1" hidden="1">
      <c r="A32" s="1004"/>
      <c r="B32" s="1508"/>
      <c r="C32" s="1707"/>
      <c r="D32" s="1605"/>
      <c r="E32" s="1468"/>
      <c r="F32" s="1724"/>
      <c r="G32" s="1508"/>
      <c r="H32" s="1717"/>
      <c r="I32" s="1717"/>
      <c r="J32" s="1605"/>
      <c r="K32" s="1518"/>
      <c r="L32" s="1517"/>
      <c r="M32" s="1517"/>
      <c r="N32" s="1722"/>
      <c r="O32" s="1518"/>
      <c r="P32" s="99"/>
      <c r="Q32" s="99"/>
      <c r="R32" s="99"/>
      <c r="S32" s="99"/>
      <c r="T32" s="1707"/>
      <c r="U32" s="1710"/>
      <c r="V32" s="1707"/>
      <c r="W32" s="1707"/>
      <c r="X32" s="1707"/>
      <c r="Y32" s="1710"/>
      <c r="Z32" s="13"/>
      <c r="AA32" s="13"/>
      <c r="AB32" s="13"/>
      <c r="AC32" s="13"/>
      <c r="AD32" s="13"/>
      <c r="AE32" s="13"/>
      <c r="AF32" s="13"/>
      <c r="AG32" s="13"/>
    </row>
    <row r="33" spans="1:33" s="10" customFormat="1" ht="79.5" customHeight="1">
      <c r="A33" s="992"/>
      <c r="B33" s="1509"/>
      <c r="C33" s="1708"/>
      <c r="D33" s="1605"/>
      <c r="E33" s="1468"/>
      <c r="F33" s="1725"/>
      <c r="G33" s="1509"/>
      <c r="H33" s="1718"/>
      <c r="I33" s="1718"/>
      <c r="J33" s="95" t="s">
        <v>425</v>
      </c>
      <c r="K33" s="95" t="s">
        <v>429</v>
      </c>
      <c r="L33" s="96">
        <v>40</v>
      </c>
      <c r="M33" s="95">
        <v>1</v>
      </c>
      <c r="N33" s="97" t="s">
        <v>433</v>
      </c>
      <c r="O33" s="98">
        <v>1</v>
      </c>
      <c r="P33" s="226">
        <v>0.25</v>
      </c>
      <c r="Q33" s="226">
        <v>0.5</v>
      </c>
      <c r="R33" s="226">
        <v>0.75</v>
      </c>
      <c r="S33" s="226">
        <v>1</v>
      </c>
      <c r="T33" s="1708"/>
      <c r="U33" s="1711"/>
      <c r="V33" s="1708"/>
      <c r="W33" s="1708"/>
      <c r="X33" s="1708"/>
      <c r="Y33" s="1711"/>
      <c r="Z33" s="13"/>
      <c r="AA33" s="13"/>
      <c r="AB33" s="13"/>
      <c r="AC33" s="13"/>
      <c r="AD33" s="13"/>
      <c r="AE33" s="13"/>
      <c r="AF33" s="13"/>
      <c r="AG33" s="13"/>
    </row>
    <row r="34" spans="1:33" s="10" customFormat="1" ht="15">
      <c r="A34" s="997"/>
      <c r="B34" s="847" t="s">
        <v>146</v>
      </c>
      <c r="C34" s="840"/>
      <c r="D34" s="22"/>
      <c r="E34" s="20">
        <f>SUM(E14)</f>
        <v>100</v>
      </c>
      <c r="F34" s="20"/>
      <c r="G34" s="20"/>
      <c r="H34" s="20"/>
      <c r="I34" s="20"/>
      <c r="J34" s="22"/>
      <c r="K34" s="24"/>
      <c r="L34" s="841">
        <f>SUM(L14:L33)</f>
        <v>100</v>
      </c>
      <c r="M34" s="841"/>
      <c r="N34" s="23"/>
      <c r="O34" s="841"/>
      <c r="P34" s="840"/>
      <c r="Q34" s="840"/>
      <c r="R34" s="840"/>
      <c r="S34" s="840"/>
      <c r="T34" s="840">
        <f>SUM(T14)</f>
        <v>190</v>
      </c>
      <c r="U34" s="840">
        <f>SUM(U14)</f>
        <v>199</v>
      </c>
      <c r="V34" s="840">
        <f>SUM(V14)</f>
        <v>209</v>
      </c>
      <c r="W34" s="840">
        <f>SUM(W14)</f>
        <v>219</v>
      </c>
      <c r="X34" s="840">
        <f>SUM(X14)</f>
        <v>817</v>
      </c>
      <c r="Y34" s="840"/>
      <c r="Z34" s="13"/>
      <c r="AA34" s="13"/>
      <c r="AB34" s="13"/>
      <c r="AC34" s="13"/>
      <c r="AD34" s="13"/>
      <c r="AE34" s="13"/>
      <c r="AF34" s="13"/>
      <c r="AG34" s="13"/>
    </row>
    <row r="35" spans="1:33" s="10" customFormat="1" ht="15">
      <c r="A35" s="13"/>
      <c r="B35" s="207"/>
      <c r="C35" s="203"/>
      <c r="D35" s="208"/>
      <c r="E35" s="204"/>
      <c r="F35" s="204"/>
      <c r="G35" s="204"/>
      <c r="H35" s="204"/>
      <c r="I35" s="204"/>
      <c r="J35" s="208"/>
      <c r="K35" s="209"/>
      <c r="L35" s="205"/>
      <c r="M35" s="205"/>
      <c r="N35" s="210"/>
      <c r="O35" s="205"/>
      <c r="P35" s="203"/>
      <c r="Q35" s="203"/>
      <c r="R35" s="203"/>
      <c r="S35" s="203"/>
      <c r="T35" s="203"/>
      <c r="U35" s="203"/>
      <c r="V35" s="203"/>
      <c r="W35" s="203"/>
      <c r="X35" s="203"/>
      <c r="Y35" s="203"/>
      <c r="Z35" s="13"/>
      <c r="AA35" s="13"/>
      <c r="AB35" s="13"/>
      <c r="AC35" s="13"/>
      <c r="AD35" s="13"/>
      <c r="AE35" s="13"/>
      <c r="AF35" s="13"/>
      <c r="AG35" s="13"/>
    </row>
    <row r="36" spans="1:33" s="10" customFormat="1" ht="15">
      <c r="A36" s="13"/>
      <c r="B36" s="207"/>
      <c r="C36" s="203"/>
      <c r="D36" s="208"/>
      <c r="E36" s="204"/>
      <c r="F36" s="204"/>
      <c r="G36" s="204"/>
      <c r="H36" s="204"/>
      <c r="I36" s="204"/>
      <c r="J36" s="208"/>
      <c r="K36" s="209"/>
      <c r="L36" s="205"/>
      <c r="M36" s="205"/>
      <c r="N36" s="210"/>
      <c r="O36" s="205"/>
      <c r="P36" s="203"/>
      <c r="Q36" s="203"/>
      <c r="R36" s="203"/>
      <c r="S36" s="203"/>
      <c r="T36" s="203"/>
      <c r="U36" s="203"/>
      <c r="V36" s="203"/>
      <c r="W36" s="203"/>
      <c r="X36" s="203"/>
      <c r="Y36" s="203"/>
      <c r="Z36" s="13"/>
      <c r="AA36" s="13"/>
      <c r="AB36" s="13"/>
      <c r="AC36" s="13"/>
      <c r="AD36" s="13"/>
      <c r="AE36" s="13"/>
      <c r="AF36" s="13"/>
      <c r="AG36" s="13"/>
    </row>
    <row r="37" spans="1:33" s="10" customFormat="1" ht="15">
      <c r="A37" s="13"/>
      <c r="B37" s="207"/>
      <c r="C37" s="203"/>
      <c r="D37" s="208"/>
      <c r="E37" s="204"/>
      <c r="F37" s="204"/>
      <c r="G37" s="204"/>
      <c r="H37" s="204"/>
      <c r="I37" s="204"/>
      <c r="J37" s="208"/>
      <c r="K37" s="209"/>
      <c r="L37" s="205"/>
      <c r="M37" s="205"/>
      <c r="N37" s="210"/>
      <c r="O37" s="205"/>
      <c r="P37" s="203"/>
      <c r="Q37" s="203"/>
      <c r="R37" s="203"/>
      <c r="S37" s="203"/>
      <c r="T37" s="203"/>
      <c r="U37" s="203"/>
      <c r="V37" s="203"/>
      <c r="W37" s="203"/>
      <c r="X37" s="203"/>
      <c r="Y37" s="203"/>
      <c r="Z37" s="13"/>
      <c r="AA37" s="13"/>
      <c r="AB37" s="13"/>
      <c r="AC37" s="13"/>
      <c r="AD37" s="13"/>
      <c r="AE37" s="13"/>
      <c r="AF37" s="13"/>
      <c r="AG37" s="13"/>
    </row>
    <row r="38" spans="1:33" s="10" customFormat="1" ht="19.5" customHeight="1">
      <c r="A38" s="13"/>
      <c r="B38" s="207"/>
      <c r="C38" s="203"/>
      <c r="D38" s="208"/>
      <c r="E38" s="204"/>
      <c r="F38" s="204"/>
      <c r="G38" s="204"/>
      <c r="H38" s="204"/>
      <c r="I38" s="204"/>
      <c r="J38" s="208"/>
      <c r="K38" s="209"/>
      <c r="L38" s="205"/>
      <c r="M38" s="205"/>
      <c r="N38" s="210"/>
      <c r="O38" s="205"/>
      <c r="P38" s="203"/>
      <c r="Q38" s="203"/>
      <c r="R38" s="203"/>
      <c r="S38" s="203"/>
      <c r="T38" s="203"/>
      <c r="U38" s="203"/>
      <c r="V38" s="203"/>
      <c r="W38" s="203"/>
      <c r="X38" s="203"/>
      <c r="Y38" s="203"/>
      <c r="Z38" s="13"/>
      <c r="AA38" s="13"/>
      <c r="AB38" s="13"/>
      <c r="AC38" s="13"/>
      <c r="AD38" s="13"/>
      <c r="AE38" s="13"/>
      <c r="AF38" s="13"/>
      <c r="AG38" s="13"/>
    </row>
    <row r="39" spans="1:33" s="10" customFormat="1" ht="15">
      <c r="A39" s="13"/>
      <c r="B39" s="207"/>
      <c r="C39" s="203"/>
      <c r="D39" s="208"/>
      <c r="E39" s="204"/>
      <c r="F39" s="204"/>
      <c r="G39" s="204"/>
      <c r="H39" s="204"/>
      <c r="I39" s="204"/>
      <c r="J39" s="208"/>
      <c r="K39" s="209"/>
      <c r="L39" s="205"/>
      <c r="M39" s="205"/>
      <c r="N39" s="210"/>
      <c r="O39" s="205"/>
      <c r="P39" s="203"/>
      <c r="Q39" s="203"/>
      <c r="R39" s="203"/>
      <c r="S39" s="203"/>
      <c r="T39" s="203"/>
      <c r="U39" s="203"/>
      <c r="V39" s="203"/>
      <c r="W39" s="203"/>
      <c r="X39" s="203"/>
      <c r="Y39" s="203"/>
      <c r="Z39" s="13"/>
      <c r="AA39" s="13"/>
      <c r="AB39" s="13"/>
      <c r="AC39" s="13"/>
      <c r="AD39" s="13"/>
      <c r="AE39" s="13"/>
      <c r="AF39" s="13"/>
      <c r="AG39" s="13"/>
    </row>
    <row r="40" spans="1:33" s="10" customFormat="1" ht="15">
      <c r="A40" s="13"/>
      <c r="B40" s="207"/>
      <c r="C40" s="203"/>
      <c r="D40" s="208"/>
      <c r="E40" s="204"/>
      <c r="F40" s="204"/>
      <c r="G40" s="204"/>
      <c r="H40" s="204"/>
      <c r="I40" s="204"/>
      <c r="J40" s="208"/>
      <c r="K40" s="209"/>
      <c r="L40" s="205"/>
      <c r="M40" s="205"/>
      <c r="N40" s="209"/>
      <c r="O40" s="205"/>
      <c r="P40" s="203"/>
      <c r="Q40" s="203"/>
      <c r="R40" s="203"/>
      <c r="S40" s="203"/>
      <c r="T40" s="203"/>
      <c r="U40" s="203"/>
      <c r="V40" s="203"/>
      <c r="W40" s="203"/>
      <c r="X40" s="203"/>
      <c r="Y40" s="203"/>
      <c r="Z40" s="13"/>
      <c r="AA40" s="13"/>
      <c r="AB40" s="13"/>
      <c r="AC40" s="13"/>
      <c r="AD40" s="13"/>
      <c r="AE40" s="13"/>
      <c r="AF40" s="13"/>
      <c r="AG40" s="13"/>
    </row>
    <row r="41" spans="1:33" s="10" customFormat="1" ht="15">
      <c r="A41" s="13"/>
      <c r="B41" s="207"/>
      <c r="C41" s="203"/>
      <c r="D41" s="208"/>
      <c r="E41" s="204"/>
      <c r="F41" s="204"/>
      <c r="G41" s="204"/>
      <c r="H41" s="204"/>
      <c r="I41" s="204"/>
      <c r="J41" s="208"/>
      <c r="K41" s="1726"/>
      <c r="L41" s="205"/>
      <c r="M41" s="205"/>
      <c r="N41" s="209"/>
      <c r="O41" s="205"/>
      <c r="P41" s="203"/>
      <c r="Q41" s="203"/>
      <c r="R41" s="203"/>
      <c r="S41" s="203"/>
      <c r="T41" s="203"/>
      <c r="U41" s="203"/>
      <c r="V41" s="203"/>
      <c r="W41" s="203"/>
      <c r="X41" s="203"/>
      <c r="Y41" s="203"/>
      <c r="Z41" s="13"/>
      <c r="AA41" s="13"/>
      <c r="AB41" s="13"/>
      <c r="AC41" s="13"/>
      <c r="AD41" s="13"/>
      <c r="AE41" s="13"/>
      <c r="AF41" s="13"/>
      <c r="AG41" s="13"/>
    </row>
    <row r="42" spans="1:33" s="10" customFormat="1" ht="15">
      <c r="A42" s="13"/>
      <c r="B42" s="207"/>
      <c r="C42" s="203"/>
      <c r="D42" s="208"/>
      <c r="E42" s="204"/>
      <c r="F42" s="204"/>
      <c r="G42" s="204"/>
      <c r="H42" s="204"/>
      <c r="I42" s="204"/>
      <c r="J42" s="208"/>
      <c r="K42" s="1726"/>
      <c r="L42" s="205"/>
      <c r="M42" s="205"/>
      <c r="N42" s="210"/>
      <c r="O42" s="205"/>
      <c r="P42" s="203"/>
      <c r="Q42" s="203"/>
      <c r="R42" s="203"/>
      <c r="S42" s="203"/>
      <c r="T42" s="203"/>
      <c r="U42" s="203"/>
      <c r="V42" s="203"/>
      <c r="W42" s="203"/>
      <c r="X42" s="203"/>
      <c r="Y42" s="203"/>
      <c r="Z42" s="13"/>
      <c r="AA42" s="13"/>
      <c r="AB42" s="13"/>
      <c r="AC42" s="13"/>
      <c r="AD42" s="13"/>
      <c r="AE42" s="13"/>
      <c r="AF42" s="13"/>
      <c r="AG42" s="13"/>
    </row>
    <row r="43" spans="1:33" s="10" customFormat="1" ht="15">
      <c r="A43" s="13"/>
      <c r="B43" s="207"/>
      <c r="C43" s="203"/>
      <c r="D43" s="208"/>
      <c r="E43" s="204"/>
      <c r="F43" s="204"/>
      <c r="G43" s="204"/>
      <c r="H43" s="204"/>
      <c r="I43" s="204"/>
      <c r="J43" s="209"/>
      <c r="K43" s="210"/>
      <c r="L43" s="210"/>
      <c r="M43" s="206"/>
      <c r="N43" s="211"/>
      <c r="O43" s="212"/>
      <c r="P43" s="203"/>
      <c r="Q43" s="203"/>
      <c r="R43" s="203"/>
      <c r="S43" s="203"/>
      <c r="T43" s="203"/>
      <c r="U43" s="203"/>
      <c r="V43" s="203"/>
      <c r="W43" s="203"/>
      <c r="X43" s="203"/>
      <c r="Y43" s="203"/>
      <c r="Z43" s="13"/>
      <c r="AA43" s="13"/>
      <c r="AB43" s="13"/>
      <c r="AC43" s="13"/>
      <c r="AD43" s="13"/>
      <c r="AE43" s="13"/>
      <c r="AF43" s="13"/>
      <c r="AG43" s="13"/>
    </row>
    <row r="44" spans="1:33" s="10" customFormat="1" ht="15">
      <c r="A44" s="13"/>
      <c r="B44" s="207"/>
      <c r="C44" s="203"/>
      <c r="D44" s="208"/>
      <c r="E44" s="204"/>
      <c r="F44" s="204"/>
      <c r="G44" s="204"/>
      <c r="H44" s="204"/>
      <c r="I44" s="204"/>
      <c r="J44" s="209"/>
      <c r="K44" s="209"/>
      <c r="L44" s="205"/>
      <c r="M44" s="213"/>
      <c r="N44" s="210"/>
      <c r="O44" s="214"/>
      <c r="P44" s="203"/>
      <c r="Q44" s="203"/>
      <c r="R44" s="203"/>
      <c r="S44" s="203"/>
      <c r="T44" s="203"/>
      <c r="U44" s="203"/>
      <c r="V44" s="203"/>
      <c r="W44" s="203"/>
      <c r="X44" s="203"/>
      <c r="Y44" s="203"/>
      <c r="Z44" s="13"/>
      <c r="AA44" s="13"/>
      <c r="AB44" s="13"/>
      <c r="AC44" s="13"/>
      <c r="AD44" s="13"/>
      <c r="AE44" s="13"/>
      <c r="AF44" s="13"/>
      <c r="AG44" s="13"/>
    </row>
    <row r="45" spans="1:33" s="10" customFormat="1" ht="15">
      <c r="A45" s="13"/>
      <c r="B45" s="207"/>
      <c r="C45" s="203"/>
      <c r="D45" s="208"/>
      <c r="E45" s="204"/>
      <c r="F45" s="204"/>
      <c r="G45" s="204"/>
      <c r="H45" s="204"/>
      <c r="I45" s="204"/>
      <c r="J45" s="209"/>
      <c r="K45" s="209"/>
      <c r="L45" s="205"/>
      <c r="M45" s="215"/>
      <c r="N45" s="210"/>
      <c r="O45" s="205"/>
      <c r="P45" s="203"/>
      <c r="Q45" s="203"/>
      <c r="R45" s="203"/>
      <c r="S45" s="203"/>
      <c r="T45" s="203"/>
      <c r="U45" s="203"/>
      <c r="V45" s="203"/>
      <c r="W45" s="203"/>
      <c r="X45" s="203"/>
      <c r="Y45" s="203"/>
      <c r="Z45" s="13"/>
      <c r="AA45" s="13"/>
      <c r="AB45" s="13"/>
      <c r="AC45" s="13"/>
      <c r="AD45" s="13"/>
      <c r="AE45" s="13"/>
      <c r="AF45" s="13"/>
      <c r="AG45" s="13"/>
    </row>
    <row r="46" spans="1:33" s="10" customFormat="1" ht="15">
      <c r="A46" s="13"/>
      <c r="B46" s="207"/>
      <c r="C46" s="203"/>
      <c r="D46" s="208"/>
      <c r="E46" s="204"/>
      <c r="F46" s="204"/>
      <c r="G46" s="204"/>
      <c r="H46" s="204"/>
      <c r="I46" s="204"/>
      <c r="J46" s="209"/>
      <c r="K46" s="209"/>
      <c r="L46" s="205"/>
      <c r="M46" s="216"/>
      <c r="N46" s="210"/>
      <c r="O46" s="205"/>
      <c r="P46" s="203"/>
      <c r="Q46" s="203"/>
      <c r="R46" s="203"/>
      <c r="S46" s="203"/>
      <c r="T46" s="203"/>
      <c r="U46" s="203"/>
      <c r="V46" s="203"/>
      <c r="W46" s="203"/>
      <c r="X46" s="203"/>
      <c r="Y46" s="203"/>
      <c r="Z46" s="13"/>
      <c r="AA46" s="13"/>
      <c r="AB46" s="13"/>
      <c r="AC46" s="13"/>
      <c r="AD46" s="13"/>
      <c r="AE46" s="13"/>
      <c r="AF46" s="13"/>
      <c r="AG46" s="13"/>
    </row>
    <row r="47" spans="1:33" s="10" customFormat="1" ht="15">
      <c r="A47" s="13"/>
      <c r="B47" s="207"/>
      <c r="C47" s="203"/>
      <c r="D47" s="208"/>
      <c r="E47" s="204"/>
      <c r="F47" s="204"/>
      <c r="G47" s="204"/>
      <c r="H47" s="204"/>
      <c r="I47" s="204"/>
      <c r="J47" s="209"/>
      <c r="K47" s="209"/>
      <c r="L47" s="205"/>
      <c r="M47" s="216"/>
      <c r="N47" s="210"/>
      <c r="O47" s="205"/>
      <c r="P47" s="203"/>
      <c r="Q47" s="203"/>
      <c r="R47" s="203"/>
      <c r="S47" s="203"/>
      <c r="T47" s="203"/>
      <c r="U47" s="203"/>
      <c r="V47" s="203"/>
      <c r="W47" s="203"/>
      <c r="X47" s="203"/>
      <c r="Y47" s="203"/>
      <c r="Z47" s="13"/>
      <c r="AA47" s="13"/>
      <c r="AB47" s="13"/>
      <c r="AC47" s="13"/>
      <c r="AD47" s="13"/>
      <c r="AE47" s="13"/>
      <c r="AF47" s="13"/>
      <c r="AG47" s="13"/>
    </row>
    <row r="48" spans="1:33" s="10" customFormat="1" ht="15">
      <c r="A48" s="13"/>
      <c r="B48" s="207"/>
      <c r="C48" s="203"/>
      <c r="D48" s="208"/>
      <c r="E48" s="204"/>
      <c r="F48" s="204"/>
      <c r="G48" s="204"/>
      <c r="H48" s="204"/>
      <c r="I48" s="204"/>
      <c r="J48" s="209"/>
      <c r="K48" s="209"/>
      <c r="L48" s="205"/>
      <c r="M48" s="216"/>
      <c r="N48" s="210"/>
      <c r="O48" s="205"/>
      <c r="P48" s="203"/>
      <c r="Q48" s="203"/>
      <c r="R48" s="203"/>
      <c r="S48" s="203"/>
      <c r="T48" s="203"/>
      <c r="U48" s="203"/>
      <c r="V48" s="203"/>
      <c r="W48" s="203"/>
      <c r="X48" s="203"/>
      <c r="Y48" s="203"/>
      <c r="Z48" s="13"/>
      <c r="AA48" s="13"/>
      <c r="AB48" s="13"/>
      <c r="AC48" s="13"/>
      <c r="AD48" s="13"/>
      <c r="AE48" s="13"/>
      <c r="AF48" s="13"/>
      <c r="AG48" s="13"/>
    </row>
    <row r="49" spans="1:33" s="10" customFormat="1" ht="15">
      <c r="A49" s="13"/>
      <c r="B49" s="207"/>
      <c r="C49" s="203"/>
      <c r="D49" s="208"/>
      <c r="E49" s="204"/>
      <c r="F49" s="204"/>
      <c r="G49" s="204"/>
      <c r="H49" s="204"/>
      <c r="I49" s="204"/>
      <c r="J49" s="209"/>
      <c r="K49" s="209"/>
      <c r="L49" s="205"/>
      <c r="M49" s="216"/>
      <c r="N49" s="210"/>
      <c r="O49" s="205"/>
      <c r="P49" s="203"/>
      <c r="Q49" s="203"/>
      <c r="R49" s="203"/>
      <c r="S49" s="203"/>
      <c r="T49" s="203"/>
      <c r="U49" s="203"/>
      <c r="V49" s="203"/>
      <c r="W49" s="203"/>
      <c r="X49" s="203"/>
      <c r="Y49" s="203"/>
      <c r="Z49" s="13"/>
      <c r="AA49" s="13"/>
      <c r="AB49" s="13"/>
      <c r="AC49" s="13"/>
      <c r="AD49" s="13"/>
      <c r="AE49" s="13"/>
      <c r="AF49" s="13"/>
      <c r="AG49" s="13"/>
    </row>
    <row r="50" spans="1:33" s="10" customFormat="1" ht="15">
      <c r="A50" s="13"/>
      <c r="B50" s="207"/>
      <c r="C50" s="203"/>
      <c r="D50" s="208"/>
      <c r="E50" s="204"/>
      <c r="F50" s="204"/>
      <c r="G50" s="204"/>
      <c r="H50" s="204"/>
      <c r="I50" s="204"/>
      <c r="J50" s="209"/>
      <c r="K50" s="209"/>
      <c r="L50" s="205"/>
      <c r="M50" s="215"/>
      <c r="N50" s="210"/>
      <c r="O50" s="205"/>
      <c r="P50" s="203"/>
      <c r="Q50" s="203"/>
      <c r="R50" s="203"/>
      <c r="S50" s="203"/>
      <c r="T50" s="203"/>
      <c r="U50" s="203"/>
      <c r="V50" s="203"/>
      <c r="W50" s="203"/>
      <c r="X50" s="203"/>
      <c r="Y50" s="203"/>
      <c r="Z50" s="13"/>
      <c r="AA50" s="13"/>
      <c r="AB50" s="13"/>
      <c r="AC50" s="13"/>
      <c r="AD50" s="13"/>
      <c r="AE50" s="13"/>
      <c r="AF50" s="13"/>
      <c r="AG50" s="13"/>
    </row>
    <row r="51" spans="1:33" s="10" customFormat="1" ht="15">
      <c r="A51" s="13"/>
      <c r="B51" s="207"/>
      <c r="C51" s="203"/>
      <c r="D51" s="208"/>
      <c r="E51" s="204"/>
      <c r="F51" s="204"/>
      <c r="G51" s="204"/>
      <c r="H51" s="204"/>
      <c r="I51" s="204"/>
      <c r="J51" s="217"/>
      <c r="K51" s="1728"/>
      <c r="L51" s="216"/>
      <c r="M51" s="216"/>
      <c r="N51" s="218"/>
      <c r="O51" s="205"/>
      <c r="P51" s="203"/>
      <c r="Q51" s="203"/>
      <c r="R51" s="203"/>
      <c r="S51" s="203"/>
      <c r="T51" s="203"/>
      <c r="U51" s="203"/>
      <c r="V51" s="203"/>
      <c r="W51" s="203"/>
      <c r="X51" s="203"/>
      <c r="Y51" s="203"/>
      <c r="Z51" s="13"/>
      <c r="AA51" s="13"/>
      <c r="AB51" s="13"/>
      <c r="AC51" s="13"/>
      <c r="AD51" s="13"/>
      <c r="AE51" s="13"/>
      <c r="AF51" s="13"/>
      <c r="AG51" s="13"/>
    </row>
    <row r="52" spans="1:33" s="10" customFormat="1" ht="15">
      <c r="A52" s="13"/>
      <c r="B52" s="207"/>
      <c r="C52" s="203"/>
      <c r="D52" s="208"/>
      <c r="E52" s="204"/>
      <c r="F52" s="204"/>
      <c r="G52" s="204"/>
      <c r="H52" s="204"/>
      <c r="I52" s="204"/>
      <c r="J52" s="217"/>
      <c r="K52" s="1728"/>
      <c r="L52" s="216"/>
      <c r="M52" s="205"/>
      <c r="N52" s="218"/>
      <c r="O52" s="216"/>
      <c r="P52" s="203"/>
      <c r="Q52" s="203"/>
      <c r="R52" s="203"/>
      <c r="S52" s="203"/>
      <c r="T52" s="203"/>
      <c r="U52" s="203"/>
      <c r="V52" s="203"/>
      <c r="W52" s="203"/>
      <c r="X52" s="203"/>
      <c r="Y52" s="203"/>
      <c r="Z52" s="13"/>
      <c r="AA52" s="13"/>
      <c r="AB52" s="13"/>
      <c r="AC52" s="13"/>
      <c r="AD52" s="13"/>
      <c r="AE52" s="13"/>
      <c r="AF52" s="13"/>
      <c r="AG52" s="13"/>
    </row>
    <row r="53" spans="1:33" s="10" customFormat="1" ht="15">
      <c r="A53" s="13"/>
      <c r="B53" s="207"/>
      <c r="C53" s="203"/>
      <c r="D53" s="208"/>
      <c r="E53" s="204"/>
      <c r="F53" s="204"/>
      <c r="G53" s="204"/>
      <c r="H53" s="204"/>
      <c r="I53" s="204"/>
      <c r="J53" s="217"/>
      <c r="K53" s="216"/>
      <c r="L53" s="216"/>
      <c r="M53" s="213"/>
      <c r="N53" s="218"/>
      <c r="O53" s="205"/>
      <c r="P53" s="203"/>
      <c r="Q53" s="203"/>
      <c r="R53" s="203"/>
      <c r="S53" s="203"/>
      <c r="T53" s="203"/>
      <c r="U53" s="203"/>
      <c r="V53" s="203"/>
      <c r="W53" s="203"/>
      <c r="X53" s="203"/>
      <c r="Y53" s="203"/>
      <c r="Z53" s="13"/>
      <c r="AA53" s="13"/>
      <c r="AB53" s="13"/>
      <c r="AC53" s="13"/>
      <c r="AD53" s="13"/>
      <c r="AE53" s="13"/>
      <c r="AF53" s="13"/>
      <c r="AG53" s="13"/>
    </row>
    <row r="54" spans="1:33" s="10" customFormat="1" ht="15">
      <c r="A54" s="13"/>
      <c r="B54" s="207"/>
      <c r="C54" s="203"/>
      <c r="D54" s="208"/>
      <c r="E54" s="204"/>
      <c r="F54" s="204"/>
      <c r="G54" s="204"/>
      <c r="H54" s="204"/>
      <c r="I54" s="204"/>
      <c r="J54" s="217"/>
      <c r="K54" s="216"/>
      <c r="L54" s="216"/>
      <c r="M54" s="216"/>
      <c r="N54" s="218"/>
      <c r="O54" s="216"/>
      <c r="P54" s="203"/>
      <c r="Q54" s="203"/>
      <c r="R54" s="203"/>
      <c r="S54" s="203"/>
      <c r="T54" s="203"/>
      <c r="U54" s="203"/>
      <c r="V54" s="203"/>
      <c r="W54" s="203"/>
      <c r="X54" s="203"/>
      <c r="Y54" s="203"/>
      <c r="Z54" s="13"/>
      <c r="AA54" s="13"/>
      <c r="AB54" s="13"/>
      <c r="AC54" s="13"/>
      <c r="AD54" s="13"/>
      <c r="AE54" s="13"/>
      <c r="AF54" s="13"/>
      <c r="AG54" s="13"/>
    </row>
    <row r="55" spans="1:33" s="10" customFormat="1" ht="15">
      <c r="A55" s="13"/>
      <c r="B55" s="207"/>
      <c r="C55" s="203"/>
      <c r="D55" s="209"/>
      <c r="E55" s="205"/>
      <c r="F55" s="205"/>
      <c r="G55" s="205"/>
      <c r="H55" s="205"/>
      <c r="I55" s="205"/>
      <c r="J55" s="208"/>
      <c r="K55" s="205"/>
      <c r="L55" s="205"/>
      <c r="M55" s="219"/>
      <c r="N55" s="210"/>
      <c r="O55" s="205"/>
      <c r="P55" s="203"/>
      <c r="Q55" s="203"/>
      <c r="R55" s="203"/>
      <c r="S55" s="203"/>
      <c r="T55" s="203"/>
      <c r="U55" s="203"/>
      <c r="V55" s="203"/>
      <c r="W55" s="203"/>
      <c r="X55" s="203"/>
      <c r="Y55" s="203"/>
      <c r="Z55" s="13"/>
      <c r="AA55" s="13"/>
      <c r="AB55" s="13"/>
      <c r="AC55" s="13"/>
      <c r="AD55" s="13"/>
      <c r="AE55" s="13"/>
      <c r="AF55" s="13"/>
      <c r="AG55" s="13"/>
    </row>
    <row r="56" spans="1:33" s="10" customFormat="1" ht="15">
      <c r="A56" s="13"/>
      <c r="B56" s="207"/>
      <c r="C56" s="203"/>
      <c r="D56" s="209"/>
      <c r="E56" s="205"/>
      <c r="F56" s="205"/>
      <c r="G56" s="205"/>
      <c r="H56" s="205"/>
      <c r="I56" s="205"/>
      <c r="J56" s="208"/>
      <c r="K56" s="209"/>
      <c r="L56" s="205"/>
      <c r="M56" s="216"/>
      <c r="N56" s="210"/>
      <c r="O56" s="205"/>
      <c r="P56" s="203"/>
      <c r="Q56" s="203"/>
      <c r="R56" s="203"/>
      <c r="S56" s="203"/>
      <c r="T56" s="203"/>
      <c r="U56" s="203"/>
      <c r="V56" s="203"/>
      <c r="W56" s="203"/>
      <c r="X56" s="203"/>
      <c r="Y56" s="203"/>
      <c r="Z56" s="13"/>
      <c r="AA56" s="13"/>
      <c r="AB56" s="13"/>
      <c r="AC56" s="13"/>
      <c r="AD56" s="13"/>
      <c r="AE56" s="13"/>
      <c r="AF56" s="13"/>
      <c r="AG56" s="13"/>
    </row>
    <row r="57" spans="1:33" s="10" customFormat="1" ht="15">
      <c r="A57" s="13"/>
      <c r="B57" s="207"/>
      <c r="C57" s="203"/>
      <c r="D57" s="209"/>
      <c r="E57" s="205"/>
      <c r="F57" s="205"/>
      <c r="G57" s="205"/>
      <c r="H57" s="205"/>
      <c r="I57" s="205"/>
      <c r="J57" s="208"/>
      <c r="K57" s="209"/>
      <c r="L57" s="205"/>
      <c r="M57" s="206"/>
      <c r="N57" s="210"/>
      <c r="O57" s="205"/>
      <c r="P57" s="203"/>
      <c r="Q57" s="203"/>
      <c r="R57" s="203"/>
      <c r="S57" s="203"/>
      <c r="T57" s="203"/>
      <c r="U57" s="203"/>
      <c r="V57" s="203"/>
      <c r="W57" s="203"/>
      <c r="X57" s="203"/>
      <c r="Y57" s="203"/>
      <c r="Z57" s="13"/>
      <c r="AA57" s="13"/>
      <c r="AB57" s="13"/>
      <c r="AC57" s="13"/>
      <c r="AD57" s="13"/>
      <c r="AE57" s="13"/>
      <c r="AF57" s="13"/>
      <c r="AG57" s="13"/>
    </row>
    <row r="58" spans="1:33" s="10" customFormat="1" ht="15">
      <c r="A58" s="13"/>
      <c r="B58" s="207"/>
      <c r="C58" s="203"/>
      <c r="D58" s="209"/>
      <c r="E58" s="205"/>
      <c r="F58" s="205"/>
      <c r="G58" s="205"/>
      <c r="H58" s="205"/>
      <c r="I58" s="205"/>
      <c r="J58" s="208"/>
      <c r="K58" s="209"/>
      <c r="L58" s="205"/>
      <c r="M58" s="205"/>
      <c r="N58" s="210"/>
      <c r="O58" s="205"/>
      <c r="P58" s="203"/>
      <c r="Q58" s="203"/>
      <c r="R58" s="203"/>
      <c r="S58" s="203"/>
      <c r="T58" s="203"/>
      <c r="U58" s="203"/>
      <c r="V58" s="203"/>
      <c r="W58" s="203"/>
      <c r="X58" s="203"/>
      <c r="Y58" s="203"/>
      <c r="Z58" s="13"/>
      <c r="AA58" s="13"/>
      <c r="AB58" s="13"/>
      <c r="AC58" s="13"/>
      <c r="AD58" s="13"/>
      <c r="AE58" s="13"/>
      <c r="AF58" s="13"/>
      <c r="AG58" s="13"/>
    </row>
    <row r="59" spans="1:33" s="10" customFormat="1" ht="15">
      <c r="A59" s="13"/>
      <c r="B59" s="207"/>
      <c r="C59" s="203"/>
      <c r="D59" s="209"/>
      <c r="E59" s="205"/>
      <c r="F59" s="205"/>
      <c r="G59" s="205"/>
      <c r="H59" s="205"/>
      <c r="I59" s="205"/>
      <c r="J59" s="208"/>
      <c r="K59" s="209"/>
      <c r="L59" s="205"/>
      <c r="M59" s="206"/>
      <c r="N59" s="210"/>
      <c r="O59" s="205"/>
      <c r="P59" s="203"/>
      <c r="Q59" s="203"/>
      <c r="R59" s="203"/>
      <c r="S59" s="203"/>
      <c r="T59" s="203"/>
      <c r="U59" s="203"/>
      <c r="V59" s="203"/>
      <c r="W59" s="203"/>
      <c r="X59" s="203"/>
      <c r="Y59" s="203"/>
      <c r="Z59" s="13"/>
      <c r="AA59" s="13"/>
      <c r="AB59" s="13"/>
      <c r="AC59" s="13"/>
      <c r="AD59" s="13"/>
      <c r="AE59" s="13"/>
      <c r="AF59" s="13"/>
      <c r="AG59" s="13"/>
    </row>
    <row r="60" spans="1:33" s="10" customFormat="1" ht="15">
      <c r="A60" s="13"/>
      <c r="B60" s="207"/>
      <c r="C60" s="203"/>
      <c r="D60" s="209"/>
      <c r="E60" s="205"/>
      <c r="F60" s="205"/>
      <c r="G60" s="205"/>
      <c r="H60" s="205"/>
      <c r="I60" s="205"/>
      <c r="J60" s="208"/>
      <c r="K60" s="209"/>
      <c r="L60" s="205"/>
      <c r="M60" s="205"/>
      <c r="N60" s="210"/>
      <c r="O60" s="205"/>
      <c r="P60" s="203"/>
      <c r="Q60" s="203"/>
      <c r="R60" s="203"/>
      <c r="S60" s="203"/>
      <c r="T60" s="203"/>
      <c r="U60" s="203"/>
      <c r="V60" s="203"/>
      <c r="W60" s="203"/>
      <c r="X60" s="203"/>
      <c r="Y60" s="203"/>
      <c r="Z60" s="13"/>
      <c r="AA60" s="13"/>
      <c r="AB60" s="13"/>
      <c r="AC60" s="13"/>
      <c r="AD60" s="13"/>
      <c r="AE60" s="13"/>
      <c r="AF60" s="13"/>
      <c r="AG60" s="13"/>
    </row>
    <row r="61" spans="1:33" s="10" customFormat="1" ht="15">
      <c r="A61" s="13"/>
      <c r="B61" s="207"/>
      <c r="C61" s="203"/>
      <c r="D61" s="209"/>
      <c r="E61" s="205"/>
      <c r="F61" s="205"/>
      <c r="G61" s="205"/>
      <c r="H61" s="205"/>
      <c r="I61" s="205"/>
      <c r="J61" s="208"/>
      <c r="K61" s="209"/>
      <c r="L61" s="205"/>
      <c r="M61" s="205"/>
      <c r="N61" s="210"/>
      <c r="O61" s="205"/>
      <c r="P61" s="203"/>
      <c r="Q61" s="203"/>
      <c r="R61" s="203"/>
      <c r="S61" s="203"/>
      <c r="T61" s="203"/>
      <c r="U61" s="203"/>
      <c r="V61" s="203"/>
      <c r="W61" s="203"/>
      <c r="X61" s="203"/>
      <c r="Y61" s="203"/>
      <c r="Z61" s="13"/>
      <c r="AA61" s="13"/>
      <c r="AB61" s="13"/>
      <c r="AC61" s="13"/>
      <c r="AD61" s="13"/>
      <c r="AE61" s="13"/>
      <c r="AF61" s="13"/>
      <c r="AG61" s="13"/>
    </row>
    <row r="62" spans="1:33" s="10" customFormat="1" ht="15">
      <c r="A62" s="13"/>
      <c r="B62" s="207"/>
      <c r="C62" s="203"/>
      <c r="D62" s="209"/>
      <c r="E62" s="205"/>
      <c r="F62" s="205"/>
      <c r="G62" s="205"/>
      <c r="H62" s="205"/>
      <c r="I62" s="205"/>
      <c r="J62" s="208"/>
      <c r="K62" s="209"/>
      <c r="L62" s="205"/>
      <c r="M62" s="205"/>
      <c r="N62" s="210"/>
      <c r="O62" s="205"/>
      <c r="P62" s="203"/>
      <c r="Q62" s="203"/>
      <c r="R62" s="203"/>
      <c r="S62" s="203"/>
      <c r="T62" s="203"/>
      <c r="U62" s="203"/>
      <c r="V62" s="203"/>
      <c r="W62" s="203"/>
      <c r="X62" s="203"/>
      <c r="Y62" s="203"/>
      <c r="Z62" s="13"/>
      <c r="AA62" s="13"/>
      <c r="AB62" s="13"/>
      <c r="AC62" s="13"/>
      <c r="AD62" s="13"/>
      <c r="AE62" s="13"/>
      <c r="AF62" s="13"/>
      <c r="AG62" s="13"/>
    </row>
    <row r="63" spans="1:33" s="10" customFormat="1" ht="15">
      <c r="A63" s="13"/>
      <c r="B63" s="207"/>
      <c r="C63" s="203"/>
      <c r="D63" s="209"/>
      <c r="E63" s="205"/>
      <c r="F63" s="205"/>
      <c r="G63" s="205"/>
      <c r="H63" s="205"/>
      <c r="I63" s="205"/>
      <c r="J63" s="208"/>
      <c r="K63" s="209"/>
      <c r="L63" s="205"/>
      <c r="M63" s="205"/>
      <c r="N63" s="210"/>
      <c r="O63" s="205"/>
      <c r="P63" s="203"/>
      <c r="Q63" s="203"/>
      <c r="R63" s="203"/>
      <c r="S63" s="203"/>
      <c r="T63" s="203"/>
      <c r="U63" s="203"/>
      <c r="V63" s="203"/>
      <c r="W63" s="203"/>
      <c r="X63" s="203"/>
      <c r="Y63" s="203"/>
      <c r="Z63" s="13"/>
      <c r="AA63" s="13"/>
      <c r="AB63" s="13"/>
      <c r="AC63" s="13"/>
      <c r="AD63" s="13"/>
      <c r="AE63" s="13"/>
      <c r="AF63" s="13"/>
      <c r="AG63" s="13"/>
    </row>
    <row r="64" spans="1:33" s="10" customFormat="1" ht="20.25" customHeight="1">
      <c r="A64" s="13"/>
      <c r="B64" s="207"/>
      <c r="C64" s="203"/>
      <c r="D64" s="209"/>
      <c r="E64" s="205"/>
      <c r="F64" s="205"/>
      <c r="G64" s="205"/>
      <c r="H64" s="205"/>
      <c r="I64" s="205"/>
      <c r="J64" s="208"/>
      <c r="K64" s="209"/>
      <c r="L64" s="205"/>
      <c r="M64" s="205"/>
      <c r="N64" s="210"/>
      <c r="O64" s="205"/>
      <c r="P64" s="203"/>
      <c r="Q64" s="203"/>
      <c r="R64" s="203"/>
      <c r="S64" s="203"/>
      <c r="T64" s="203"/>
      <c r="U64" s="203"/>
      <c r="V64" s="203"/>
      <c r="W64" s="203"/>
      <c r="X64" s="203"/>
      <c r="Y64" s="203"/>
      <c r="Z64" s="13"/>
      <c r="AA64" s="13"/>
      <c r="AB64" s="13"/>
      <c r="AC64" s="13"/>
      <c r="AD64" s="13"/>
      <c r="AE64" s="13"/>
      <c r="AF64" s="13"/>
      <c r="AG64" s="13"/>
    </row>
    <row r="65" spans="1:33" s="10" customFormat="1" ht="15">
      <c r="A65" s="13"/>
      <c r="B65" s="207"/>
      <c r="C65" s="203"/>
      <c r="D65" s="209"/>
      <c r="E65" s="205"/>
      <c r="F65" s="205"/>
      <c r="G65" s="205"/>
      <c r="H65" s="205"/>
      <c r="I65" s="205"/>
      <c r="J65" s="208"/>
      <c r="K65" s="209"/>
      <c r="L65" s="205"/>
      <c r="M65" s="205"/>
      <c r="N65" s="210"/>
      <c r="O65" s="205"/>
      <c r="P65" s="203"/>
      <c r="Q65" s="203"/>
      <c r="R65" s="203"/>
      <c r="S65" s="203"/>
      <c r="T65" s="203"/>
      <c r="U65" s="203"/>
      <c r="V65" s="203"/>
      <c r="W65" s="203"/>
      <c r="X65" s="203"/>
      <c r="Y65" s="203"/>
      <c r="Z65" s="13"/>
      <c r="AA65" s="13"/>
      <c r="AB65" s="13"/>
      <c r="AC65" s="13"/>
      <c r="AD65" s="13"/>
      <c r="AE65" s="13"/>
      <c r="AF65" s="13"/>
      <c r="AG65" s="13"/>
    </row>
    <row r="66" spans="1:33" s="10" customFormat="1" ht="15">
      <c r="A66" s="13"/>
      <c r="B66" s="207"/>
      <c r="C66" s="203"/>
      <c r="D66" s="209"/>
      <c r="E66" s="205"/>
      <c r="F66" s="205"/>
      <c r="G66" s="205"/>
      <c r="H66" s="205"/>
      <c r="I66" s="205"/>
      <c r="J66" s="208"/>
      <c r="K66" s="209"/>
      <c r="L66" s="205"/>
      <c r="M66" s="205"/>
      <c r="N66" s="210"/>
      <c r="O66" s="205"/>
      <c r="P66" s="203"/>
      <c r="Q66" s="203"/>
      <c r="R66" s="203"/>
      <c r="S66" s="203"/>
      <c r="T66" s="203"/>
      <c r="U66" s="203"/>
      <c r="V66" s="203"/>
      <c r="W66" s="203"/>
      <c r="X66" s="203"/>
      <c r="Y66" s="203"/>
      <c r="Z66" s="13"/>
      <c r="AA66" s="13"/>
      <c r="AB66" s="13"/>
      <c r="AC66" s="13"/>
      <c r="AD66" s="13"/>
      <c r="AE66" s="13"/>
      <c r="AF66" s="13"/>
      <c r="AG66" s="13"/>
    </row>
    <row r="67" spans="1:33" s="10" customFormat="1" ht="15">
      <c r="A67" s="13"/>
      <c r="B67" s="207"/>
      <c r="C67" s="203"/>
      <c r="D67" s="209"/>
      <c r="E67" s="205"/>
      <c r="F67" s="205"/>
      <c r="G67" s="205"/>
      <c r="H67" s="205"/>
      <c r="I67" s="205"/>
      <c r="J67" s="208"/>
      <c r="K67" s="209"/>
      <c r="L67" s="205"/>
      <c r="M67" s="205"/>
      <c r="N67" s="210"/>
      <c r="O67" s="205"/>
      <c r="P67" s="203"/>
      <c r="Q67" s="203"/>
      <c r="R67" s="203"/>
      <c r="S67" s="203"/>
      <c r="T67" s="203"/>
      <c r="U67" s="203"/>
      <c r="V67" s="203"/>
      <c r="W67" s="203"/>
      <c r="X67" s="203"/>
      <c r="Y67" s="203"/>
      <c r="Z67" s="13"/>
      <c r="AA67" s="13"/>
      <c r="AB67" s="13"/>
      <c r="AC67" s="13"/>
      <c r="AD67" s="13"/>
      <c r="AE67" s="13"/>
      <c r="AF67" s="13"/>
      <c r="AG67" s="13"/>
    </row>
    <row r="68" spans="1:33" s="10" customFormat="1" ht="15">
      <c r="A68" s="13"/>
      <c r="B68" s="207"/>
      <c r="C68" s="203"/>
      <c r="D68" s="209"/>
      <c r="E68" s="205"/>
      <c r="F68" s="205"/>
      <c r="G68" s="205"/>
      <c r="H68" s="205"/>
      <c r="I68" s="205"/>
      <c r="J68" s="208"/>
      <c r="K68" s="209"/>
      <c r="L68" s="205"/>
      <c r="M68" s="205"/>
      <c r="N68" s="210"/>
      <c r="O68" s="205"/>
      <c r="P68" s="203"/>
      <c r="Q68" s="203"/>
      <c r="R68" s="203"/>
      <c r="S68" s="203"/>
      <c r="T68" s="203"/>
      <c r="U68" s="203"/>
      <c r="V68" s="203"/>
      <c r="W68" s="203"/>
      <c r="X68" s="203"/>
      <c r="Y68" s="203"/>
      <c r="Z68" s="13"/>
      <c r="AA68" s="13"/>
      <c r="AB68" s="13"/>
      <c r="AC68" s="13"/>
      <c r="AD68" s="13"/>
      <c r="AE68" s="13"/>
      <c r="AF68" s="13"/>
      <c r="AG68" s="13"/>
    </row>
    <row r="69" spans="1:33" s="10" customFormat="1" ht="15">
      <c r="A69" s="13"/>
      <c r="B69" s="207"/>
      <c r="C69" s="203"/>
      <c r="D69" s="209"/>
      <c r="E69" s="205"/>
      <c r="F69" s="205"/>
      <c r="G69" s="205"/>
      <c r="H69" s="205"/>
      <c r="I69" s="205"/>
      <c r="J69" s="208"/>
      <c r="K69" s="209"/>
      <c r="L69" s="205"/>
      <c r="M69" s="205"/>
      <c r="N69" s="210"/>
      <c r="O69" s="205"/>
      <c r="P69" s="203"/>
      <c r="Q69" s="203"/>
      <c r="R69" s="203"/>
      <c r="S69" s="203"/>
      <c r="T69" s="203"/>
      <c r="U69" s="203"/>
      <c r="V69" s="203"/>
      <c r="W69" s="203"/>
      <c r="X69" s="203"/>
      <c r="Y69" s="203"/>
      <c r="Z69" s="13"/>
      <c r="AA69" s="13"/>
      <c r="AB69" s="13"/>
      <c r="AC69" s="13"/>
      <c r="AD69" s="13"/>
      <c r="AE69" s="13"/>
      <c r="AF69" s="13"/>
      <c r="AG69" s="13"/>
    </row>
    <row r="70" spans="1:33" s="10" customFormat="1" ht="15">
      <c r="A70" s="13"/>
      <c r="B70" s="207"/>
      <c r="C70" s="203"/>
      <c r="D70" s="209"/>
      <c r="E70" s="205"/>
      <c r="F70" s="205"/>
      <c r="G70" s="205"/>
      <c r="H70" s="205"/>
      <c r="I70" s="205"/>
      <c r="J70" s="208"/>
      <c r="K70" s="1727"/>
      <c r="L70" s="220"/>
      <c r="M70" s="205"/>
      <c r="N70" s="218"/>
      <c r="O70" s="205"/>
      <c r="P70" s="203"/>
      <c r="Q70" s="203"/>
      <c r="R70" s="203"/>
      <c r="S70" s="203"/>
      <c r="T70" s="203"/>
      <c r="U70" s="203"/>
      <c r="V70" s="203"/>
      <c r="W70" s="203"/>
      <c r="X70" s="203"/>
      <c r="Y70" s="203"/>
      <c r="Z70" s="13"/>
      <c r="AA70" s="13"/>
      <c r="AB70" s="13"/>
      <c r="AC70" s="13"/>
      <c r="AD70" s="13"/>
      <c r="AE70" s="13"/>
      <c r="AF70" s="13"/>
      <c r="AG70" s="13"/>
    </row>
    <row r="71" spans="1:33" s="10" customFormat="1" ht="15">
      <c r="A71" s="13"/>
      <c r="B71" s="207"/>
      <c r="C71" s="203"/>
      <c r="D71" s="209"/>
      <c r="E71" s="205"/>
      <c r="F71" s="205"/>
      <c r="G71" s="205"/>
      <c r="H71" s="205"/>
      <c r="I71" s="205"/>
      <c r="J71" s="208"/>
      <c r="K71" s="1727"/>
      <c r="L71" s="220"/>
      <c r="M71" s="215"/>
      <c r="N71" s="210"/>
      <c r="O71" s="206"/>
      <c r="P71" s="203"/>
      <c r="Q71" s="203"/>
      <c r="R71" s="203"/>
      <c r="S71" s="203"/>
      <c r="T71" s="203"/>
      <c r="U71" s="203"/>
      <c r="V71" s="203"/>
      <c r="W71" s="203"/>
      <c r="X71" s="203"/>
      <c r="Y71" s="203"/>
      <c r="Z71" s="13"/>
      <c r="AA71" s="13"/>
      <c r="AB71" s="13"/>
      <c r="AC71" s="13"/>
      <c r="AD71" s="13"/>
      <c r="AE71" s="13"/>
      <c r="AF71" s="13"/>
      <c r="AG71" s="13"/>
    </row>
    <row r="72" spans="1:33" s="10" customFormat="1" ht="15">
      <c r="A72" s="13"/>
      <c r="B72" s="207"/>
      <c r="C72" s="203"/>
      <c r="D72" s="209"/>
      <c r="E72" s="205"/>
      <c r="F72" s="205"/>
      <c r="G72" s="205"/>
      <c r="H72" s="205"/>
      <c r="I72" s="205"/>
      <c r="J72" s="209"/>
      <c r="K72" s="221"/>
      <c r="L72" s="221"/>
      <c r="M72" s="1728"/>
      <c r="N72" s="1729"/>
      <c r="O72" s="1726"/>
      <c r="P72" s="203"/>
      <c r="Q72" s="203"/>
      <c r="R72" s="203"/>
      <c r="S72" s="203"/>
      <c r="T72" s="203"/>
      <c r="U72" s="203"/>
      <c r="V72" s="203"/>
      <c r="W72" s="203"/>
      <c r="X72" s="203"/>
      <c r="Y72" s="203"/>
      <c r="Z72" s="13"/>
      <c r="AA72" s="13"/>
      <c r="AB72" s="13"/>
      <c r="AC72" s="13"/>
      <c r="AD72" s="13"/>
      <c r="AE72" s="13"/>
      <c r="AF72" s="13"/>
      <c r="AG72" s="13"/>
    </row>
    <row r="73" spans="1:33" s="10" customFormat="1" ht="15">
      <c r="A73" s="13"/>
      <c r="B73" s="207"/>
      <c r="C73" s="203"/>
      <c r="D73" s="209"/>
      <c r="E73" s="205"/>
      <c r="F73" s="205"/>
      <c r="G73" s="205"/>
      <c r="H73" s="205"/>
      <c r="I73" s="205"/>
      <c r="J73" s="209"/>
      <c r="K73" s="221"/>
      <c r="L73" s="221"/>
      <c r="M73" s="1728"/>
      <c r="N73" s="1729"/>
      <c r="O73" s="1726"/>
      <c r="P73" s="203"/>
      <c r="Q73" s="203"/>
      <c r="R73" s="203"/>
      <c r="S73" s="203"/>
      <c r="T73" s="203"/>
      <c r="U73" s="203"/>
      <c r="V73" s="203"/>
      <c r="W73" s="203"/>
      <c r="X73" s="203"/>
      <c r="Y73" s="203"/>
      <c r="Z73" s="13"/>
      <c r="AA73" s="13"/>
      <c r="AB73" s="13"/>
      <c r="AC73" s="13"/>
      <c r="AD73" s="13"/>
      <c r="AE73" s="13"/>
      <c r="AF73" s="13"/>
      <c r="AG73" s="13"/>
    </row>
    <row r="74" spans="1:33" s="10" customFormat="1" ht="15">
      <c r="A74" s="13"/>
      <c r="B74" s="207"/>
      <c r="C74" s="203"/>
      <c r="D74" s="209"/>
      <c r="E74" s="205"/>
      <c r="F74" s="205"/>
      <c r="G74" s="205"/>
      <c r="H74" s="205"/>
      <c r="I74" s="205"/>
      <c r="J74" s="209"/>
      <c r="K74" s="208"/>
      <c r="L74" s="222"/>
      <c r="M74" s="205"/>
      <c r="N74" s="210"/>
      <c r="O74" s="205"/>
      <c r="P74" s="203"/>
      <c r="Q74" s="203"/>
      <c r="R74" s="203"/>
      <c r="S74" s="203"/>
      <c r="T74" s="203"/>
      <c r="U74" s="203"/>
      <c r="V74" s="203"/>
      <c r="W74" s="203"/>
      <c r="X74" s="203"/>
      <c r="Y74" s="203"/>
      <c r="Z74" s="13"/>
      <c r="AA74" s="13"/>
      <c r="AB74" s="13"/>
      <c r="AC74" s="13"/>
      <c r="AD74" s="13"/>
      <c r="AE74" s="13"/>
      <c r="AF74" s="13"/>
      <c r="AG74" s="13"/>
    </row>
    <row r="75" spans="1:33" s="10" customFormat="1" ht="15">
      <c r="A75" s="13"/>
      <c r="B75" s="207"/>
      <c r="C75" s="203"/>
      <c r="D75" s="209"/>
      <c r="E75" s="205"/>
      <c r="F75" s="205"/>
      <c r="G75" s="205"/>
      <c r="H75" s="205"/>
      <c r="I75" s="205"/>
      <c r="J75" s="209"/>
      <c r="K75" s="208"/>
      <c r="L75" s="222"/>
      <c r="M75" s="205"/>
      <c r="N75" s="210"/>
      <c r="O75" s="216"/>
      <c r="P75" s="203"/>
      <c r="Q75" s="203"/>
      <c r="R75" s="203"/>
      <c r="S75" s="203"/>
      <c r="T75" s="203"/>
      <c r="U75" s="203"/>
      <c r="V75" s="203"/>
      <c r="W75" s="203"/>
      <c r="X75" s="203"/>
      <c r="Y75" s="203"/>
      <c r="Z75" s="13"/>
      <c r="AA75" s="13"/>
      <c r="AB75" s="13"/>
      <c r="AC75" s="13"/>
      <c r="AD75" s="13"/>
      <c r="AE75" s="13"/>
      <c r="AF75" s="13"/>
      <c r="AG75" s="13"/>
    </row>
    <row r="76" spans="1:33" s="10" customFormat="1" ht="15">
      <c r="A76" s="13"/>
      <c r="B76" s="207"/>
      <c r="C76" s="203"/>
      <c r="D76" s="209"/>
      <c r="E76" s="205"/>
      <c r="F76" s="205"/>
      <c r="G76" s="205"/>
      <c r="H76" s="205"/>
      <c r="I76" s="205"/>
      <c r="J76" s="209"/>
      <c r="K76" s="208"/>
      <c r="L76" s="222"/>
      <c r="M76" s="205"/>
      <c r="N76" s="210"/>
      <c r="O76" s="205"/>
      <c r="P76" s="203"/>
      <c r="Q76" s="203"/>
      <c r="R76" s="203"/>
      <c r="S76" s="203"/>
      <c r="T76" s="203"/>
      <c r="U76" s="203"/>
      <c r="V76" s="203"/>
      <c r="W76" s="203"/>
      <c r="X76" s="203"/>
      <c r="Y76" s="203"/>
      <c r="Z76" s="13"/>
      <c r="AA76" s="13"/>
      <c r="AB76" s="13"/>
      <c r="AC76" s="13"/>
      <c r="AD76" s="13"/>
      <c r="AE76" s="13"/>
      <c r="AF76" s="13"/>
      <c r="AG76" s="13"/>
    </row>
    <row r="77" spans="1:33" s="10" customFormat="1" ht="15">
      <c r="A77" s="13"/>
      <c r="B77" s="207"/>
      <c r="C77" s="203"/>
      <c r="D77" s="209"/>
      <c r="E77" s="205"/>
      <c r="F77" s="205"/>
      <c r="G77" s="205"/>
      <c r="H77" s="205"/>
      <c r="I77" s="205"/>
      <c r="J77" s="209"/>
      <c r="K77" s="208"/>
      <c r="L77" s="222"/>
      <c r="M77" s="205"/>
      <c r="N77" s="210"/>
      <c r="O77" s="205"/>
      <c r="P77" s="203"/>
      <c r="Q77" s="203"/>
      <c r="R77" s="203"/>
      <c r="S77" s="203"/>
      <c r="T77" s="203"/>
      <c r="U77" s="203"/>
      <c r="V77" s="203"/>
      <c r="W77" s="203"/>
      <c r="X77" s="203"/>
      <c r="Y77" s="203"/>
      <c r="Z77" s="13"/>
      <c r="AA77" s="13"/>
      <c r="AB77" s="13"/>
      <c r="AC77" s="13"/>
      <c r="AD77" s="13"/>
      <c r="AE77" s="13"/>
      <c r="AF77" s="13"/>
      <c r="AG77" s="13"/>
    </row>
    <row r="78" spans="1:33" s="10" customFormat="1" ht="15">
      <c r="A78" s="13"/>
      <c r="B78" s="207"/>
      <c r="C78" s="203"/>
      <c r="D78" s="209"/>
      <c r="E78" s="205"/>
      <c r="F78" s="205"/>
      <c r="G78" s="205"/>
      <c r="H78" s="205"/>
      <c r="I78" s="205"/>
      <c r="J78" s="209"/>
      <c r="K78" s="205"/>
      <c r="L78" s="205"/>
      <c r="M78" s="205"/>
      <c r="N78" s="210"/>
      <c r="O78" s="205"/>
      <c r="P78" s="203"/>
      <c r="Q78" s="203"/>
      <c r="R78" s="203"/>
      <c r="S78" s="203"/>
      <c r="T78" s="203"/>
      <c r="U78" s="203"/>
      <c r="V78" s="203"/>
      <c r="W78" s="203"/>
      <c r="X78" s="203"/>
      <c r="Y78" s="203"/>
      <c r="Z78" s="13"/>
      <c r="AA78" s="13"/>
      <c r="AB78" s="13"/>
      <c r="AC78" s="13"/>
      <c r="AD78" s="13"/>
      <c r="AE78" s="13"/>
      <c r="AF78" s="13"/>
      <c r="AG78" s="13"/>
    </row>
    <row r="79" spans="1:33" s="10" customFormat="1" ht="15">
      <c r="A79" s="13"/>
      <c r="B79" s="207"/>
      <c r="C79" s="203"/>
      <c r="D79" s="209"/>
      <c r="E79" s="205"/>
      <c r="F79" s="205"/>
      <c r="G79" s="205"/>
      <c r="H79" s="205"/>
      <c r="I79" s="205"/>
      <c r="J79" s="209"/>
      <c r="K79" s="209"/>
      <c r="L79" s="205"/>
      <c r="M79" s="205"/>
      <c r="N79" s="218"/>
      <c r="O79" s="205"/>
      <c r="P79" s="203"/>
      <c r="Q79" s="203"/>
      <c r="R79" s="203"/>
      <c r="S79" s="203"/>
      <c r="T79" s="203"/>
      <c r="U79" s="203"/>
      <c r="V79" s="203"/>
      <c r="W79" s="203"/>
      <c r="X79" s="203"/>
      <c r="Y79" s="203"/>
      <c r="Z79" s="13"/>
      <c r="AA79" s="13"/>
      <c r="AB79" s="13"/>
      <c r="AC79" s="13"/>
      <c r="AD79" s="13"/>
      <c r="AE79" s="13"/>
      <c r="AF79" s="13"/>
      <c r="AG79" s="13"/>
    </row>
    <row r="80" spans="1:33" s="10" customFormat="1" ht="15">
      <c r="A80" s="13"/>
      <c r="B80" s="207"/>
      <c r="C80" s="203"/>
      <c r="D80" s="209"/>
      <c r="E80" s="205"/>
      <c r="F80" s="205"/>
      <c r="G80" s="205"/>
      <c r="H80" s="205"/>
      <c r="I80" s="205"/>
      <c r="J80" s="209"/>
      <c r="K80" s="209"/>
      <c r="L80" s="205"/>
      <c r="M80" s="206"/>
      <c r="N80" s="210"/>
      <c r="O80" s="219"/>
      <c r="P80" s="203"/>
      <c r="Q80" s="203"/>
      <c r="R80" s="203"/>
      <c r="S80" s="203"/>
      <c r="T80" s="203"/>
      <c r="U80" s="203"/>
      <c r="V80" s="203"/>
      <c r="W80" s="203"/>
      <c r="X80" s="203"/>
      <c r="Y80" s="203"/>
      <c r="Z80" s="13"/>
      <c r="AA80" s="13"/>
      <c r="AB80" s="13"/>
      <c r="AC80" s="13"/>
      <c r="AD80" s="13"/>
      <c r="AE80" s="13"/>
      <c r="AF80" s="13"/>
      <c r="AG80" s="13"/>
    </row>
    <row r="81" spans="1:33" s="10" customFormat="1" ht="15">
      <c r="A81" s="13"/>
      <c r="B81" s="207"/>
      <c r="C81" s="203"/>
      <c r="D81" s="209"/>
      <c r="E81" s="205"/>
      <c r="F81" s="205"/>
      <c r="G81" s="205"/>
      <c r="H81" s="205"/>
      <c r="I81" s="205"/>
      <c r="J81" s="209"/>
      <c r="K81" s="209"/>
      <c r="L81" s="205"/>
      <c r="M81" s="205"/>
      <c r="N81" s="218"/>
      <c r="O81" s="205"/>
      <c r="P81" s="203"/>
      <c r="Q81" s="203"/>
      <c r="R81" s="203"/>
      <c r="S81" s="203"/>
      <c r="T81" s="203"/>
      <c r="U81" s="203"/>
      <c r="V81" s="203"/>
      <c r="W81" s="203"/>
      <c r="X81" s="203"/>
      <c r="Y81" s="203"/>
      <c r="Z81" s="13"/>
      <c r="AA81" s="13"/>
      <c r="AB81" s="13"/>
      <c r="AC81" s="13"/>
      <c r="AD81" s="13"/>
      <c r="AE81" s="13"/>
      <c r="AF81" s="13"/>
      <c r="AG81" s="13"/>
    </row>
    <row r="82" spans="1:33" s="10" customFormat="1" ht="15">
      <c r="A82" s="13"/>
      <c r="B82" s="207"/>
      <c r="C82" s="203"/>
      <c r="D82" s="209"/>
      <c r="E82" s="205"/>
      <c r="F82" s="205"/>
      <c r="G82" s="205"/>
      <c r="H82" s="205"/>
      <c r="I82" s="205"/>
      <c r="J82" s="223"/>
      <c r="K82" s="208"/>
      <c r="L82" s="222"/>
      <c r="M82" s="205"/>
      <c r="N82" s="209"/>
      <c r="O82" s="213"/>
      <c r="P82" s="203"/>
      <c r="Q82" s="203"/>
      <c r="R82" s="203"/>
      <c r="S82" s="203"/>
      <c r="T82" s="203"/>
      <c r="U82" s="203"/>
      <c r="V82" s="203"/>
      <c r="W82" s="203"/>
      <c r="X82" s="203"/>
      <c r="Y82" s="203"/>
      <c r="Z82" s="13"/>
      <c r="AA82" s="13"/>
      <c r="AB82" s="13"/>
      <c r="AC82" s="13"/>
      <c r="AD82" s="13"/>
      <c r="AE82" s="13"/>
      <c r="AF82" s="13"/>
      <c r="AG82" s="13"/>
    </row>
    <row r="83" spans="1:33" s="10" customFormat="1" ht="15">
      <c r="A83" s="13"/>
      <c r="B83" s="207"/>
      <c r="C83" s="203"/>
      <c r="D83" s="209"/>
      <c r="E83" s="205"/>
      <c r="F83" s="205"/>
      <c r="G83" s="205"/>
      <c r="H83" s="205"/>
      <c r="I83" s="205"/>
      <c r="J83" s="223"/>
      <c r="K83" s="208"/>
      <c r="L83" s="222"/>
      <c r="M83" s="205"/>
      <c r="N83" s="209"/>
      <c r="O83" s="210"/>
      <c r="P83" s="203"/>
      <c r="Q83" s="203"/>
      <c r="R83" s="203"/>
      <c r="S83" s="203"/>
      <c r="T83" s="203"/>
      <c r="U83" s="203"/>
      <c r="V83" s="203"/>
      <c r="W83" s="203"/>
      <c r="X83" s="203"/>
      <c r="Y83" s="203"/>
      <c r="Z83" s="13"/>
      <c r="AA83" s="13"/>
      <c r="AB83" s="13"/>
      <c r="AC83" s="13"/>
      <c r="AD83" s="13"/>
      <c r="AE83" s="13"/>
      <c r="AF83" s="13"/>
      <c r="AG83" s="13"/>
    </row>
    <row r="84" spans="1:33" s="10" customFormat="1" ht="15">
      <c r="A84" s="13"/>
      <c r="B84" s="207"/>
      <c r="C84" s="203"/>
      <c r="D84" s="209"/>
      <c r="E84" s="205"/>
      <c r="F84" s="205"/>
      <c r="G84" s="205"/>
      <c r="H84" s="205"/>
      <c r="I84" s="205"/>
      <c r="J84" s="223"/>
      <c r="K84" s="208"/>
      <c r="L84" s="222"/>
      <c r="M84" s="205"/>
      <c r="N84" s="210"/>
      <c r="O84" s="205"/>
      <c r="P84" s="203"/>
      <c r="Q84" s="203"/>
      <c r="R84" s="203"/>
      <c r="S84" s="203"/>
      <c r="T84" s="203"/>
      <c r="U84" s="203"/>
      <c r="V84" s="203"/>
      <c r="W84" s="203"/>
      <c r="X84" s="203"/>
      <c r="Y84" s="203"/>
      <c r="Z84" s="13"/>
      <c r="AA84" s="13"/>
      <c r="AB84" s="13"/>
      <c r="AC84" s="13"/>
      <c r="AD84" s="13"/>
      <c r="AE84" s="13"/>
      <c r="AF84" s="13"/>
      <c r="AG84" s="13"/>
    </row>
    <row r="85" spans="1:33" s="10" customFormat="1" ht="15">
      <c r="A85" s="13"/>
      <c r="B85" s="207"/>
      <c r="C85" s="203"/>
      <c r="D85" s="224"/>
      <c r="E85" s="224"/>
      <c r="F85" s="224"/>
      <c r="G85" s="224"/>
      <c r="H85" s="224"/>
      <c r="I85" s="224"/>
      <c r="J85" s="1726"/>
      <c r="K85" s="222"/>
      <c r="L85" s="222"/>
      <c r="M85" s="216"/>
      <c r="N85" s="218"/>
      <c r="O85" s="205"/>
      <c r="P85" s="203"/>
      <c r="Q85" s="203"/>
      <c r="R85" s="203"/>
      <c r="S85" s="203"/>
      <c r="T85" s="203"/>
      <c r="U85" s="203"/>
      <c r="V85" s="203"/>
      <c r="W85" s="203"/>
      <c r="X85" s="203"/>
      <c r="Y85" s="203"/>
      <c r="Z85" s="13"/>
      <c r="AA85" s="13"/>
      <c r="AB85" s="13"/>
      <c r="AC85" s="13"/>
      <c r="AD85" s="13"/>
      <c r="AE85" s="13"/>
      <c r="AF85" s="13"/>
      <c r="AG85" s="13"/>
    </row>
    <row r="86" spans="1:33" s="10" customFormat="1" ht="15">
      <c r="A86" s="13"/>
      <c r="B86" s="207"/>
      <c r="C86" s="203"/>
      <c r="D86" s="224"/>
      <c r="E86" s="224"/>
      <c r="F86" s="224"/>
      <c r="G86" s="224"/>
      <c r="H86" s="224"/>
      <c r="I86" s="224"/>
      <c r="J86" s="1726"/>
      <c r="K86" s="205"/>
      <c r="L86" s="205"/>
      <c r="M86" s="205"/>
      <c r="N86" s="218"/>
      <c r="O86" s="205"/>
      <c r="P86" s="203"/>
      <c r="Q86" s="203"/>
      <c r="R86" s="203"/>
      <c r="S86" s="203"/>
      <c r="T86" s="203"/>
      <c r="U86" s="203"/>
      <c r="V86" s="203"/>
      <c r="W86" s="203"/>
      <c r="X86" s="203"/>
      <c r="Y86" s="203"/>
      <c r="Z86" s="13"/>
      <c r="AA86" s="13"/>
      <c r="AB86" s="13"/>
      <c r="AC86" s="13"/>
      <c r="AD86" s="13"/>
      <c r="AE86" s="13"/>
      <c r="AF86" s="13"/>
      <c r="AG86" s="13"/>
    </row>
    <row r="87" spans="1:33" s="10" customFormat="1" ht="15">
      <c r="A87" s="13"/>
      <c r="B87" s="207"/>
      <c r="C87" s="203"/>
      <c r="D87" s="224"/>
      <c r="E87" s="224"/>
      <c r="F87" s="224"/>
      <c r="G87" s="224"/>
      <c r="H87" s="224"/>
      <c r="I87" s="224"/>
      <c r="J87" s="208"/>
      <c r="K87" s="220"/>
      <c r="L87" s="220"/>
      <c r="M87" s="205"/>
      <c r="N87" s="210"/>
      <c r="O87" s="205"/>
      <c r="P87" s="203"/>
      <c r="Q87" s="203"/>
      <c r="R87" s="203"/>
      <c r="S87" s="203"/>
      <c r="T87" s="203"/>
      <c r="U87" s="203"/>
      <c r="V87" s="203"/>
      <c r="W87" s="203"/>
      <c r="X87" s="203"/>
      <c r="Y87" s="203"/>
      <c r="Z87" s="13"/>
      <c r="AA87" s="13"/>
      <c r="AB87" s="13"/>
      <c r="AC87" s="13"/>
      <c r="AD87" s="13"/>
      <c r="AE87" s="13"/>
      <c r="AF87" s="13"/>
      <c r="AG87" s="13"/>
    </row>
    <row r="88" spans="1:33" s="10" customFormat="1" ht="15">
      <c r="A88" s="13"/>
      <c r="B88" s="207"/>
      <c r="C88" s="203"/>
      <c r="D88" s="224"/>
      <c r="E88" s="224"/>
      <c r="F88" s="224"/>
      <c r="G88" s="224"/>
      <c r="H88" s="224"/>
      <c r="I88" s="224"/>
      <c r="J88" s="208"/>
      <c r="K88" s="221"/>
      <c r="L88" s="221"/>
      <c r="M88" s="213"/>
      <c r="N88" s="209"/>
      <c r="O88" s="205"/>
      <c r="P88" s="203"/>
      <c r="Q88" s="203"/>
      <c r="R88" s="203"/>
      <c r="S88" s="203"/>
      <c r="T88" s="203"/>
      <c r="U88" s="203"/>
      <c r="V88" s="203"/>
      <c r="W88" s="203"/>
      <c r="X88" s="203"/>
      <c r="Y88" s="203"/>
      <c r="Z88" s="13"/>
      <c r="AA88" s="13"/>
      <c r="AB88" s="13"/>
      <c r="AC88" s="13"/>
      <c r="AD88" s="13"/>
      <c r="AE88" s="13"/>
      <c r="AF88" s="13"/>
      <c r="AG88" s="13"/>
    </row>
    <row r="89" spans="1:33" s="10" customFormat="1" ht="15">
      <c r="A89" s="13"/>
      <c r="B89" s="207"/>
      <c r="C89" s="203"/>
      <c r="D89" s="224"/>
      <c r="E89" s="224"/>
      <c r="F89" s="224"/>
      <c r="G89" s="224"/>
      <c r="H89" s="224"/>
      <c r="I89" s="224"/>
      <c r="J89" s="208"/>
      <c r="K89" s="217"/>
      <c r="L89" s="216"/>
      <c r="M89" s="205"/>
      <c r="N89" s="210"/>
      <c r="O89" s="216"/>
      <c r="P89" s="203"/>
      <c r="Q89" s="203"/>
      <c r="R89" s="203"/>
      <c r="S89" s="203"/>
      <c r="T89" s="203"/>
      <c r="U89" s="203"/>
      <c r="V89" s="203"/>
      <c r="W89" s="203"/>
      <c r="X89" s="203"/>
      <c r="Y89" s="203"/>
      <c r="Z89" s="13"/>
      <c r="AA89" s="13"/>
      <c r="AB89" s="13"/>
      <c r="AC89" s="13"/>
      <c r="AD89" s="13"/>
      <c r="AE89" s="13"/>
      <c r="AF89" s="13"/>
      <c r="AG89" s="13"/>
    </row>
    <row r="90" spans="1:33" s="10" customFormat="1" ht="15">
      <c r="A90" s="13"/>
      <c r="B90" s="207"/>
      <c r="C90" s="203"/>
      <c r="D90" s="224"/>
      <c r="E90" s="224"/>
      <c r="F90" s="224"/>
      <c r="G90" s="224"/>
      <c r="H90" s="224"/>
      <c r="I90" s="224"/>
      <c r="J90" s="208"/>
      <c r="K90" s="217"/>
      <c r="L90" s="216"/>
      <c r="M90" s="205"/>
      <c r="N90" s="210"/>
      <c r="O90" s="216"/>
      <c r="P90" s="203"/>
      <c r="Q90" s="203"/>
      <c r="R90" s="203"/>
      <c r="S90" s="203"/>
      <c r="T90" s="203"/>
      <c r="U90" s="203"/>
      <c r="V90" s="203"/>
      <c r="W90" s="203"/>
      <c r="X90" s="203"/>
      <c r="Y90" s="203"/>
      <c r="Z90" s="13"/>
      <c r="AA90" s="13"/>
      <c r="AB90" s="13"/>
      <c r="AC90" s="13"/>
      <c r="AD90" s="13"/>
      <c r="AE90" s="13"/>
      <c r="AF90" s="13"/>
      <c r="AG90" s="13"/>
    </row>
    <row r="91" spans="1:33" s="10" customFormat="1" ht="15">
      <c r="A91" s="13"/>
      <c r="B91" s="207"/>
      <c r="C91" s="203"/>
      <c r="D91" s="224"/>
      <c r="E91" s="224"/>
      <c r="F91" s="224"/>
      <c r="G91" s="224"/>
      <c r="H91" s="224"/>
      <c r="I91" s="224"/>
      <c r="J91" s="208"/>
      <c r="K91" s="217"/>
      <c r="L91" s="216"/>
      <c r="M91" s="205"/>
      <c r="N91" s="210"/>
      <c r="O91" s="205"/>
      <c r="P91" s="203"/>
      <c r="Q91" s="203"/>
      <c r="R91" s="203"/>
      <c r="S91" s="203"/>
      <c r="T91" s="203"/>
      <c r="U91" s="203"/>
      <c r="V91" s="203"/>
      <c r="W91" s="203"/>
      <c r="X91" s="203"/>
      <c r="Y91" s="203"/>
      <c r="Z91" s="13"/>
      <c r="AA91" s="13"/>
      <c r="AB91" s="13"/>
      <c r="AC91" s="13"/>
      <c r="AD91" s="13"/>
      <c r="AE91" s="13"/>
      <c r="AF91" s="13"/>
      <c r="AG91" s="13"/>
    </row>
    <row r="92" spans="1:33" s="10" customFormat="1" ht="15">
      <c r="A92" s="13"/>
      <c r="B92" s="207"/>
      <c r="C92" s="203"/>
      <c r="D92" s="224"/>
      <c r="E92" s="224"/>
      <c r="F92" s="224"/>
      <c r="G92" s="224"/>
      <c r="H92" s="224"/>
      <c r="I92" s="224"/>
      <c r="J92" s="208"/>
      <c r="K92" s="217"/>
      <c r="L92" s="216"/>
      <c r="M92" s="205"/>
      <c r="N92" s="210"/>
      <c r="O92" s="205"/>
      <c r="P92" s="203"/>
      <c r="Q92" s="203"/>
      <c r="R92" s="203"/>
      <c r="S92" s="203"/>
      <c r="T92" s="203"/>
      <c r="U92" s="203"/>
      <c r="V92" s="203"/>
      <c r="W92" s="203"/>
      <c r="X92" s="203"/>
      <c r="Y92" s="203"/>
      <c r="Z92" s="13"/>
      <c r="AA92" s="13"/>
      <c r="AB92" s="13"/>
      <c r="AC92" s="13"/>
      <c r="AD92" s="13"/>
      <c r="AE92" s="13"/>
      <c r="AF92" s="13"/>
      <c r="AG92" s="13"/>
    </row>
    <row r="93" spans="1:33" s="10" customFormat="1" ht="15">
      <c r="A93" s="13"/>
      <c r="B93" s="207"/>
      <c r="C93" s="203"/>
      <c r="D93" s="224"/>
      <c r="E93" s="224"/>
      <c r="F93" s="224"/>
      <c r="G93" s="224"/>
      <c r="H93" s="224"/>
      <c r="I93" s="224"/>
      <c r="J93" s="208"/>
      <c r="K93" s="217"/>
      <c r="L93" s="216"/>
      <c r="M93" s="213"/>
      <c r="N93" s="210"/>
      <c r="O93" s="205"/>
      <c r="P93" s="203"/>
      <c r="Q93" s="203"/>
      <c r="R93" s="203"/>
      <c r="S93" s="203"/>
      <c r="T93" s="203"/>
      <c r="U93" s="203"/>
      <c r="V93" s="203"/>
      <c r="W93" s="203"/>
      <c r="X93" s="203"/>
      <c r="Y93" s="203"/>
      <c r="Z93" s="13"/>
      <c r="AA93" s="13"/>
      <c r="AB93" s="13"/>
      <c r="AC93" s="13"/>
      <c r="AD93" s="13"/>
      <c r="AE93" s="13"/>
      <c r="AF93" s="13"/>
      <c r="AG93" s="13"/>
    </row>
    <row r="94" spans="1:33" s="10" customFormat="1" ht="15">
      <c r="A94" s="13"/>
      <c r="B94" s="207"/>
      <c r="C94" s="203"/>
      <c r="D94" s="224"/>
      <c r="E94" s="224"/>
      <c r="F94" s="224"/>
      <c r="G94" s="224"/>
      <c r="H94" s="224"/>
      <c r="I94" s="224"/>
      <c r="J94" s="208"/>
      <c r="K94" s="217"/>
      <c r="L94" s="216"/>
      <c r="M94" s="205"/>
      <c r="N94" s="210"/>
      <c r="O94" s="205"/>
      <c r="P94" s="203"/>
      <c r="Q94" s="203"/>
      <c r="R94" s="203"/>
      <c r="S94" s="203"/>
      <c r="T94" s="203"/>
      <c r="U94" s="203"/>
      <c r="V94" s="203"/>
      <c r="W94" s="203"/>
      <c r="X94" s="203"/>
      <c r="Y94" s="203"/>
      <c r="Z94" s="13"/>
      <c r="AA94" s="13"/>
      <c r="AB94" s="13"/>
      <c r="AC94" s="13"/>
      <c r="AD94" s="13"/>
      <c r="AE94" s="13"/>
      <c r="AF94" s="13"/>
      <c r="AG94" s="13"/>
    </row>
    <row r="95" spans="1:33" s="10" customFormat="1" ht="15">
      <c r="A95" s="13"/>
      <c r="B95" s="207"/>
      <c r="C95" s="203"/>
      <c r="D95" s="205"/>
      <c r="E95" s="205"/>
      <c r="F95" s="205"/>
      <c r="G95" s="205"/>
      <c r="H95" s="205"/>
      <c r="I95" s="205"/>
      <c r="J95" s="205"/>
      <c r="K95" s="205"/>
      <c r="L95" s="205"/>
      <c r="M95" s="215"/>
      <c r="N95" s="210"/>
      <c r="O95" s="205"/>
      <c r="P95" s="203"/>
      <c r="Q95" s="203"/>
      <c r="R95" s="203"/>
      <c r="S95" s="203"/>
      <c r="T95" s="203"/>
      <c r="U95" s="203"/>
      <c r="V95" s="203"/>
      <c r="W95" s="203"/>
      <c r="X95" s="203"/>
      <c r="Y95" s="203"/>
      <c r="Z95" s="13"/>
      <c r="AA95" s="13"/>
      <c r="AB95" s="13"/>
      <c r="AC95" s="13"/>
      <c r="AD95" s="13"/>
      <c r="AE95" s="13"/>
      <c r="AF95" s="13"/>
      <c r="AG95" s="13"/>
    </row>
  </sheetData>
  <sheetProtection/>
  <mergeCells count="73">
    <mergeCell ref="U12:U13"/>
    <mergeCell ref="V12:V13"/>
    <mergeCell ref="W12:W13"/>
    <mergeCell ref="X12:X13"/>
    <mergeCell ref="Y12:Y13"/>
    <mergeCell ref="P12:P13"/>
    <mergeCell ref="Q12:Q13"/>
    <mergeCell ref="R12:R13"/>
    <mergeCell ref="S12:S13"/>
    <mergeCell ref="T12:T13"/>
    <mergeCell ref="O72:O73"/>
    <mergeCell ref="M72:M73"/>
    <mergeCell ref="K15:K20"/>
    <mergeCell ref="N15:N20"/>
    <mergeCell ref="N12:N13"/>
    <mergeCell ref="J12:J13"/>
    <mergeCell ref="K12:K13"/>
    <mergeCell ref="O15:O20"/>
    <mergeCell ref="N72:N73"/>
    <mergeCell ref="O12:O13"/>
    <mergeCell ref="C14:C33"/>
    <mergeCell ref="E14:E33"/>
    <mergeCell ref="F14:F33"/>
    <mergeCell ref="G14:G33"/>
    <mergeCell ref="J85:J86"/>
    <mergeCell ref="K70:K71"/>
    <mergeCell ref="K41:K42"/>
    <mergeCell ref="K51:K52"/>
    <mergeCell ref="J14:J32"/>
    <mergeCell ref="K21:K32"/>
    <mergeCell ref="D14:D33"/>
    <mergeCell ref="H14:H33"/>
    <mergeCell ref="L12:L13"/>
    <mergeCell ref="M12:M13"/>
    <mergeCell ref="I14:I33"/>
    <mergeCell ref="L21:L32"/>
    <mergeCell ref="N8:X8"/>
    <mergeCell ref="C10:X10"/>
    <mergeCell ref="B2:G6"/>
    <mergeCell ref="H2:S4"/>
    <mergeCell ref="I12:I13"/>
    <mergeCell ref="B14:B33"/>
    <mergeCell ref="N21:N32"/>
    <mergeCell ref="M21:M32"/>
    <mergeCell ref="H6:S6"/>
    <mergeCell ref="T6:Y6"/>
    <mergeCell ref="O21:O32"/>
    <mergeCell ref="B12:B13"/>
    <mergeCell ref="C12:C13"/>
    <mergeCell ref="D12:D13"/>
    <mergeCell ref="E12:E13"/>
    <mergeCell ref="F12:F13"/>
    <mergeCell ref="G12:G13"/>
    <mergeCell ref="H12:H13"/>
    <mergeCell ref="M15:M20"/>
    <mergeCell ref="L15:L20"/>
    <mergeCell ref="Y14:Y33"/>
    <mergeCell ref="P21:P31"/>
    <mergeCell ref="Q21:Q31"/>
    <mergeCell ref="R21:R31"/>
    <mergeCell ref="S21:S31"/>
    <mergeCell ref="T14:T33"/>
    <mergeCell ref="V14:V33"/>
    <mergeCell ref="P15:P20"/>
    <mergeCell ref="Q15:Q20"/>
    <mergeCell ref="R15:R20"/>
    <mergeCell ref="T2:Y4"/>
    <mergeCell ref="H5:S5"/>
    <mergeCell ref="T5:Y5"/>
    <mergeCell ref="S15:S20"/>
    <mergeCell ref="X14:X33"/>
    <mergeCell ref="W14:W33"/>
    <mergeCell ref="U14:U33"/>
  </mergeCells>
  <printOptions/>
  <pageMargins left="1.06" right="0.7086614173228347" top="0.7480314960629921" bottom="0.7480314960629921" header="0.31496062992125984" footer="0.31496062992125984"/>
  <pageSetup horizontalDpi="600" verticalDpi="600" orientation="landscape" paperSize="5" scale="55" r:id="rId2"/>
  <drawing r:id="rId1"/>
</worksheet>
</file>

<file path=xl/worksheets/sheet7.xml><?xml version="1.0" encoding="utf-8"?>
<worksheet xmlns="http://schemas.openxmlformats.org/spreadsheetml/2006/main" xmlns:r="http://schemas.openxmlformats.org/officeDocument/2006/relationships">
  <sheetPr>
    <tabColor rgb="FF00B050"/>
  </sheetPr>
  <dimension ref="B2:Z132"/>
  <sheetViews>
    <sheetView showGridLines="0" showRowColHeaders="0" zoomScalePageLayoutView="0" workbookViewId="0" topLeftCell="A1">
      <selection activeCell="G68" sqref="G68:G84"/>
    </sheetView>
  </sheetViews>
  <sheetFormatPr defaultColWidth="11.421875" defaultRowHeight="15"/>
  <cols>
    <col min="1" max="1" width="3.28125" style="0" customWidth="1"/>
    <col min="2" max="2" width="10.57421875" style="0" customWidth="1"/>
    <col min="4" max="4" width="13.8515625" style="0" customWidth="1"/>
    <col min="7" max="7" width="8.7109375" style="0" customWidth="1"/>
    <col min="8" max="8" width="7.57421875" style="0" customWidth="1"/>
    <col min="9" max="9" width="8.28125" style="0" customWidth="1"/>
    <col min="10" max="10" width="12.57421875" style="0" customWidth="1"/>
    <col min="20" max="20" width="12.57421875" style="0" customWidth="1"/>
    <col min="21" max="21" width="14.28125" style="0" customWidth="1"/>
    <col min="22" max="23" width="13.421875" style="0" customWidth="1"/>
    <col min="24" max="24" width="13.7109375" style="0" customWidth="1"/>
  </cols>
  <sheetData>
    <row r="2" spans="2:25" ht="15">
      <c r="B2" s="995"/>
      <c r="C2" s="1000"/>
      <c r="D2" s="748"/>
      <c r="E2" s="749"/>
      <c r="F2" s="750"/>
      <c r="G2" s="749"/>
      <c r="H2" s="751"/>
      <c r="I2" s="751"/>
      <c r="J2" s="751"/>
      <c r="K2" s="751"/>
      <c r="L2" s="751"/>
      <c r="M2" s="751"/>
      <c r="N2" s="751"/>
      <c r="O2" s="752"/>
      <c r="P2" s="753"/>
      <c r="Q2" s="7"/>
      <c r="R2" s="7"/>
      <c r="S2" s="7"/>
      <c r="T2" s="8"/>
      <c r="U2" s="9"/>
      <c r="V2" s="9"/>
      <c r="W2" s="9"/>
      <c r="X2" s="9"/>
      <c r="Y2" s="9"/>
    </row>
    <row r="3" spans="2:25" ht="15">
      <c r="B3" s="1366"/>
      <c r="C3" s="1366"/>
      <c r="D3" s="1366"/>
      <c r="E3" s="1366"/>
      <c r="F3" s="1366"/>
      <c r="G3" s="1366"/>
      <c r="H3" s="1965" t="s">
        <v>148</v>
      </c>
      <c r="I3" s="1965"/>
      <c r="J3" s="1965"/>
      <c r="K3" s="1965"/>
      <c r="L3" s="1965"/>
      <c r="M3" s="1965"/>
      <c r="N3" s="1965"/>
      <c r="O3" s="1965"/>
      <c r="P3" s="1965"/>
      <c r="Q3" s="1965"/>
      <c r="R3" s="1965"/>
      <c r="S3" s="1965"/>
      <c r="T3" s="1965" t="s">
        <v>149</v>
      </c>
      <c r="U3" s="1966"/>
      <c r="V3" s="1966"/>
      <c r="W3" s="1966"/>
      <c r="X3" s="1966"/>
      <c r="Y3" s="1966"/>
    </row>
    <row r="4" spans="2:25" ht="15">
      <c r="B4" s="1366"/>
      <c r="C4" s="1366"/>
      <c r="D4" s="1366"/>
      <c r="E4" s="1366"/>
      <c r="F4" s="1366"/>
      <c r="G4" s="1366"/>
      <c r="H4" s="1965"/>
      <c r="I4" s="1965"/>
      <c r="J4" s="1965"/>
      <c r="K4" s="1965"/>
      <c r="L4" s="1965"/>
      <c r="M4" s="1965"/>
      <c r="N4" s="1965"/>
      <c r="O4" s="1965"/>
      <c r="P4" s="1965"/>
      <c r="Q4" s="1965"/>
      <c r="R4" s="1965"/>
      <c r="S4" s="1965"/>
      <c r="T4" s="1966"/>
      <c r="U4" s="1966"/>
      <c r="V4" s="1966"/>
      <c r="W4" s="1966"/>
      <c r="X4" s="1966"/>
      <c r="Y4" s="1966"/>
    </row>
    <row r="5" spans="2:25" ht="15">
      <c r="B5" s="1366"/>
      <c r="C5" s="1366"/>
      <c r="D5" s="1366"/>
      <c r="E5" s="1366"/>
      <c r="F5" s="1366"/>
      <c r="G5" s="1366"/>
      <c r="H5" s="1965"/>
      <c r="I5" s="1965"/>
      <c r="J5" s="1965"/>
      <c r="K5" s="1965"/>
      <c r="L5" s="1965"/>
      <c r="M5" s="1965"/>
      <c r="N5" s="1965"/>
      <c r="O5" s="1965"/>
      <c r="P5" s="1965"/>
      <c r="Q5" s="1965"/>
      <c r="R5" s="1965"/>
      <c r="S5" s="1965"/>
      <c r="T5" s="1966"/>
      <c r="U5" s="1966"/>
      <c r="V5" s="1966"/>
      <c r="W5" s="1966"/>
      <c r="X5" s="1966"/>
      <c r="Y5" s="1966"/>
    </row>
    <row r="6" spans="2:25" ht="15">
      <c r="B6" s="1366"/>
      <c r="C6" s="1366"/>
      <c r="D6" s="1366"/>
      <c r="E6" s="1366"/>
      <c r="F6" s="1366"/>
      <c r="G6" s="1366"/>
      <c r="H6" s="1960" t="s">
        <v>150</v>
      </c>
      <c r="I6" s="1960"/>
      <c r="J6" s="1960"/>
      <c r="K6" s="1960"/>
      <c r="L6" s="1960"/>
      <c r="M6" s="1960"/>
      <c r="N6" s="1960"/>
      <c r="O6" s="1960"/>
      <c r="P6" s="1960"/>
      <c r="Q6" s="1960"/>
      <c r="R6" s="1960"/>
      <c r="S6" s="1960"/>
      <c r="T6" s="1960" t="s">
        <v>151</v>
      </c>
      <c r="U6" s="1961"/>
      <c r="V6" s="1961"/>
      <c r="W6" s="1961"/>
      <c r="X6" s="1961"/>
      <c r="Y6" s="1961"/>
    </row>
    <row r="7" spans="2:25" ht="15">
      <c r="B7" s="1366"/>
      <c r="C7" s="1366"/>
      <c r="D7" s="1366"/>
      <c r="E7" s="1366"/>
      <c r="F7" s="1366"/>
      <c r="G7" s="1366"/>
      <c r="H7" s="1960" t="s">
        <v>152</v>
      </c>
      <c r="I7" s="1960"/>
      <c r="J7" s="1960"/>
      <c r="K7" s="1960"/>
      <c r="L7" s="1960"/>
      <c r="M7" s="1960"/>
      <c r="N7" s="1960"/>
      <c r="O7" s="1960"/>
      <c r="P7" s="1960"/>
      <c r="Q7" s="1960"/>
      <c r="R7" s="1960"/>
      <c r="S7" s="1960"/>
      <c r="T7" s="1960" t="s">
        <v>153</v>
      </c>
      <c r="U7" s="1961"/>
      <c r="V7" s="1961"/>
      <c r="W7" s="1961"/>
      <c r="X7" s="1961"/>
      <c r="Y7" s="1961"/>
    </row>
    <row r="8" spans="2:25" ht="15">
      <c r="B8" s="952"/>
      <c r="C8" s="952"/>
      <c r="D8" s="952"/>
      <c r="E8" s="952"/>
      <c r="F8" s="952"/>
      <c r="G8" s="952"/>
      <c r="H8" s="952"/>
      <c r="I8" s="952"/>
      <c r="J8" s="952"/>
      <c r="K8" s="1053"/>
      <c r="L8" s="1053"/>
      <c r="M8" s="1053"/>
      <c r="N8" s="1053"/>
      <c r="O8" s="1053"/>
      <c r="P8" s="1053"/>
      <c r="Q8" s="1053"/>
      <c r="R8" s="1053"/>
      <c r="S8" s="1053"/>
      <c r="T8" s="1053"/>
      <c r="U8" s="1053"/>
      <c r="V8" s="1053"/>
      <c r="W8" s="1053"/>
      <c r="X8" s="1053"/>
      <c r="Y8" s="1053"/>
    </row>
    <row r="9" spans="2:25" ht="15">
      <c r="B9" s="1056" t="s">
        <v>103</v>
      </c>
      <c r="C9" s="1574" t="s">
        <v>126</v>
      </c>
      <c r="D9" s="1575"/>
      <c r="E9" s="1575"/>
      <c r="F9" s="1575"/>
      <c r="G9" s="1575"/>
      <c r="H9" s="1575"/>
      <c r="I9" s="1575"/>
      <c r="J9" s="1575"/>
      <c r="K9" s="1575"/>
      <c r="L9" s="1575"/>
      <c r="M9" s="1575"/>
      <c r="N9" s="1657"/>
      <c r="O9" s="1719"/>
      <c r="P9" s="1719"/>
      <c r="Q9" s="1719"/>
      <c r="R9" s="1719"/>
      <c r="S9" s="1719"/>
      <c r="T9" s="1719"/>
      <c r="U9" s="1719"/>
      <c r="V9" s="1719"/>
      <c r="W9" s="1719"/>
      <c r="X9" s="1574"/>
      <c r="Y9" s="1043"/>
    </row>
    <row r="10" spans="2:25" ht="15">
      <c r="B10" s="1056" t="s">
        <v>154</v>
      </c>
      <c r="C10" s="1574" t="s">
        <v>1339</v>
      </c>
      <c r="D10" s="1575"/>
      <c r="E10" s="1575"/>
      <c r="F10" s="1575"/>
      <c r="G10" s="1575"/>
      <c r="H10" s="1575"/>
      <c r="I10" s="1575"/>
      <c r="J10" s="1575"/>
      <c r="K10" s="1575"/>
      <c r="L10" s="1575"/>
      <c r="M10" s="1575"/>
      <c r="N10" s="1962"/>
      <c r="O10" s="1963"/>
      <c r="P10" s="1963"/>
      <c r="Q10" s="1963"/>
      <c r="R10" s="1963"/>
      <c r="S10" s="1963"/>
      <c r="T10" s="1963"/>
      <c r="U10" s="1963"/>
      <c r="V10" s="1963"/>
      <c r="W10" s="1963"/>
      <c r="X10" s="1964"/>
      <c r="Y10" s="1043"/>
    </row>
    <row r="11" spans="2:25" ht="39" customHeight="1">
      <c r="B11" s="1057" t="s">
        <v>1387</v>
      </c>
      <c r="C11" s="1970" t="s">
        <v>1392</v>
      </c>
      <c r="D11" s="1971"/>
      <c r="E11" s="1971"/>
      <c r="F11" s="1971"/>
      <c r="G11" s="1971"/>
      <c r="H11" s="1971"/>
      <c r="I11" s="1971"/>
      <c r="J11" s="1971"/>
      <c r="K11" s="1971"/>
      <c r="L11" s="1971"/>
      <c r="M11" s="1971"/>
      <c r="N11" s="1972"/>
      <c r="O11" s="1972"/>
      <c r="P11" s="1972"/>
      <c r="Q11" s="1972"/>
      <c r="R11" s="1972"/>
      <c r="S11" s="1972"/>
      <c r="T11" s="1972"/>
      <c r="U11" s="1972"/>
      <c r="V11" s="1972"/>
      <c r="W11" s="1972"/>
      <c r="X11" s="1972"/>
      <c r="Y11" s="1973"/>
    </row>
    <row r="12" spans="2:26" ht="15">
      <c r="B12" s="952"/>
      <c r="C12" s="952"/>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5"/>
      <c r="Z12" s="13"/>
    </row>
    <row r="13" spans="2:25" ht="22.5">
      <c r="B13" s="1967" t="s">
        <v>103</v>
      </c>
      <c r="C13" s="1968" t="s">
        <v>140</v>
      </c>
      <c r="D13" s="1969" t="s">
        <v>0</v>
      </c>
      <c r="E13" s="1472" t="s">
        <v>140</v>
      </c>
      <c r="F13" s="1472" t="s">
        <v>141</v>
      </c>
      <c r="G13" s="1472" t="s">
        <v>104</v>
      </c>
      <c r="H13" s="1472" t="s">
        <v>142</v>
      </c>
      <c r="I13" s="1472" t="s">
        <v>143</v>
      </c>
      <c r="J13" s="1472" t="s">
        <v>1</v>
      </c>
      <c r="K13" s="1472" t="s">
        <v>2</v>
      </c>
      <c r="L13" s="1472" t="s">
        <v>140</v>
      </c>
      <c r="M13" s="1472" t="s">
        <v>3</v>
      </c>
      <c r="N13" s="1472" t="s">
        <v>4</v>
      </c>
      <c r="O13" s="1476" t="s">
        <v>5</v>
      </c>
      <c r="P13" s="1015" t="s">
        <v>144</v>
      </c>
      <c r="Q13" s="1015" t="s">
        <v>144</v>
      </c>
      <c r="R13" s="1015" t="s">
        <v>145</v>
      </c>
      <c r="S13" s="1015" t="s">
        <v>144</v>
      </c>
      <c r="T13" s="1959">
        <v>2012</v>
      </c>
      <c r="U13" s="1959">
        <v>2013</v>
      </c>
      <c r="V13" s="1959">
        <v>2014</v>
      </c>
      <c r="W13" s="1959">
        <v>2015</v>
      </c>
      <c r="X13" s="1959" t="s">
        <v>146</v>
      </c>
      <c r="Y13" s="1959" t="s">
        <v>147</v>
      </c>
    </row>
    <row r="14" spans="2:25" ht="15">
      <c r="B14" s="1967"/>
      <c r="C14" s="1968"/>
      <c r="D14" s="1969"/>
      <c r="E14" s="1472"/>
      <c r="F14" s="1472"/>
      <c r="G14" s="1472"/>
      <c r="H14" s="1472"/>
      <c r="I14" s="1472"/>
      <c r="J14" s="1472"/>
      <c r="K14" s="1472"/>
      <c r="L14" s="1472"/>
      <c r="M14" s="1472"/>
      <c r="N14" s="1472"/>
      <c r="O14" s="1476"/>
      <c r="P14" s="1018">
        <v>2012</v>
      </c>
      <c r="Q14" s="1018">
        <v>2013</v>
      </c>
      <c r="R14" s="1018">
        <v>2014</v>
      </c>
      <c r="S14" s="1018">
        <v>2015</v>
      </c>
      <c r="T14" s="1573"/>
      <c r="U14" s="1573"/>
      <c r="V14" s="1573"/>
      <c r="W14" s="1573"/>
      <c r="X14" s="1573"/>
      <c r="Y14" s="1573"/>
    </row>
    <row r="15" spans="2:25" ht="45">
      <c r="B15" s="1947" t="s">
        <v>126</v>
      </c>
      <c r="C15" s="1950">
        <v>1.16</v>
      </c>
      <c r="D15" s="1951" t="s">
        <v>434</v>
      </c>
      <c r="E15" s="1912">
        <v>0.05</v>
      </c>
      <c r="F15" s="1924">
        <v>1000000</v>
      </c>
      <c r="G15" s="1918" t="s">
        <v>127</v>
      </c>
      <c r="H15" s="1924">
        <v>400000</v>
      </c>
      <c r="I15" s="1924">
        <v>1400000</v>
      </c>
      <c r="J15" s="1918" t="s">
        <v>434</v>
      </c>
      <c r="K15" s="1918" t="s">
        <v>436</v>
      </c>
      <c r="L15" s="1912">
        <v>1</v>
      </c>
      <c r="M15" s="1098">
        <v>6</v>
      </c>
      <c r="N15" s="1099" t="s">
        <v>438</v>
      </c>
      <c r="O15" s="1100">
        <v>40</v>
      </c>
      <c r="P15" s="822">
        <v>42</v>
      </c>
      <c r="Q15" s="822">
        <v>43</v>
      </c>
      <c r="R15" s="822">
        <v>44</v>
      </c>
      <c r="S15" s="822">
        <v>46</v>
      </c>
      <c r="T15" s="1906">
        <v>300000000</v>
      </c>
      <c r="U15" s="1906">
        <v>200000000</v>
      </c>
      <c r="V15" s="1906">
        <v>200000000</v>
      </c>
      <c r="W15" s="1906">
        <v>200000000</v>
      </c>
      <c r="X15" s="1906">
        <v>900000000</v>
      </c>
      <c r="Y15" s="1909" t="s">
        <v>1291</v>
      </c>
    </row>
    <row r="16" spans="2:25" ht="56.25">
      <c r="B16" s="1948"/>
      <c r="C16" s="1950"/>
      <c r="D16" s="1951"/>
      <c r="E16" s="1913"/>
      <c r="F16" s="1925"/>
      <c r="G16" s="1919"/>
      <c r="H16" s="1925"/>
      <c r="I16" s="1925"/>
      <c r="J16" s="1919"/>
      <c r="K16" s="1919"/>
      <c r="L16" s="1913"/>
      <c r="M16" s="1098">
        <v>4</v>
      </c>
      <c r="N16" s="1099" t="s">
        <v>439</v>
      </c>
      <c r="O16" s="1100">
        <v>26</v>
      </c>
      <c r="P16" s="822">
        <v>26</v>
      </c>
      <c r="Q16" s="822">
        <v>27</v>
      </c>
      <c r="R16" s="822">
        <v>28</v>
      </c>
      <c r="S16" s="822">
        <v>30</v>
      </c>
      <c r="T16" s="1907"/>
      <c r="U16" s="1907"/>
      <c r="V16" s="1907"/>
      <c r="W16" s="1907"/>
      <c r="X16" s="1907"/>
      <c r="Y16" s="1910"/>
    </row>
    <row r="17" spans="2:25" ht="45">
      <c r="B17" s="1948"/>
      <c r="C17" s="1950"/>
      <c r="D17" s="1951"/>
      <c r="E17" s="1913"/>
      <c r="F17" s="1925"/>
      <c r="G17" s="1919"/>
      <c r="H17" s="1925"/>
      <c r="I17" s="1925"/>
      <c r="J17" s="1919"/>
      <c r="K17" s="1919"/>
      <c r="L17" s="1913"/>
      <c r="M17" s="1098">
        <v>26</v>
      </c>
      <c r="N17" s="1099" t="s">
        <v>440</v>
      </c>
      <c r="O17" s="1100">
        <v>1</v>
      </c>
      <c r="P17" s="822">
        <v>6</v>
      </c>
      <c r="Q17" s="822">
        <v>12</v>
      </c>
      <c r="R17" s="822">
        <v>18</v>
      </c>
      <c r="S17" s="822">
        <v>26</v>
      </c>
      <c r="T17" s="1907"/>
      <c r="U17" s="1907"/>
      <c r="V17" s="1907"/>
      <c r="W17" s="1907"/>
      <c r="X17" s="1907"/>
      <c r="Y17" s="1910"/>
    </row>
    <row r="18" spans="2:25" ht="56.25">
      <c r="B18" s="1948"/>
      <c r="C18" s="1950"/>
      <c r="D18" s="1951"/>
      <c r="E18" s="1913"/>
      <c r="F18" s="1925"/>
      <c r="G18" s="1919"/>
      <c r="H18" s="1925"/>
      <c r="I18" s="1925"/>
      <c r="J18" s="1919"/>
      <c r="K18" s="1919"/>
      <c r="L18" s="1913"/>
      <c r="M18" s="1098">
        <v>1</v>
      </c>
      <c r="N18" s="1099" t="s">
        <v>441</v>
      </c>
      <c r="O18" s="1100">
        <v>0</v>
      </c>
      <c r="P18" s="822">
        <v>0</v>
      </c>
      <c r="Q18" s="822">
        <v>1</v>
      </c>
      <c r="R18" s="822">
        <v>1</v>
      </c>
      <c r="S18" s="822">
        <v>1</v>
      </c>
      <c r="T18" s="1907"/>
      <c r="U18" s="1907"/>
      <c r="V18" s="1907"/>
      <c r="W18" s="1907"/>
      <c r="X18" s="1907"/>
      <c r="Y18" s="1910"/>
    </row>
    <row r="19" spans="2:25" ht="135">
      <c r="B19" s="1948"/>
      <c r="C19" s="1950"/>
      <c r="D19" s="1951"/>
      <c r="E19" s="1913"/>
      <c r="F19" s="1925"/>
      <c r="G19" s="1919"/>
      <c r="H19" s="1925"/>
      <c r="I19" s="1925"/>
      <c r="J19" s="1919"/>
      <c r="K19" s="1919"/>
      <c r="L19" s="1913"/>
      <c r="M19" s="1098">
        <v>120</v>
      </c>
      <c r="N19" s="1099" t="s">
        <v>442</v>
      </c>
      <c r="O19" s="1100">
        <v>60</v>
      </c>
      <c r="P19" s="822">
        <v>75</v>
      </c>
      <c r="Q19" s="822">
        <v>100</v>
      </c>
      <c r="R19" s="822">
        <v>140</v>
      </c>
      <c r="S19" s="822">
        <v>180</v>
      </c>
      <c r="T19" s="1907"/>
      <c r="U19" s="1907"/>
      <c r="V19" s="1907"/>
      <c r="W19" s="1907"/>
      <c r="X19" s="1907"/>
      <c r="Y19" s="1910"/>
    </row>
    <row r="20" spans="2:25" ht="45">
      <c r="B20" s="1948"/>
      <c r="C20" s="1950"/>
      <c r="D20" s="1951"/>
      <c r="E20" s="1913"/>
      <c r="F20" s="1925"/>
      <c r="G20" s="1919"/>
      <c r="H20" s="1925"/>
      <c r="I20" s="1925"/>
      <c r="J20" s="1919"/>
      <c r="K20" s="1919"/>
      <c r="L20" s="1913"/>
      <c r="M20" s="1098">
        <v>12</v>
      </c>
      <c r="N20" s="1099" t="s">
        <v>443</v>
      </c>
      <c r="O20" s="1100">
        <v>4</v>
      </c>
      <c r="P20" s="818">
        <v>8</v>
      </c>
      <c r="Q20" s="818">
        <v>10</v>
      </c>
      <c r="R20" s="818">
        <v>12</v>
      </c>
      <c r="S20" s="818">
        <v>16</v>
      </c>
      <c r="T20" s="1907"/>
      <c r="U20" s="1907"/>
      <c r="V20" s="1907"/>
      <c r="W20" s="1907"/>
      <c r="X20" s="1907"/>
      <c r="Y20" s="1910"/>
    </row>
    <row r="21" spans="2:25" ht="45">
      <c r="B21" s="1948"/>
      <c r="C21" s="1950"/>
      <c r="D21" s="1951"/>
      <c r="E21" s="1913"/>
      <c r="F21" s="1925"/>
      <c r="G21" s="1919"/>
      <c r="H21" s="1925"/>
      <c r="I21" s="1925"/>
      <c r="J21" s="1919"/>
      <c r="K21" s="1919"/>
      <c r="L21" s="1913"/>
      <c r="M21" s="1098">
        <v>12</v>
      </c>
      <c r="N21" s="1099" t="s">
        <v>444</v>
      </c>
      <c r="O21" s="1100">
        <v>8</v>
      </c>
      <c r="P21" s="818">
        <v>11</v>
      </c>
      <c r="Q21" s="818">
        <v>14</v>
      </c>
      <c r="R21" s="818">
        <v>17</v>
      </c>
      <c r="S21" s="818">
        <v>20</v>
      </c>
      <c r="T21" s="1907"/>
      <c r="U21" s="1907"/>
      <c r="V21" s="1907"/>
      <c r="W21" s="1907"/>
      <c r="X21" s="1907"/>
      <c r="Y21" s="1910"/>
    </row>
    <row r="22" spans="2:25" ht="45">
      <c r="B22" s="1948"/>
      <c r="C22" s="1950"/>
      <c r="D22" s="1951"/>
      <c r="E22" s="1913"/>
      <c r="F22" s="1925"/>
      <c r="G22" s="1919"/>
      <c r="H22" s="1925"/>
      <c r="I22" s="1925"/>
      <c r="J22" s="1919"/>
      <c r="K22" s="1919"/>
      <c r="L22" s="1913"/>
      <c r="M22" s="1098">
        <v>8</v>
      </c>
      <c r="N22" s="1099" t="s">
        <v>445</v>
      </c>
      <c r="O22" s="1100">
        <v>8</v>
      </c>
      <c r="P22" s="818">
        <v>10</v>
      </c>
      <c r="Q22" s="818">
        <v>12</v>
      </c>
      <c r="R22" s="818">
        <v>14</v>
      </c>
      <c r="S22" s="818">
        <v>16</v>
      </c>
      <c r="T22" s="1907"/>
      <c r="U22" s="1907"/>
      <c r="V22" s="1907"/>
      <c r="W22" s="1907"/>
      <c r="X22" s="1907"/>
      <c r="Y22" s="1910"/>
    </row>
    <row r="23" spans="2:25" ht="45">
      <c r="B23" s="1948"/>
      <c r="C23" s="1950"/>
      <c r="D23" s="1951"/>
      <c r="E23" s="1913"/>
      <c r="F23" s="1925"/>
      <c r="G23" s="1919"/>
      <c r="H23" s="1925"/>
      <c r="I23" s="1925"/>
      <c r="J23" s="1919"/>
      <c r="K23" s="1919"/>
      <c r="L23" s="1913"/>
      <c r="M23" s="1098">
        <v>1</v>
      </c>
      <c r="N23" s="1099" t="s">
        <v>446</v>
      </c>
      <c r="O23" s="1100">
        <v>0</v>
      </c>
      <c r="P23" s="818">
        <v>0</v>
      </c>
      <c r="Q23" s="818">
        <v>1</v>
      </c>
      <c r="R23" s="818">
        <v>1</v>
      </c>
      <c r="S23" s="818">
        <v>1</v>
      </c>
      <c r="T23" s="1907"/>
      <c r="U23" s="1907"/>
      <c r="V23" s="1907"/>
      <c r="W23" s="1907"/>
      <c r="X23" s="1907"/>
      <c r="Y23" s="1910"/>
    </row>
    <row r="24" spans="2:25" ht="68.25" thickBot="1">
      <c r="B24" s="1948"/>
      <c r="C24" s="1950"/>
      <c r="D24" s="1952"/>
      <c r="E24" s="1914"/>
      <c r="F24" s="1926"/>
      <c r="G24" s="1920"/>
      <c r="H24" s="1926"/>
      <c r="I24" s="1926"/>
      <c r="J24" s="1920"/>
      <c r="K24" s="1920"/>
      <c r="L24" s="1914"/>
      <c r="M24" s="1101">
        <v>1</v>
      </c>
      <c r="N24" s="1102" t="s">
        <v>447</v>
      </c>
      <c r="O24" s="1103">
        <v>0</v>
      </c>
      <c r="P24" s="1104">
        <v>0</v>
      </c>
      <c r="Q24" s="1104">
        <v>1</v>
      </c>
      <c r="R24" s="1104">
        <v>1</v>
      </c>
      <c r="S24" s="1104">
        <v>1</v>
      </c>
      <c r="T24" s="1908"/>
      <c r="U24" s="1908"/>
      <c r="V24" s="1908"/>
      <c r="W24" s="1908"/>
      <c r="X24" s="1908"/>
      <c r="Y24" s="1911"/>
    </row>
    <row r="25" spans="2:25" ht="15.75" thickBot="1">
      <c r="B25" s="1948"/>
      <c r="C25" s="1950"/>
      <c r="D25" s="1003"/>
      <c r="E25" s="1105"/>
      <c r="F25" s="1106"/>
      <c r="G25" s="1107"/>
      <c r="H25" s="1106"/>
      <c r="I25" s="1106"/>
      <c r="J25" s="1108"/>
      <c r="K25" s="1109" t="s">
        <v>1337</v>
      </c>
      <c r="L25" s="1110">
        <f>SUM(L15)</f>
        <v>1</v>
      </c>
      <c r="M25" s="1111"/>
      <c r="N25" s="1107"/>
      <c r="O25" s="1003"/>
      <c r="P25" s="1002"/>
      <c r="Q25" s="1002"/>
      <c r="R25" s="1002"/>
      <c r="S25" s="1002"/>
      <c r="T25" s="1002"/>
      <c r="U25" s="1002"/>
      <c r="V25" s="1002"/>
      <c r="W25" s="1002"/>
      <c r="X25" s="1002"/>
      <c r="Y25" s="1001"/>
    </row>
    <row r="26" spans="2:25" ht="15">
      <c r="B26" s="1948"/>
      <c r="C26" s="1950"/>
      <c r="D26" s="1932" t="s">
        <v>448</v>
      </c>
      <c r="E26" s="1933">
        <v>0.1</v>
      </c>
      <c r="F26" s="1935"/>
      <c r="G26" s="1937"/>
      <c r="H26" s="1937"/>
      <c r="I26" s="1937"/>
      <c r="J26" s="1939" t="s">
        <v>435</v>
      </c>
      <c r="K26" s="1939" t="s">
        <v>437</v>
      </c>
      <c r="L26" s="1943">
        <v>0.4</v>
      </c>
      <c r="M26" s="1922">
        <v>1</v>
      </c>
      <c r="N26" s="1944" t="s">
        <v>1292</v>
      </c>
      <c r="O26" s="1922">
        <v>0</v>
      </c>
      <c r="P26" s="1879">
        <v>0</v>
      </c>
      <c r="Q26" s="1879">
        <v>1</v>
      </c>
      <c r="R26" s="1879">
        <v>1</v>
      </c>
      <c r="S26" s="1879">
        <v>1</v>
      </c>
      <c r="T26" s="1879">
        <v>0</v>
      </c>
      <c r="U26" s="1929">
        <v>100000000</v>
      </c>
      <c r="V26" s="1929">
        <v>100000000</v>
      </c>
      <c r="W26" s="1929">
        <v>100000000</v>
      </c>
      <c r="X26" s="1929">
        <v>300000000</v>
      </c>
      <c r="Y26" s="1941" t="s">
        <v>1293</v>
      </c>
    </row>
    <row r="27" spans="2:25" ht="15">
      <c r="B27" s="1948"/>
      <c r="C27" s="1950"/>
      <c r="D27" s="1922"/>
      <c r="E27" s="1933"/>
      <c r="F27" s="1935"/>
      <c r="G27" s="1937"/>
      <c r="H27" s="1937"/>
      <c r="I27" s="1937"/>
      <c r="J27" s="1939"/>
      <c r="K27" s="1939"/>
      <c r="L27" s="1922"/>
      <c r="M27" s="1922"/>
      <c r="N27" s="1944"/>
      <c r="O27" s="1922"/>
      <c r="P27" s="1879"/>
      <c r="Q27" s="1879"/>
      <c r="R27" s="1879"/>
      <c r="S27" s="1879"/>
      <c r="T27" s="1879"/>
      <c r="U27" s="1930"/>
      <c r="V27" s="1930"/>
      <c r="W27" s="1930"/>
      <c r="X27" s="1930"/>
      <c r="Y27" s="1941"/>
    </row>
    <row r="28" spans="2:25" ht="15">
      <c r="B28" s="1948"/>
      <c r="C28" s="1950"/>
      <c r="D28" s="1922"/>
      <c r="E28" s="1933"/>
      <c r="F28" s="1935"/>
      <c r="G28" s="1937"/>
      <c r="H28" s="1937"/>
      <c r="I28" s="1937"/>
      <c r="J28" s="1939"/>
      <c r="K28" s="1939"/>
      <c r="L28" s="1922"/>
      <c r="M28" s="1922"/>
      <c r="N28" s="1944"/>
      <c r="O28" s="1922"/>
      <c r="P28" s="1879"/>
      <c r="Q28" s="1879"/>
      <c r="R28" s="1879"/>
      <c r="S28" s="1879"/>
      <c r="T28" s="1879"/>
      <c r="U28" s="1930"/>
      <c r="V28" s="1930"/>
      <c r="W28" s="1930"/>
      <c r="X28" s="1930"/>
      <c r="Y28" s="1941"/>
    </row>
    <row r="29" spans="2:25" ht="15">
      <c r="B29" s="1948"/>
      <c r="C29" s="1950"/>
      <c r="D29" s="1922"/>
      <c r="E29" s="1933"/>
      <c r="F29" s="1935"/>
      <c r="G29" s="1937"/>
      <c r="H29" s="1937"/>
      <c r="I29" s="1937"/>
      <c r="J29" s="1940"/>
      <c r="K29" s="1940"/>
      <c r="L29" s="1928"/>
      <c r="M29" s="1928"/>
      <c r="N29" s="1945"/>
      <c r="O29" s="1928"/>
      <c r="P29" s="1880"/>
      <c r="Q29" s="1880"/>
      <c r="R29" s="1880"/>
      <c r="S29" s="1880"/>
      <c r="T29" s="1880"/>
      <c r="U29" s="1931"/>
      <c r="V29" s="1931"/>
      <c r="W29" s="1931"/>
      <c r="X29" s="1931"/>
      <c r="Y29" s="1942"/>
    </row>
    <row r="30" spans="2:25" ht="45">
      <c r="B30" s="1948"/>
      <c r="C30" s="1950"/>
      <c r="D30" s="1922"/>
      <c r="E30" s="1933"/>
      <c r="F30" s="1935"/>
      <c r="G30" s="1937"/>
      <c r="H30" s="1937"/>
      <c r="I30" s="1937"/>
      <c r="J30" s="1921" t="s">
        <v>449</v>
      </c>
      <c r="K30" s="1921" t="s">
        <v>451</v>
      </c>
      <c r="L30" s="1927">
        <v>0.3</v>
      </c>
      <c r="M30" s="1112">
        <v>23</v>
      </c>
      <c r="N30" s="1113" t="s">
        <v>453</v>
      </c>
      <c r="O30" s="1114">
        <v>7</v>
      </c>
      <c r="P30" s="1115">
        <v>7</v>
      </c>
      <c r="Q30" s="1115">
        <v>13</v>
      </c>
      <c r="R30" s="1115">
        <v>17</v>
      </c>
      <c r="S30" s="1115">
        <v>30</v>
      </c>
      <c r="T30" s="1883">
        <v>150000000</v>
      </c>
      <c r="U30" s="1883">
        <v>150000000</v>
      </c>
      <c r="V30" s="1883">
        <v>150000000</v>
      </c>
      <c r="W30" s="1883">
        <v>150000000</v>
      </c>
      <c r="X30" s="1883">
        <v>600000000</v>
      </c>
      <c r="Y30" s="1885" t="s">
        <v>1294</v>
      </c>
    </row>
    <row r="31" spans="2:25" ht="56.25">
      <c r="B31" s="1948"/>
      <c r="C31" s="1950"/>
      <c r="D31" s="1922"/>
      <c r="E31" s="1933"/>
      <c r="F31" s="1935"/>
      <c r="G31" s="1937"/>
      <c r="H31" s="1937"/>
      <c r="I31" s="1937"/>
      <c r="J31" s="1922"/>
      <c r="K31" s="1922"/>
      <c r="L31" s="1922"/>
      <c r="M31" s="1112">
        <v>7</v>
      </c>
      <c r="N31" s="1113" t="s">
        <v>454</v>
      </c>
      <c r="O31" s="1114">
        <v>50</v>
      </c>
      <c r="P31" s="1115">
        <v>50</v>
      </c>
      <c r="Q31" s="1115">
        <v>53</v>
      </c>
      <c r="R31" s="1115">
        <v>54</v>
      </c>
      <c r="S31" s="1115">
        <v>57</v>
      </c>
      <c r="T31" s="1879"/>
      <c r="U31" s="1879"/>
      <c r="V31" s="1879"/>
      <c r="W31" s="1879"/>
      <c r="X31" s="1879"/>
      <c r="Y31" s="1879"/>
    </row>
    <row r="32" spans="2:25" ht="56.25">
      <c r="B32" s="1948"/>
      <c r="C32" s="1950"/>
      <c r="D32" s="1922"/>
      <c r="E32" s="1933"/>
      <c r="F32" s="1935"/>
      <c r="G32" s="1937"/>
      <c r="H32" s="1937"/>
      <c r="I32" s="1937"/>
      <c r="J32" s="1928"/>
      <c r="K32" s="1928"/>
      <c r="L32" s="1928"/>
      <c r="M32" s="1112">
        <v>11</v>
      </c>
      <c r="N32" s="1113" t="s">
        <v>455</v>
      </c>
      <c r="O32" s="1114">
        <v>15</v>
      </c>
      <c r="P32" s="1115">
        <v>15</v>
      </c>
      <c r="Q32" s="1115">
        <v>20</v>
      </c>
      <c r="R32" s="1115">
        <v>24</v>
      </c>
      <c r="S32" s="1115">
        <v>26</v>
      </c>
      <c r="T32" s="1880"/>
      <c r="U32" s="1880"/>
      <c r="V32" s="1880"/>
      <c r="W32" s="1880"/>
      <c r="X32" s="1880"/>
      <c r="Y32" s="1880"/>
    </row>
    <row r="33" spans="2:25" ht="45">
      <c r="B33" s="1948"/>
      <c r="C33" s="1950"/>
      <c r="D33" s="1922"/>
      <c r="E33" s="1933"/>
      <c r="F33" s="1935"/>
      <c r="G33" s="1937"/>
      <c r="H33" s="1937"/>
      <c r="I33" s="1937"/>
      <c r="J33" s="1921" t="s">
        <v>450</v>
      </c>
      <c r="K33" s="1921" t="s">
        <v>452</v>
      </c>
      <c r="L33" s="1927">
        <v>0.3</v>
      </c>
      <c r="M33" s="1112">
        <v>10</v>
      </c>
      <c r="N33" s="1113" t="s">
        <v>456</v>
      </c>
      <c r="O33" s="1114">
        <v>6</v>
      </c>
      <c r="P33" s="1115">
        <v>6</v>
      </c>
      <c r="Q33" s="1115">
        <v>12</v>
      </c>
      <c r="R33" s="1115">
        <v>14</v>
      </c>
      <c r="S33" s="1115">
        <v>16</v>
      </c>
      <c r="T33" s="1883">
        <v>150000000</v>
      </c>
      <c r="U33" s="1883">
        <v>100000000</v>
      </c>
      <c r="V33" s="1883">
        <v>100000000</v>
      </c>
      <c r="W33" s="1883">
        <v>100000000</v>
      </c>
      <c r="X33" s="1883">
        <v>450000000</v>
      </c>
      <c r="Y33" s="1885" t="s">
        <v>1294</v>
      </c>
    </row>
    <row r="34" spans="2:25" ht="45">
      <c r="B34" s="1948"/>
      <c r="C34" s="1950"/>
      <c r="D34" s="1922"/>
      <c r="E34" s="1933"/>
      <c r="F34" s="1935"/>
      <c r="G34" s="1937"/>
      <c r="H34" s="1937"/>
      <c r="I34" s="1937"/>
      <c r="J34" s="1922"/>
      <c r="K34" s="1922"/>
      <c r="L34" s="1922"/>
      <c r="M34" s="1112">
        <v>10</v>
      </c>
      <c r="N34" s="1113" t="s">
        <v>457</v>
      </c>
      <c r="O34" s="1114">
        <v>4</v>
      </c>
      <c r="P34" s="1115">
        <v>5</v>
      </c>
      <c r="Q34" s="1115">
        <v>8</v>
      </c>
      <c r="R34" s="1115">
        <v>10</v>
      </c>
      <c r="S34" s="1115">
        <v>14</v>
      </c>
      <c r="T34" s="1879"/>
      <c r="U34" s="1930"/>
      <c r="V34" s="1930"/>
      <c r="W34" s="1930"/>
      <c r="X34" s="1879"/>
      <c r="Y34" s="1879"/>
    </row>
    <row r="35" spans="2:25" ht="56.25">
      <c r="B35" s="1948"/>
      <c r="C35" s="1950"/>
      <c r="D35" s="1922"/>
      <c r="E35" s="1933"/>
      <c r="F35" s="1935"/>
      <c r="G35" s="1937"/>
      <c r="H35" s="1937"/>
      <c r="I35" s="1937"/>
      <c r="J35" s="1922"/>
      <c r="K35" s="1922"/>
      <c r="L35" s="1922"/>
      <c r="M35" s="1112">
        <v>10</v>
      </c>
      <c r="N35" s="1113" t="s">
        <v>458</v>
      </c>
      <c r="O35" s="1114">
        <v>8</v>
      </c>
      <c r="P35" s="1115">
        <v>8</v>
      </c>
      <c r="Q35" s="1115">
        <v>10</v>
      </c>
      <c r="R35" s="1115">
        <v>14</v>
      </c>
      <c r="S35" s="1115">
        <v>18</v>
      </c>
      <c r="T35" s="1879"/>
      <c r="U35" s="1930"/>
      <c r="V35" s="1930"/>
      <c r="W35" s="1930"/>
      <c r="X35" s="1879"/>
      <c r="Y35" s="1879"/>
    </row>
    <row r="36" spans="2:25" ht="45.75" thickBot="1">
      <c r="B36" s="1948"/>
      <c r="C36" s="1950"/>
      <c r="D36" s="1923"/>
      <c r="E36" s="1934"/>
      <c r="F36" s="1936"/>
      <c r="G36" s="1938"/>
      <c r="H36" s="1938"/>
      <c r="I36" s="1938"/>
      <c r="J36" s="1923"/>
      <c r="K36" s="1923"/>
      <c r="L36" s="1923"/>
      <c r="M36" s="1116">
        <v>10</v>
      </c>
      <c r="N36" s="1117" t="s">
        <v>459</v>
      </c>
      <c r="O36" s="1118">
        <v>4</v>
      </c>
      <c r="P36" s="1119">
        <v>4</v>
      </c>
      <c r="Q36" s="1119">
        <v>8</v>
      </c>
      <c r="R36" s="1119">
        <v>12</v>
      </c>
      <c r="S36" s="1119">
        <v>14</v>
      </c>
      <c r="T36" s="1884"/>
      <c r="U36" s="1946"/>
      <c r="V36" s="1946"/>
      <c r="W36" s="1946"/>
      <c r="X36" s="1884"/>
      <c r="Y36" s="1884"/>
    </row>
    <row r="37" spans="2:25" ht="15.75" thickBot="1">
      <c r="B37" s="1948"/>
      <c r="C37" s="1950"/>
      <c r="D37" s="1327"/>
      <c r="E37" s="1328"/>
      <c r="F37" s="1329"/>
      <c r="G37" s="1330"/>
      <c r="H37" s="1330"/>
      <c r="I37" s="1330"/>
      <c r="J37" s="1331"/>
      <c r="K37" s="1331" t="s">
        <v>1337</v>
      </c>
      <c r="L37" s="1332">
        <f>SUM(L26:L36)</f>
        <v>1</v>
      </c>
      <c r="M37" s="1333"/>
      <c r="N37" s="1334"/>
      <c r="O37" s="1335"/>
      <c r="P37" s="1336"/>
      <c r="Q37" s="1336"/>
      <c r="R37" s="1336"/>
      <c r="S37" s="1336"/>
      <c r="T37" s="1336"/>
      <c r="U37" s="1337"/>
      <c r="V37" s="1337"/>
      <c r="W37" s="1337"/>
      <c r="X37" s="1336"/>
      <c r="Y37" s="1336"/>
    </row>
    <row r="38" spans="2:25" ht="56.25">
      <c r="B38" s="1948"/>
      <c r="C38" s="1950"/>
      <c r="D38" s="1886" t="s">
        <v>460</v>
      </c>
      <c r="E38" s="1889">
        <v>0.15</v>
      </c>
      <c r="F38" s="1891"/>
      <c r="G38" s="1892"/>
      <c r="H38" s="1891"/>
      <c r="I38" s="1891"/>
      <c r="J38" s="1893" t="s">
        <v>461</v>
      </c>
      <c r="K38" s="1893" t="s">
        <v>464</v>
      </c>
      <c r="L38" s="1889">
        <v>0.4</v>
      </c>
      <c r="M38" s="1120">
        <v>1</v>
      </c>
      <c r="N38" s="1121" t="s">
        <v>467</v>
      </c>
      <c r="O38" s="1122">
        <v>1</v>
      </c>
      <c r="P38" s="1122">
        <v>1</v>
      </c>
      <c r="Q38" s="1122">
        <v>1</v>
      </c>
      <c r="R38" s="1122">
        <v>1</v>
      </c>
      <c r="S38" s="1122">
        <v>1</v>
      </c>
      <c r="T38" s="1881">
        <v>600000000</v>
      </c>
      <c r="U38" s="1881">
        <v>300000000</v>
      </c>
      <c r="V38" s="1881">
        <v>300000000</v>
      </c>
      <c r="W38" s="1881">
        <v>300000000</v>
      </c>
      <c r="X38" s="1881">
        <v>1500000000</v>
      </c>
      <c r="Y38" s="1897" t="s">
        <v>1295</v>
      </c>
    </row>
    <row r="39" spans="2:25" ht="101.25">
      <c r="B39" s="1948"/>
      <c r="C39" s="1950"/>
      <c r="D39" s="1886"/>
      <c r="E39" s="1889"/>
      <c r="F39" s="1891"/>
      <c r="G39" s="1892"/>
      <c r="H39" s="1891"/>
      <c r="I39" s="1891"/>
      <c r="J39" s="1893"/>
      <c r="K39" s="1893"/>
      <c r="L39" s="1893"/>
      <c r="M39" s="1123">
        <v>8</v>
      </c>
      <c r="N39" s="1124" t="s">
        <v>470</v>
      </c>
      <c r="O39" s="1125">
        <v>6</v>
      </c>
      <c r="P39" s="1126">
        <v>6</v>
      </c>
      <c r="Q39" s="1127">
        <v>9</v>
      </c>
      <c r="R39" s="1127">
        <v>12</v>
      </c>
      <c r="S39" s="1127">
        <v>14</v>
      </c>
      <c r="T39" s="1881"/>
      <c r="U39" s="1881"/>
      <c r="V39" s="1881"/>
      <c r="W39" s="1881"/>
      <c r="X39" s="1881"/>
      <c r="Y39" s="1897"/>
    </row>
    <row r="40" spans="2:25" ht="112.5">
      <c r="B40" s="1948"/>
      <c r="C40" s="1950"/>
      <c r="D40" s="1886"/>
      <c r="E40" s="1889"/>
      <c r="F40" s="1891"/>
      <c r="G40" s="1892"/>
      <c r="H40" s="1891"/>
      <c r="I40" s="1891"/>
      <c r="J40" s="1893"/>
      <c r="K40" s="1893"/>
      <c r="L40" s="1893"/>
      <c r="M40" s="1123">
        <v>2</v>
      </c>
      <c r="N40" s="1128" t="s">
        <v>471</v>
      </c>
      <c r="O40" s="1129">
        <v>0</v>
      </c>
      <c r="P40" s="1126">
        <v>0</v>
      </c>
      <c r="Q40" s="1127">
        <v>0</v>
      </c>
      <c r="R40" s="1127">
        <v>1</v>
      </c>
      <c r="S40" s="1127">
        <v>1</v>
      </c>
      <c r="T40" s="1881"/>
      <c r="U40" s="1881"/>
      <c r="V40" s="1881"/>
      <c r="W40" s="1881"/>
      <c r="X40" s="1881"/>
      <c r="Y40" s="1897"/>
    </row>
    <row r="41" spans="2:25" ht="101.25">
      <c r="B41" s="1948"/>
      <c r="C41" s="1950"/>
      <c r="D41" s="1886"/>
      <c r="E41" s="1889"/>
      <c r="F41" s="1891"/>
      <c r="G41" s="1892"/>
      <c r="H41" s="1891"/>
      <c r="I41" s="1891"/>
      <c r="J41" s="1893"/>
      <c r="K41" s="1893"/>
      <c r="L41" s="1893"/>
      <c r="M41" s="1123">
        <v>4</v>
      </c>
      <c r="N41" s="1128" t="s">
        <v>1296</v>
      </c>
      <c r="O41" s="1129">
        <v>1</v>
      </c>
      <c r="P41" s="1126">
        <v>1</v>
      </c>
      <c r="Q41" s="1127">
        <v>2</v>
      </c>
      <c r="R41" s="1127">
        <v>3</v>
      </c>
      <c r="S41" s="1127">
        <v>5</v>
      </c>
      <c r="T41" s="1881"/>
      <c r="U41" s="1881"/>
      <c r="V41" s="1881"/>
      <c r="W41" s="1881"/>
      <c r="X41" s="1881"/>
      <c r="Y41" s="1897"/>
    </row>
    <row r="42" spans="2:25" ht="135">
      <c r="B42" s="1948"/>
      <c r="C42" s="1950"/>
      <c r="D42" s="1886"/>
      <c r="E42" s="1889"/>
      <c r="F42" s="1891"/>
      <c r="G42" s="1892"/>
      <c r="H42" s="1891"/>
      <c r="I42" s="1891"/>
      <c r="J42" s="1893"/>
      <c r="K42" s="1893"/>
      <c r="L42" s="1893"/>
      <c r="M42" s="1123">
        <v>8</v>
      </c>
      <c r="N42" s="1128" t="s">
        <v>472</v>
      </c>
      <c r="O42" s="1129">
        <v>8</v>
      </c>
      <c r="P42" s="1126">
        <v>10</v>
      </c>
      <c r="Q42" s="1127">
        <v>12</v>
      </c>
      <c r="R42" s="1127">
        <v>14</v>
      </c>
      <c r="S42" s="1127">
        <v>16</v>
      </c>
      <c r="T42" s="1881"/>
      <c r="U42" s="1881"/>
      <c r="V42" s="1881"/>
      <c r="W42" s="1881"/>
      <c r="X42" s="1881"/>
      <c r="Y42" s="1897"/>
    </row>
    <row r="43" spans="2:25" ht="79.5">
      <c r="B43" s="1948"/>
      <c r="C43" s="1950"/>
      <c r="D43" s="1886"/>
      <c r="E43" s="1889"/>
      <c r="F43" s="1891"/>
      <c r="G43" s="1892"/>
      <c r="H43" s="1891"/>
      <c r="I43" s="1891"/>
      <c r="J43" s="1893"/>
      <c r="K43" s="1893"/>
      <c r="L43" s="1893"/>
      <c r="M43" s="1130">
        <v>11</v>
      </c>
      <c r="N43" s="1131" t="s">
        <v>1301</v>
      </c>
      <c r="O43" s="1132">
        <v>4</v>
      </c>
      <c r="P43" s="1132">
        <v>6</v>
      </c>
      <c r="Q43" s="1132">
        <v>10</v>
      </c>
      <c r="R43" s="1132">
        <v>12</v>
      </c>
      <c r="S43" s="1132">
        <v>15</v>
      </c>
      <c r="T43" s="1881"/>
      <c r="U43" s="1881"/>
      <c r="V43" s="1881"/>
      <c r="W43" s="1881"/>
      <c r="X43" s="1881"/>
      <c r="Y43" s="1897"/>
    </row>
    <row r="44" spans="2:25" ht="78.75">
      <c r="B44" s="1948"/>
      <c r="C44" s="1950"/>
      <c r="D44" s="1887"/>
      <c r="E44" s="1889"/>
      <c r="F44" s="1891"/>
      <c r="G44" s="1892"/>
      <c r="H44" s="1891"/>
      <c r="I44" s="1891"/>
      <c r="J44" s="1893"/>
      <c r="K44" s="1893"/>
      <c r="L44" s="1893"/>
      <c r="M44" s="1123">
        <v>30</v>
      </c>
      <c r="N44" s="1133" t="s">
        <v>468</v>
      </c>
      <c r="O44" s="1129">
        <v>0</v>
      </c>
      <c r="P44" s="1134">
        <v>5</v>
      </c>
      <c r="Q44" s="1135">
        <v>10</v>
      </c>
      <c r="R44" s="1135">
        <v>20</v>
      </c>
      <c r="S44" s="1135">
        <v>30</v>
      </c>
      <c r="T44" s="1882"/>
      <c r="U44" s="1882"/>
      <c r="V44" s="1882"/>
      <c r="W44" s="1882"/>
      <c r="X44" s="1882"/>
      <c r="Y44" s="1897"/>
    </row>
    <row r="45" spans="2:25" ht="67.5">
      <c r="B45" s="1948"/>
      <c r="C45" s="1950"/>
      <c r="D45" s="1887"/>
      <c r="E45" s="1889"/>
      <c r="F45" s="1891"/>
      <c r="G45" s="1892"/>
      <c r="H45" s="1891"/>
      <c r="I45" s="1891"/>
      <c r="J45" s="1893"/>
      <c r="K45" s="1893"/>
      <c r="L45" s="1893"/>
      <c r="M45" s="1123">
        <v>23</v>
      </c>
      <c r="N45" s="1133" t="s">
        <v>469</v>
      </c>
      <c r="O45" s="1129">
        <v>7</v>
      </c>
      <c r="P45" s="1134">
        <v>12</v>
      </c>
      <c r="Q45" s="1135">
        <v>17</v>
      </c>
      <c r="R45" s="1135">
        <v>23</v>
      </c>
      <c r="S45" s="1135">
        <v>30</v>
      </c>
      <c r="T45" s="1882"/>
      <c r="U45" s="1882"/>
      <c r="V45" s="1882"/>
      <c r="W45" s="1882"/>
      <c r="X45" s="1882"/>
      <c r="Y45" s="1897"/>
    </row>
    <row r="46" spans="2:25" ht="112.5">
      <c r="B46" s="1948"/>
      <c r="C46" s="1950"/>
      <c r="D46" s="1887"/>
      <c r="E46" s="1889"/>
      <c r="F46" s="1891"/>
      <c r="G46" s="1892"/>
      <c r="H46" s="1891"/>
      <c r="I46" s="1891"/>
      <c r="J46" s="1893"/>
      <c r="K46" s="1893"/>
      <c r="L46" s="1893"/>
      <c r="M46" s="1123">
        <v>3</v>
      </c>
      <c r="N46" s="1128" t="s">
        <v>1297</v>
      </c>
      <c r="O46" s="1129">
        <v>1</v>
      </c>
      <c r="P46" s="1126">
        <v>1</v>
      </c>
      <c r="Q46" s="1127">
        <v>2</v>
      </c>
      <c r="R46" s="1127">
        <v>3</v>
      </c>
      <c r="S46" s="1127">
        <v>4</v>
      </c>
      <c r="T46" s="1882"/>
      <c r="U46" s="1882"/>
      <c r="V46" s="1882"/>
      <c r="W46" s="1882"/>
      <c r="X46" s="1882"/>
      <c r="Y46" s="1897"/>
    </row>
    <row r="47" spans="2:25" ht="168.75">
      <c r="B47" s="1948"/>
      <c r="C47" s="1950"/>
      <c r="D47" s="1887"/>
      <c r="E47" s="1889"/>
      <c r="F47" s="1891"/>
      <c r="G47" s="1892"/>
      <c r="H47" s="1891"/>
      <c r="I47" s="1891"/>
      <c r="J47" s="1893"/>
      <c r="K47" s="1893"/>
      <c r="L47" s="1893"/>
      <c r="M47" s="1123">
        <v>7</v>
      </c>
      <c r="N47" s="1136" t="s">
        <v>1298</v>
      </c>
      <c r="O47" s="1129">
        <v>0</v>
      </c>
      <c r="P47" s="1126">
        <v>2</v>
      </c>
      <c r="Q47" s="1127">
        <v>4</v>
      </c>
      <c r="R47" s="1127">
        <v>5</v>
      </c>
      <c r="S47" s="1127">
        <v>7</v>
      </c>
      <c r="T47" s="1882"/>
      <c r="U47" s="1882"/>
      <c r="V47" s="1882"/>
      <c r="W47" s="1882"/>
      <c r="X47" s="1882"/>
      <c r="Y47" s="1897"/>
    </row>
    <row r="48" spans="2:25" ht="112.5">
      <c r="B48" s="1948"/>
      <c r="C48" s="1950"/>
      <c r="D48" s="1887"/>
      <c r="E48" s="1889"/>
      <c r="F48" s="1891"/>
      <c r="G48" s="1892"/>
      <c r="H48" s="1891"/>
      <c r="I48" s="1891"/>
      <c r="J48" s="1893"/>
      <c r="K48" s="1893"/>
      <c r="L48" s="1893"/>
      <c r="M48" s="1123">
        <v>4</v>
      </c>
      <c r="N48" s="1136" t="s">
        <v>1340</v>
      </c>
      <c r="O48" s="1129">
        <v>4</v>
      </c>
      <c r="P48" s="1126">
        <v>5</v>
      </c>
      <c r="Q48" s="1127">
        <v>6</v>
      </c>
      <c r="R48" s="1127">
        <v>7</v>
      </c>
      <c r="S48" s="1127">
        <v>8</v>
      </c>
      <c r="T48" s="1882"/>
      <c r="U48" s="1882"/>
      <c r="V48" s="1882"/>
      <c r="W48" s="1882"/>
      <c r="X48" s="1882"/>
      <c r="Y48" s="1897"/>
    </row>
    <row r="49" spans="2:25" ht="90">
      <c r="B49" s="1948"/>
      <c r="C49" s="1950"/>
      <c r="D49" s="1887"/>
      <c r="E49" s="1889"/>
      <c r="F49" s="1891"/>
      <c r="G49" s="1892"/>
      <c r="H49" s="1891"/>
      <c r="I49" s="1891"/>
      <c r="J49" s="1893"/>
      <c r="K49" s="1893"/>
      <c r="L49" s="1893"/>
      <c r="M49" s="1123">
        <v>8</v>
      </c>
      <c r="N49" s="1128" t="s">
        <v>1299</v>
      </c>
      <c r="O49" s="1129">
        <v>0</v>
      </c>
      <c r="P49" s="1126">
        <v>2</v>
      </c>
      <c r="Q49" s="1127">
        <v>4</v>
      </c>
      <c r="R49" s="1127">
        <v>6</v>
      </c>
      <c r="S49" s="1127">
        <v>8</v>
      </c>
      <c r="T49" s="1882"/>
      <c r="U49" s="1882"/>
      <c r="V49" s="1882"/>
      <c r="W49" s="1882"/>
      <c r="X49" s="1882"/>
      <c r="Y49" s="1897"/>
    </row>
    <row r="50" spans="2:25" ht="90">
      <c r="B50" s="1948"/>
      <c r="C50" s="1950"/>
      <c r="D50" s="1887"/>
      <c r="E50" s="1889"/>
      <c r="F50" s="1891"/>
      <c r="G50" s="1892"/>
      <c r="H50" s="1891"/>
      <c r="I50" s="1891"/>
      <c r="J50" s="1893"/>
      <c r="K50" s="1893"/>
      <c r="L50" s="1886"/>
      <c r="M50" s="1123">
        <v>10</v>
      </c>
      <c r="N50" s="1128" t="s">
        <v>1300</v>
      </c>
      <c r="O50" s="1129">
        <v>3</v>
      </c>
      <c r="P50" s="1126">
        <v>7</v>
      </c>
      <c r="Q50" s="1127">
        <v>9</v>
      </c>
      <c r="R50" s="1127">
        <v>11</v>
      </c>
      <c r="S50" s="1127">
        <v>13</v>
      </c>
      <c r="T50" s="1882"/>
      <c r="U50" s="1882"/>
      <c r="V50" s="1882"/>
      <c r="W50" s="1882"/>
      <c r="X50" s="1882"/>
      <c r="Y50" s="1897"/>
    </row>
    <row r="51" spans="2:25" ht="135">
      <c r="B51" s="1948"/>
      <c r="C51" s="1950"/>
      <c r="D51" s="1887"/>
      <c r="E51" s="1889"/>
      <c r="F51" s="1904"/>
      <c r="G51" s="1904"/>
      <c r="H51" s="1904"/>
      <c r="I51" s="1904"/>
      <c r="J51" s="1899" t="s">
        <v>462</v>
      </c>
      <c r="K51" s="1899" t="s">
        <v>465</v>
      </c>
      <c r="L51" s="1903">
        <v>0.3</v>
      </c>
      <c r="M51" s="1123">
        <v>6</v>
      </c>
      <c r="N51" s="1137" t="s">
        <v>473</v>
      </c>
      <c r="O51" s="1129">
        <v>4</v>
      </c>
      <c r="P51" s="1126">
        <v>4</v>
      </c>
      <c r="Q51" s="1127">
        <v>6</v>
      </c>
      <c r="R51" s="1127">
        <v>8</v>
      </c>
      <c r="S51" s="1127">
        <v>10</v>
      </c>
      <c r="T51" s="1894">
        <v>150000000</v>
      </c>
      <c r="U51" s="1894">
        <v>150000000</v>
      </c>
      <c r="V51" s="1894">
        <v>150000000</v>
      </c>
      <c r="W51" s="1894">
        <v>150000000</v>
      </c>
      <c r="X51" s="1894">
        <v>600000000</v>
      </c>
      <c r="Y51" s="1896" t="s">
        <v>1295</v>
      </c>
    </row>
    <row r="52" spans="2:25" ht="79.5">
      <c r="B52" s="1948"/>
      <c r="C52" s="1950"/>
      <c r="D52" s="1887"/>
      <c r="E52" s="1889"/>
      <c r="F52" s="1891"/>
      <c r="G52" s="1891"/>
      <c r="H52" s="1891"/>
      <c r="I52" s="1891"/>
      <c r="J52" s="1893"/>
      <c r="K52" s="1893"/>
      <c r="L52" s="1893"/>
      <c r="M52" s="1138">
        <v>1</v>
      </c>
      <c r="N52" s="1139" t="s">
        <v>474</v>
      </c>
      <c r="O52" s="1140">
        <v>0</v>
      </c>
      <c r="P52" s="1141">
        <v>0</v>
      </c>
      <c r="Q52" s="1142">
        <v>1</v>
      </c>
      <c r="R52" s="1142">
        <v>1</v>
      </c>
      <c r="S52" s="1142">
        <v>1</v>
      </c>
      <c r="T52" s="1882"/>
      <c r="U52" s="1882"/>
      <c r="V52" s="1882"/>
      <c r="W52" s="1882"/>
      <c r="X52" s="1882"/>
      <c r="Y52" s="1897"/>
    </row>
    <row r="53" spans="2:25" ht="67.5">
      <c r="B53" s="1948"/>
      <c r="C53" s="1950"/>
      <c r="D53" s="1887"/>
      <c r="E53" s="1889"/>
      <c r="F53" s="1891"/>
      <c r="G53" s="1891"/>
      <c r="H53" s="1891"/>
      <c r="I53" s="1891"/>
      <c r="J53" s="1893"/>
      <c r="K53" s="1893"/>
      <c r="L53" s="1893"/>
      <c r="M53" s="1138">
        <v>1</v>
      </c>
      <c r="N53" s="1137" t="s">
        <v>1302</v>
      </c>
      <c r="O53" s="1140">
        <v>0</v>
      </c>
      <c r="P53" s="1143">
        <v>0</v>
      </c>
      <c r="Q53" s="1142">
        <v>1</v>
      </c>
      <c r="R53" s="1142">
        <v>1</v>
      </c>
      <c r="S53" s="1142">
        <v>1</v>
      </c>
      <c r="T53" s="1882"/>
      <c r="U53" s="1882"/>
      <c r="V53" s="1882"/>
      <c r="W53" s="1882"/>
      <c r="X53" s="1882"/>
      <c r="Y53" s="1897"/>
    </row>
    <row r="54" spans="2:25" ht="191.25">
      <c r="B54" s="1948"/>
      <c r="C54" s="1950"/>
      <c r="D54" s="1887"/>
      <c r="E54" s="1889"/>
      <c r="F54" s="1891"/>
      <c r="G54" s="1891"/>
      <c r="H54" s="1891"/>
      <c r="I54" s="1891"/>
      <c r="J54" s="1893"/>
      <c r="K54" s="1893"/>
      <c r="L54" s="1893"/>
      <c r="M54" s="1138">
        <v>4</v>
      </c>
      <c r="N54" s="1137" t="s">
        <v>475</v>
      </c>
      <c r="O54" s="1144">
        <v>0</v>
      </c>
      <c r="P54" s="1143">
        <v>0</v>
      </c>
      <c r="Q54" s="1142">
        <v>2</v>
      </c>
      <c r="R54" s="1142">
        <v>3</v>
      </c>
      <c r="S54" s="1142">
        <v>4</v>
      </c>
      <c r="T54" s="1882"/>
      <c r="U54" s="1882"/>
      <c r="V54" s="1882"/>
      <c r="W54" s="1882"/>
      <c r="X54" s="1882"/>
      <c r="Y54" s="1897"/>
    </row>
    <row r="55" spans="2:25" ht="281.25">
      <c r="B55" s="1948"/>
      <c r="C55" s="1950"/>
      <c r="D55" s="1887"/>
      <c r="E55" s="1889"/>
      <c r="F55" s="1891"/>
      <c r="G55" s="1891"/>
      <c r="H55" s="1891"/>
      <c r="I55" s="1891"/>
      <c r="J55" s="1893"/>
      <c r="K55" s="1893"/>
      <c r="L55" s="1893"/>
      <c r="M55" s="1138">
        <v>8</v>
      </c>
      <c r="N55" s="1128" t="s">
        <v>476</v>
      </c>
      <c r="O55" s="1140">
        <v>1</v>
      </c>
      <c r="P55" s="1143">
        <v>0</v>
      </c>
      <c r="Q55" s="1142">
        <v>3</v>
      </c>
      <c r="R55" s="1142">
        <v>5</v>
      </c>
      <c r="S55" s="1142">
        <v>9</v>
      </c>
      <c r="T55" s="1882"/>
      <c r="U55" s="1882"/>
      <c r="V55" s="1882"/>
      <c r="W55" s="1882"/>
      <c r="X55" s="1882"/>
      <c r="Y55" s="1897"/>
    </row>
    <row r="56" spans="2:25" ht="78.75">
      <c r="B56" s="1948"/>
      <c r="C56" s="1950"/>
      <c r="D56" s="1887"/>
      <c r="E56" s="1889"/>
      <c r="F56" s="1891"/>
      <c r="G56" s="1891"/>
      <c r="H56" s="1891"/>
      <c r="I56" s="1891"/>
      <c r="J56" s="1893"/>
      <c r="K56" s="1893"/>
      <c r="L56" s="1893"/>
      <c r="M56" s="1138">
        <v>4</v>
      </c>
      <c r="N56" s="1137" t="s">
        <v>477</v>
      </c>
      <c r="O56" s="1140">
        <v>0</v>
      </c>
      <c r="P56" s="1143">
        <v>1</v>
      </c>
      <c r="Q56" s="1142">
        <v>2</v>
      </c>
      <c r="R56" s="1142">
        <v>3</v>
      </c>
      <c r="S56" s="1142">
        <v>4</v>
      </c>
      <c r="T56" s="1882"/>
      <c r="U56" s="1882"/>
      <c r="V56" s="1882"/>
      <c r="W56" s="1882"/>
      <c r="X56" s="1882"/>
      <c r="Y56" s="1897"/>
    </row>
    <row r="57" spans="2:25" ht="180">
      <c r="B57" s="1948"/>
      <c r="C57" s="1950"/>
      <c r="D57" s="1887"/>
      <c r="E57" s="1889"/>
      <c r="F57" s="1891"/>
      <c r="G57" s="1891"/>
      <c r="H57" s="1891"/>
      <c r="I57" s="1891"/>
      <c r="J57" s="1886"/>
      <c r="K57" s="1886"/>
      <c r="L57" s="1886"/>
      <c r="M57" s="1123">
        <v>4</v>
      </c>
      <c r="N57" s="1137" t="s">
        <v>478</v>
      </c>
      <c r="O57" s="1129">
        <v>0</v>
      </c>
      <c r="P57" s="1145">
        <v>1</v>
      </c>
      <c r="Q57" s="1127">
        <v>2</v>
      </c>
      <c r="R57" s="1127">
        <v>3</v>
      </c>
      <c r="S57" s="1127">
        <v>4</v>
      </c>
      <c r="T57" s="1895"/>
      <c r="U57" s="1895"/>
      <c r="V57" s="1895"/>
      <c r="W57" s="1895"/>
      <c r="X57" s="1895"/>
      <c r="Y57" s="1898"/>
    </row>
    <row r="58" spans="2:25" ht="78.75">
      <c r="B58" s="1948"/>
      <c r="C58" s="1950"/>
      <c r="D58" s="1887"/>
      <c r="E58" s="1889"/>
      <c r="F58" s="1891"/>
      <c r="G58" s="1891"/>
      <c r="H58" s="1891"/>
      <c r="I58" s="1891"/>
      <c r="J58" s="1899" t="s">
        <v>463</v>
      </c>
      <c r="K58" s="1915" t="s">
        <v>466</v>
      </c>
      <c r="L58" s="1903">
        <v>0.3</v>
      </c>
      <c r="M58" s="1146">
        <v>1000000</v>
      </c>
      <c r="N58" s="1137" t="s">
        <v>479</v>
      </c>
      <c r="O58" s="1147">
        <v>200000</v>
      </c>
      <c r="P58" s="1148">
        <v>400000</v>
      </c>
      <c r="Q58" s="1149">
        <v>600000</v>
      </c>
      <c r="R58" s="1149">
        <v>900000</v>
      </c>
      <c r="S58" s="1149">
        <v>1200000</v>
      </c>
      <c r="T58" s="1894">
        <v>150000000</v>
      </c>
      <c r="U58" s="1894">
        <v>100000000</v>
      </c>
      <c r="V58" s="1894">
        <v>100000000</v>
      </c>
      <c r="W58" s="1894">
        <v>100000000</v>
      </c>
      <c r="X58" s="1894">
        <v>450000000</v>
      </c>
      <c r="Y58" s="1896" t="s">
        <v>1303</v>
      </c>
    </row>
    <row r="59" spans="2:25" ht="67.5">
      <c r="B59" s="1948"/>
      <c r="C59" s="1950"/>
      <c r="D59" s="1887"/>
      <c r="E59" s="1889"/>
      <c r="F59" s="1891"/>
      <c r="G59" s="1891"/>
      <c r="H59" s="1891"/>
      <c r="I59" s="1891"/>
      <c r="J59" s="1893"/>
      <c r="K59" s="1916"/>
      <c r="L59" s="1893"/>
      <c r="M59" s="1123">
        <v>1</v>
      </c>
      <c r="N59" s="1137" t="s">
        <v>480</v>
      </c>
      <c r="O59" s="1129">
        <v>0</v>
      </c>
      <c r="P59" s="1145">
        <v>0</v>
      </c>
      <c r="Q59" s="1127">
        <v>1</v>
      </c>
      <c r="R59" s="1127">
        <v>1</v>
      </c>
      <c r="S59" s="1127">
        <v>1</v>
      </c>
      <c r="T59" s="1882"/>
      <c r="U59" s="1882"/>
      <c r="V59" s="1882"/>
      <c r="W59" s="1882"/>
      <c r="X59" s="1882"/>
      <c r="Y59" s="1897"/>
    </row>
    <row r="60" spans="2:25" ht="180">
      <c r="B60" s="1948"/>
      <c r="C60" s="1950"/>
      <c r="D60" s="1887"/>
      <c r="E60" s="1889"/>
      <c r="F60" s="1891"/>
      <c r="G60" s="1891"/>
      <c r="H60" s="1891"/>
      <c r="I60" s="1891"/>
      <c r="J60" s="1893"/>
      <c r="K60" s="1916"/>
      <c r="L60" s="1893"/>
      <c r="M60" s="1146">
        <v>400000</v>
      </c>
      <c r="N60" s="1137" t="s">
        <v>481</v>
      </c>
      <c r="O60" s="1147">
        <v>250000</v>
      </c>
      <c r="P60" s="1148">
        <v>300000</v>
      </c>
      <c r="Q60" s="1149">
        <v>400000</v>
      </c>
      <c r="R60" s="1149">
        <v>500000</v>
      </c>
      <c r="S60" s="1149">
        <v>650000</v>
      </c>
      <c r="T60" s="1882"/>
      <c r="U60" s="1882"/>
      <c r="V60" s="1882"/>
      <c r="W60" s="1882"/>
      <c r="X60" s="1882"/>
      <c r="Y60" s="1897"/>
    </row>
    <row r="61" spans="2:25" ht="337.5">
      <c r="B61" s="1948"/>
      <c r="C61" s="1950"/>
      <c r="D61" s="1887"/>
      <c r="E61" s="1889"/>
      <c r="F61" s="1891"/>
      <c r="G61" s="1891"/>
      <c r="H61" s="1891"/>
      <c r="I61" s="1891"/>
      <c r="J61" s="1893"/>
      <c r="K61" s="1916"/>
      <c r="L61" s="1893"/>
      <c r="M61" s="1138">
        <v>8</v>
      </c>
      <c r="N61" s="1124" t="s">
        <v>482</v>
      </c>
      <c r="O61" s="1140">
        <v>4</v>
      </c>
      <c r="P61" s="1143">
        <v>5</v>
      </c>
      <c r="Q61" s="1142">
        <v>7</v>
      </c>
      <c r="R61" s="1142">
        <v>10</v>
      </c>
      <c r="S61" s="1142">
        <v>12</v>
      </c>
      <c r="T61" s="1882"/>
      <c r="U61" s="1882"/>
      <c r="V61" s="1882"/>
      <c r="W61" s="1882"/>
      <c r="X61" s="1882"/>
      <c r="Y61" s="1897"/>
    </row>
    <row r="62" spans="2:25" ht="79.5">
      <c r="B62" s="1948"/>
      <c r="C62" s="1950"/>
      <c r="D62" s="1887"/>
      <c r="E62" s="1889"/>
      <c r="F62" s="1891"/>
      <c r="G62" s="1891"/>
      <c r="H62" s="1891"/>
      <c r="I62" s="1891"/>
      <c r="J62" s="1893"/>
      <c r="K62" s="1916"/>
      <c r="L62" s="1893"/>
      <c r="M62" s="1138">
        <v>1</v>
      </c>
      <c r="N62" s="1139" t="s">
        <v>483</v>
      </c>
      <c r="O62" s="1140">
        <v>0</v>
      </c>
      <c r="P62" s="1143">
        <v>0</v>
      </c>
      <c r="Q62" s="1142">
        <v>1</v>
      </c>
      <c r="R62" s="1142">
        <v>1</v>
      </c>
      <c r="S62" s="1142">
        <v>1</v>
      </c>
      <c r="T62" s="1882"/>
      <c r="U62" s="1882"/>
      <c r="V62" s="1882"/>
      <c r="W62" s="1882"/>
      <c r="X62" s="1882"/>
      <c r="Y62" s="1897"/>
    </row>
    <row r="63" spans="2:25" ht="57">
      <c r="B63" s="1948"/>
      <c r="C63" s="1950"/>
      <c r="D63" s="1887"/>
      <c r="E63" s="1889"/>
      <c r="F63" s="1891"/>
      <c r="G63" s="1891"/>
      <c r="H63" s="1891"/>
      <c r="I63" s="1891"/>
      <c r="J63" s="1893"/>
      <c r="K63" s="1916"/>
      <c r="L63" s="1893"/>
      <c r="M63" s="1138">
        <v>14</v>
      </c>
      <c r="N63" s="1139" t="s">
        <v>484</v>
      </c>
      <c r="O63" s="1138">
        <v>16</v>
      </c>
      <c r="P63" s="1143">
        <v>20</v>
      </c>
      <c r="Q63" s="1142">
        <v>24</v>
      </c>
      <c r="R63" s="1142">
        <v>24</v>
      </c>
      <c r="S63" s="1142">
        <v>30</v>
      </c>
      <c r="T63" s="1882"/>
      <c r="U63" s="1882"/>
      <c r="V63" s="1882"/>
      <c r="W63" s="1882"/>
      <c r="X63" s="1882"/>
      <c r="Y63" s="1897"/>
    </row>
    <row r="64" spans="2:25" ht="79.5">
      <c r="B64" s="1948"/>
      <c r="C64" s="1950"/>
      <c r="D64" s="1887"/>
      <c r="E64" s="1889"/>
      <c r="F64" s="1891"/>
      <c r="G64" s="1891"/>
      <c r="H64" s="1891"/>
      <c r="I64" s="1891"/>
      <c r="J64" s="1893"/>
      <c r="K64" s="1916"/>
      <c r="L64" s="1893"/>
      <c r="M64" s="1138">
        <v>22</v>
      </c>
      <c r="N64" s="1139" t="s">
        <v>485</v>
      </c>
      <c r="O64" s="1138">
        <v>8</v>
      </c>
      <c r="P64" s="1143">
        <v>12</v>
      </c>
      <c r="Q64" s="1142">
        <v>18</v>
      </c>
      <c r="R64" s="1142">
        <v>24</v>
      </c>
      <c r="S64" s="1142">
        <v>30</v>
      </c>
      <c r="T64" s="1882"/>
      <c r="U64" s="1882"/>
      <c r="V64" s="1882"/>
      <c r="W64" s="1882"/>
      <c r="X64" s="1882"/>
      <c r="Y64" s="1897"/>
    </row>
    <row r="65" spans="2:25" ht="57">
      <c r="B65" s="1948"/>
      <c r="C65" s="1950"/>
      <c r="D65" s="1887"/>
      <c r="E65" s="1889"/>
      <c r="F65" s="1891"/>
      <c r="G65" s="1891"/>
      <c r="H65" s="1891"/>
      <c r="I65" s="1891"/>
      <c r="J65" s="1893"/>
      <c r="K65" s="1916"/>
      <c r="L65" s="1893"/>
      <c r="M65" s="1138">
        <v>16</v>
      </c>
      <c r="N65" s="1139" t="s">
        <v>486</v>
      </c>
      <c r="O65" s="1138">
        <v>14</v>
      </c>
      <c r="P65" s="1143">
        <v>18</v>
      </c>
      <c r="Q65" s="1142">
        <v>22</v>
      </c>
      <c r="R65" s="1142">
        <v>25</v>
      </c>
      <c r="S65" s="1142">
        <v>30</v>
      </c>
      <c r="T65" s="1882"/>
      <c r="U65" s="1882"/>
      <c r="V65" s="1882"/>
      <c r="W65" s="1882"/>
      <c r="X65" s="1882"/>
      <c r="Y65" s="1897"/>
    </row>
    <row r="66" spans="2:25" ht="46.5" thickBot="1">
      <c r="B66" s="1948"/>
      <c r="C66" s="1950"/>
      <c r="D66" s="1888"/>
      <c r="E66" s="1890"/>
      <c r="F66" s="1905"/>
      <c r="G66" s="1905"/>
      <c r="H66" s="1905"/>
      <c r="I66" s="1905"/>
      <c r="J66" s="1900"/>
      <c r="K66" s="1917"/>
      <c r="L66" s="1900"/>
      <c r="M66" s="1150">
        <v>2</v>
      </c>
      <c r="N66" s="1151" t="s">
        <v>487</v>
      </c>
      <c r="O66" s="1150">
        <v>0</v>
      </c>
      <c r="P66" s="1152">
        <v>1</v>
      </c>
      <c r="Q66" s="1153">
        <v>2</v>
      </c>
      <c r="R66" s="1153">
        <v>2</v>
      </c>
      <c r="S66" s="1153">
        <v>2</v>
      </c>
      <c r="T66" s="1901"/>
      <c r="U66" s="1901"/>
      <c r="V66" s="1901"/>
      <c r="W66" s="1901"/>
      <c r="X66" s="1901"/>
      <c r="Y66" s="1902"/>
    </row>
    <row r="67" spans="2:25" ht="15.75" thickBot="1">
      <c r="B67" s="1948"/>
      <c r="C67" s="1950"/>
      <c r="D67" s="1338"/>
      <c r="E67" s="1339"/>
      <c r="F67" s="1340"/>
      <c r="G67" s="1340"/>
      <c r="H67" s="1340"/>
      <c r="I67" s="1340"/>
      <c r="J67" s="1338"/>
      <c r="K67" s="1341" t="s">
        <v>1337</v>
      </c>
      <c r="L67" s="1342">
        <f>SUM(L38:L66)</f>
        <v>1</v>
      </c>
      <c r="M67" s="1343"/>
      <c r="N67" s="1344"/>
      <c r="O67" s="1343"/>
      <c r="P67" s="1345"/>
      <c r="Q67" s="1346"/>
      <c r="R67" s="1346"/>
      <c r="S67" s="1346"/>
      <c r="T67" s="1347"/>
      <c r="U67" s="1347"/>
      <c r="V67" s="1347"/>
      <c r="W67" s="1347"/>
      <c r="X67" s="1347"/>
      <c r="Y67" s="1348"/>
    </row>
    <row r="68" spans="2:25" ht="293.25">
      <c r="B68" s="1948"/>
      <c r="C68" s="1950"/>
      <c r="D68" s="1874" t="s">
        <v>488</v>
      </c>
      <c r="E68" s="1953">
        <v>0.15</v>
      </c>
      <c r="F68" s="1848"/>
      <c r="G68" s="1848"/>
      <c r="H68" s="1848"/>
      <c r="I68" s="1848"/>
      <c r="J68" s="1154" t="s">
        <v>489</v>
      </c>
      <c r="K68" s="1155" t="s">
        <v>490</v>
      </c>
      <c r="L68" s="1156">
        <v>0.25</v>
      </c>
      <c r="M68" s="1157">
        <v>4</v>
      </c>
      <c r="N68" s="1158" t="s">
        <v>493</v>
      </c>
      <c r="O68" s="1157">
        <v>13</v>
      </c>
      <c r="P68" s="1159">
        <v>13</v>
      </c>
      <c r="Q68" s="1160">
        <v>15</v>
      </c>
      <c r="R68" s="1160">
        <v>16</v>
      </c>
      <c r="S68" s="1161">
        <v>17</v>
      </c>
      <c r="T68" s="1162">
        <v>150000000</v>
      </c>
      <c r="U68" s="1162">
        <v>100000000</v>
      </c>
      <c r="V68" s="1160">
        <v>0</v>
      </c>
      <c r="W68" s="1160">
        <v>0</v>
      </c>
      <c r="X68" s="1162">
        <v>250000000</v>
      </c>
      <c r="Y68" s="1872" t="s">
        <v>1304</v>
      </c>
    </row>
    <row r="69" spans="2:25" ht="67.5">
      <c r="B69" s="1948"/>
      <c r="C69" s="1950"/>
      <c r="D69" s="1957"/>
      <c r="E69" s="1953"/>
      <c r="F69" s="1848"/>
      <c r="G69" s="1848"/>
      <c r="H69" s="1848"/>
      <c r="I69" s="1848"/>
      <c r="J69" s="1867" t="s">
        <v>1305</v>
      </c>
      <c r="K69" s="1867" t="s">
        <v>492</v>
      </c>
      <c r="L69" s="1875">
        <v>0.25</v>
      </c>
      <c r="M69" s="1163">
        <v>1</v>
      </c>
      <c r="N69" s="1164" t="s">
        <v>494</v>
      </c>
      <c r="O69" s="1163">
        <v>0</v>
      </c>
      <c r="P69" s="1165">
        <v>0</v>
      </c>
      <c r="Q69" s="1166">
        <v>1</v>
      </c>
      <c r="R69" s="1166">
        <v>1</v>
      </c>
      <c r="S69" s="1166">
        <v>1</v>
      </c>
      <c r="T69" s="1871"/>
      <c r="U69" s="1877">
        <v>1000000000</v>
      </c>
      <c r="V69" s="1870">
        <v>0</v>
      </c>
      <c r="W69" s="1871">
        <v>0</v>
      </c>
      <c r="X69" s="1877">
        <v>1000000000</v>
      </c>
      <c r="Y69" s="1872"/>
    </row>
    <row r="70" spans="2:25" ht="192">
      <c r="B70" s="1948"/>
      <c r="C70" s="1950"/>
      <c r="D70" s="1957"/>
      <c r="E70" s="1953"/>
      <c r="F70" s="1848"/>
      <c r="G70" s="1848"/>
      <c r="H70" s="1848"/>
      <c r="I70" s="1848"/>
      <c r="J70" s="1874"/>
      <c r="K70" s="1874"/>
      <c r="L70" s="1876"/>
      <c r="M70" s="1163">
        <v>1</v>
      </c>
      <c r="N70" s="1167" t="s">
        <v>495</v>
      </c>
      <c r="O70" s="1163">
        <v>0</v>
      </c>
      <c r="P70" s="1165">
        <v>0</v>
      </c>
      <c r="Q70" s="1166">
        <v>1</v>
      </c>
      <c r="R70" s="1166">
        <v>1</v>
      </c>
      <c r="S70" s="1166">
        <v>1</v>
      </c>
      <c r="T70" s="1871"/>
      <c r="U70" s="1878"/>
      <c r="V70" s="1871"/>
      <c r="W70" s="1871"/>
      <c r="X70" s="1878"/>
      <c r="Y70" s="1872"/>
    </row>
    <row r="71" spans="2:25" ht="57">
      <c r="B71" s="1948"/>
      <c r="C71" s="1950"/>
      <c r="D71" s="1957"/>
      <c r="E71" s="1953"/>
      <c r="F71" s="1848"/>
      <c r="G71" s="1848"/>
      <c r="H71" s="1848"/>
      <c r="I71" s="1848"/>
      <c r="J71" s="1867" t="s">
        <v>491</v>
      </c>
      <c r="K71" s="1867" t="s">
        <v>1306</v>
      </c>
      <c r="L71" s="1853">
        <v>0.25</v>
      </c>
      <c r="M71" s="1168">
        <v>4</v>
      </c>
      <c r="N71" s="1167" t="s">
        <v>496</v>
      </c>
      <c r="O71" s="1168">
        <v>1</v>
      </c>
      <c r="P71" s="1165">
        <v>2</v>
      </c>
      <c r="Q71" s="1166">
        <v>3</v>
      </c>
      <c r="R71" s="1166">
        <v>4</v>
      </c>
      <c r="S71" s="1166">
        <v>5</v>
      </c>
      <c r="T71" s="1870">
        <v>150000000</v>
      </c>
      <c r="U71" s="1859">
        <v>250000000</v>
      </c>
      <c r="V71" s="1859">
        <v>250000000</v>
      </c>
      <c r="W71" s="1859">
        <v>250000000</v>
      </c>
      <c r="X71" s="1859">
        <v>900000000</v>
      </c>
      <c r="Y71" s="1872"/>
    </row>
    <row r="72" spans="2:25" ht="147">
      <c r="B72" s="1948"/>
      <c r="C72" s="1950"/>
      <c r="D72" s="1957"/>
      <c r="E72" s="1953"/>
      <c r="F72" s="1848"/>
      <c r="G72" s="1848"/>
      <c r="H72" s="1848"/>
      <c r="I72" s="1848"/>
      <c r="J72" s="1868"/>
      <c r="K72" s="1868"/>
      <c r="L72" s="1854"/>
      <c r="M72" s="1168">
        <v>120</v>
      </c>
      <c r="N72" s="1169" t="s">
        <v>497</v>
      </c>
      <c r="O72" s="1168">
        <v>1</v>
      </c>
      <c r="P72" s="1165">
        <v>31</v>
      </c>
      <c r="Q72" s="1166">
        <v>61</v>
      </c>
      <c r="R72" s="1166">
        <v>91</v>
      </c>
      <c r="S72" s="1166">
        <v>121</v>
      </c>
      <c r="T72" s="1871"/>
      <c r="U72" s="1860"/>
      <c r="V72" s="1860"/>
      <c r="W72" s="1860"/>
      <c r="X72" s="1860"/>
      <c r="Y72" s="1872"/>
    </row>
    <row r="73" spans="2:25" ht="101.25">
      <c r="B73" s="1948"/>
      <c r="C73" s="1950"/>
      <c r="D73" s="1957"/>
      <c r="E73" s="1953"/>
      <c r="F73" s="1848"/>
      <c r="G73" s="1848"/>
      <c r="H73" s="1848"/>
      <c r="I73" s="1848"/>
      <c r="J73" s="1868"/>
      <c r="K73" s="1868"/>
      <c r="L73" s="1854"/>
      <c r="M73" s="1168">
        <v>1</v>
      </c>
      <c r="N73" s="1170" t="s">
        <v>498</v>
      </c>
      <c r="O73" s="1168">
        <v>0</v>
      </c>
      <c r="P73" s="1165">
        <v>1</v>
      </c>
      <c r="Q73" s="1166">
        <v>1</v>
      </c>
      <c r="R73" s="1166">
        <v>1</v>
      </c>
      <c r="S73" s="1166">
        <v>1</v>
      </c>
      <c r="T73" s="1871"/>
      <c r="U73" s="1860"/>
      <c r="V73" s="1860"/>
      <c r="W73" s="1860"/>
      <c r="X73" s="1860"/>
      <c r="Y73" s="1872"/>
    </row>
    <row r="74" spans="2:25" ht="158.25">
      <c r="B74" s="1948"/>
      <c r="C74" s="1950"/>
      <c r="D74" s="1957"/>
      <c r="E74" s="1953"/>
      <c r="F74" s="1848"/>
      <c r="G74" s="1848"/>
      <c r="H74" s="1848"/>
      <c r="I74" s="1848"/>
      <c r="J74" s="1868"/>
      <c r="K74" s="1868"/>
      <c r="L74" s="1854"/>
      <c r="M74" s="1168">
        <v>4</v>
      </c>
      <c r="N74" s="1167" t="s">
        <v>499</v>
      </c>
      <c r="O74" s="1168">
        <v>2</v>
      </c>
      <c r="P74" s="1165">
        <v>4</v>
      </c>
      <c r="Q74" s="1166">
        <v>4</v>
      </c>
      <c r="R74" s="1166">
        <v>5</v>
      </c>
      <c r="S74" s="1166">
        <v>6</v>
      </c>
      <c r="T74" s="1871"/>
      <c r="U74" s="1860"/>
      <c r="V74" s="1860"/>
      <c r="W74" s="1860"/>
      <c r="X74" s="1860"/>
      <c r="Y74" s="1872"/>
    </row>
    <row r="75" spans="2:25" ht="90.75">
      <c r="B75" s="1948"/>
      <c r="C75" s="1950"/>
      <c r="D75" s="1957"/>
      <c r="E75" s="1953"/>
      <c r="F75" s="1848"/>
      <c r="G75" s="1848"/>
      <c r="H75" s="1848"/>
      <c r="I75" s="1848"/>
      <c r="J75" s="1868"/>
      <c r="K75" s="1868"/>
      <c r="L75" s="1854"/>
      <c r="M75" s="1168">
        <v>1</v>
      </c>
      <c r="N75" s="1167" t="s">
        <v>500</v>
      </c>
      <c r="O75" s="1168">
        <v>1</v>
      </c>
      <c r="P75" s="1165">
        <v>1</v>
      </c>
      <c r="Q75" s="1166">
        <v>2</v>
      </c>
      <c r="R75" s="1166">
        <v>2</v>
      </c>
      <c r="S75" s="1166">
        <v>2</v>
      </c>
      <c r="T75" s="1871"/>
      <c r="U75" s="1860"/>
      <c r="V75" s="1860"/>
      <c r="W75" s="1860"/>
      <c r="X75" s="1860"/>
      <c r="Y75" s="1872"/>
    </row>
    <row r="76" spans="2:25" ht="192">
      <c r="B76" s="1948"/>
      <c r="C76" s="1950"/>
      <c r="D76" s="1957"/>
      <c r="E76" s="1953"/>
      <c r="F76" s="1848"/>
      <c r="G76" s="1848"/>
      <c r="H76" s="1848"/>
      <c r="I76" s="1848"/>
      <c r="J76" s="1868"/>
      <c r="K76" s="1868"/>
      <c r="L76" s="1854"/>
      <c r="M76" s="1168">
        <v>3</v>
      </c>
      <c r="N76" s="1167" t="s">
        <v>501</v>
      </c>
      <c r="O76" s="1168">
        <v>0</v>
      </c>
      <c r="P76" s="1165">
        <v>1</v>
      </c>
      <c r="Q76" s="1166">
        <v>2</v>
      </c>
      <c r="R76" s="1166">
        <v>2</v>
      </c>
      <c r="S76" s="1166">
        <v>3</v>
      </c>
      <c r="T76" s="1871"/>
      <c r="U76" s="1860"/>
      <c r="V76" s="1860"/>
      <c r="W76" s="1860"/>
      <c r="X76" s="1860"/>
      <c r="Y76" s="1872"/>
    </row>
    <row r="77" spans="2:25" ht="113.25">
      <c r="B77" s="1948"/>
      <c r="C77" s="1950"/>
      <c r="D77" s="1957"/>
      <c r="E77" s="1953"/>
      <c r="F77" s="1848"/>
      <c r="G77" s="1848"/>
      <c r="H77" s="1848"/>
      <c r="I77" s="1848"/>
      <c r="J77" s="1868"/>
      <c r="K77" s="1868"/>
      <c r="L77" s="1854"/>
      <c r="M77" s="1168">
        <v>4</v>
      </c>
      <c r="N77" s="1167" t="s">
        <v>502</v>
      </c>
      <c r="O77" s="1168">
        <v>2</v>
      </c>
      <c r="P77" s="1165">
        <v>3</v>
      </c>
      <c r="Q77" s="1166">
        <v>4</v>
      </c>
      <c r="R77" s="1166">
        <v>5</v>
      </c>
      <c r="S77" s="1166">
        <v>6</v>
      </c>
      <c r="T77" s="1871"/>
      <c r="U77" s="1860"/>
      <c r="V77" s="1860"/>
      <c r="W77" s="1860"/>
      <c r="X77" s="1860"/>
      <c r="Y77" s="1872"/>
    </row>
    <row r="78" spans="2:25" ht="68.25">
      <c r="B78" s="1948"/>
      <c r="C78" s="1950"/>
      <c r="D78" s="1957"/>
      <c r="E78" s="1953"/>
      <c r="F78" s="1848"/>
      <c r="G78" s="1848"/>
      <c r="H78" s="1848"/>
      <c r="I78" s="1848"/>
      <c r="J78" s="1868"/>
      <c r="K78" s="1868"/>
      <c r="L78" s="1854"/>
      <c r="M78" s="1168">
        <v>15</v>
      </c>
      <c r="N78" s="1169" t="s">
        <v>503</v>
      </c>
      <c r="O78" s="1168">
        <v>7</v>
      </c>
      <c r="P78" s="1165">
        <v>10</v>
      </c>
      <c r="Q78" s="1166">
        <v>13</v>
      </c>
      <c r="R78" s="1166">
        <v>18</v>
      </c>
      <c r="S78" s="1166">
        <v>22</v>
      </c>
      <c r="T78" s="1871"/>
      <c r="U78" s="1860"/>
      <c r="V78" s="1860"/>
      <c r="W78" s="1860"/>
      <c r="X78" s="1860"/>
      <c r="Y78" s="1872"/>
    </row>
    <row r="79" spans="2:25" ht="203.25">
      <c r="B79" s="1948"/>
      <c r="C79" s="1950"/>
      <c r="D79" s="1957"/>
      <c r="E79" s="1953"/>
      <c r="F79" s="1848"/>
      <c r="G79" s="1848"/>
      <c r="H79" s="1848"/>
      <c r="I79" s="1848"/>
      <c r="J79" s="1868"/>
      <c r="K79" s="1868"/>
      <c r="L79" s="1854"/>
      <c r="M79" s="1168">
        <v>4</v>
      </c>
      <c r="N79" s="1167" t="s">
        <v>504</v>
      </c>
      <c r="O79" s="1168">
        <v>0</v>
      </c>
      <c r="P79" s="1165">
        <v>1</v>
      </c>
      <c r="Q79" s="1166">
        <v>2</v>
      </c>
      <c r="R79" s="1166">
        <v>3</v>
      </c>
      <c r="S79" s="1166">
        <v>4</v>
      </c>
      <c r="T79" s="1871"/>
      <c r="U79" s="1860"/>
      <c r="V79" s="1860"/>
      <c r="W79" s="1860"/>
      <c r="X79" s="1860"/>
      <c r="Y79" s="1872"/>
    </row>
    <row r="80" spans="2:25" ht="68.25">
      <c r="B80" s="1948"/>
      <c r="C80" s="1950"/>
      <c r="D80" s="1957"/>
      <c r="E80" s="1953"/>
      <c r="F80" s="1848"/>
      <c r="G80" s="1848"/>
      <c r="H80" s="1848"/>
      <c r="I80" s="1848"/>
      <c r="J80" s="1868"/>
      <c r="K80" s="1868"/>
      <c r="L80" s="1854"/>
      <c r="M80" s="1168">
        <v>35</v>
      </c>
      <c r="N80" s="1167" t="s">
        <v>505</v>
      </c>
      <c r="O80" s="1168">
        <v>0</v>
      </c>
      <c r="P80" s="1165">
        <v>10</v>
      </c>
      <c r="Q80" s="1166">
        <v>20</v>
      </c>
      <c r="R80" s="1166">
        <v>25</v>
      </c>
      <c r="S80" s="1166">
        <v>35</v>
      </c>
      <c r="T80" s="1871"/>
      <c r="U80" s="1860"/>
      <c r="V80" s="1860"/>
      <c r="W80" s="1860"/>
      <c r="X80" s="1860"/>
      <c r="Y80" s="1872"/>
    </row>
    <row r="81" spans="2:25" ht="102">
      <c r="B81" s="1948"/>
      <c r="C81" s="1950"/>
      <c r="D81" s="1957"/>
      <c r="E81" s="1953"/>
      <c r="F81" s="1848"/>
      <c r="G81" s="1848"/>
      <c r="H81" s="1848"/>
      <c r="I81" s="1848"/>
      <c r="J81" s="1868"/>
      <c r="K81" s="1868"/>
      <c r="L81" s="1854"/>
      <c r="M81" s="1168">
        <v>1</v>
      </c>
      <c r="N81" s="1167" t="s">
        <v>506</v>
      </c>
      <c r="O81" s="1168">
        <v>0</v>
      </c>
      <c r="P81" s="1165">
        <v>1</v>
      </c>
      <c r="Q81" s="1165">
        <v>1</v>
      </c>
      <c r="R81" s="1165">
        <v>1</v>
      </c>
      <c r="S81" s="1166">
        <v>1</v>
      </c>
      <c r="T81" s="1871"/>
      <c r="U81" s="1860"/>
      <c r="V81" s="1860"/>
      <c r="W81" s="1860"/>
      <c r="X81" s="1860"/>
      <c r="Y81" s="1872"/>
    </row>
    <row r="82" spans="2:25" ht="135.75">
      <c r="B82" s="1948"/>
      <c r="C82" s="1950"/>
      <c r="D82" s="1957"/>
      <c r="E82" s="1953"/>
      <c r="F82" s="1848"/>
      <c r="G82" s="1848"/>
      <c r="H82" s="1848"/>
      <c r="I82" s="1848"/>
      <c r="J82" s="1868"/>
      <c r="K82" s="1868"/>
      <c r="L82" s="1854"/>
      <c r="M82" s="1168">
        <v>8</v>
      </c>
      <c r="N82" s="1167" t="s">
        <v>507</v>
      </c>
      <c r="O82" s="1168">
        <v>1</v>
      </c>
      <c r="P82" s="1165">
        <v>3</v>
      </c>
      <c r="Q82" s="1166">
        <v>5</v>
      </c>
      <c r="R82" s="1166">
        <v>7</v>
      </c>
      <c r="S82" s="1166">
        <v>9</v>
      </c>
      <c r="T82" s="1871"/>
      <c r="U82" s="1860"/>
      <c r="V82" s="1860"/>
      <c r="W82" s="1860"/>
      <c r="X82" s="1860"/>
      <c r="Y82" s="1872"/>
    </row>
    <row r="83" spans="2:25" ht="68.25">
      <c r="B83" s="1948"/>
      <c r="C83" s="1950"/>
      <c r="D83" s="1957"/>
      <c r="E83" s="1953"/>
      <c r="F83" s="1848"/>
      <c r="G83" s="1848"/>
      <c r="H83" s="1848"/>
      <c r="I83" s="1848"/>
      <c r="J83" s="1868"/>
      <c r="K83" s="1868"/>
      <c r="L83" s="1854"/>
      <c r="M83" s="1168">
        <v>12</v>
      </c>
      <c r="N83" s="1167" t="s">
        <v>1307</v>
      </c>
      <c r="O83" s="1168">
        <v>6</v>
      </c>
      <c r="P83" s="1165">
        <v>6</v>
      </c>
      <c r="Q83" s="1166">
        <v>10</v>
      </c>
      <c r="R83" s="1166">
        <v>14</v>
      </c>
      <c r="S83" s="1166">
        <v>18</v>
      </c>
      <c r="T83" s="1871"/>
      <c r="U83" s="1860"/>
      <c r="V83" s="1860"/>
      <c r="W83" s="1860"/>
      <c r="X83" s="1860"/>
      <c r="Y83" s="1872"/>
    </row>
    <row r="84" spans="2:25" ht="57">
      <c r="B84" s="1948"/>
      <c r="C84" s="1950"/>
      <c r="D84" s="1957"/>
      <c r="E84" s="1953"/>
      <c r="F84" s="1848"/>
      <c r="G84" s="1848"/>
      <c r="H84" s="1848"/>
      <c r="I84" s="1848"/>
      <c r="J84" s="1868"/>
      <c r="K84" s="1868"/>
      <c r="L84" s="1869"/>
      <c r="M84" s="1168">
        <v>4</v>
      </c>
      <c r="N84" s="1167" t="s">
        <v>508</v>
      </c>
      <c r="O84" s="1168">
        <v>1</v>
      </c>
      <c r="P84" s="1165">
        <v>2</v>
      </c>
      <c r="Q84" s="1166">
        <v>3</v>
      </c>
      <c r="R84" s="1166">
        <v>4</v>
      </c>
      <c r="S84" s="1166">
        <v>5</v>
      </c>
      <c r="T84" s="1871"/>
      <c r="U84" s="1866"/>
      <c r="V84" s="1866"/>
      <c r="W84" s="1866"/>
      <c r="X84" s="1866"/>
      <c r="Y84" s="1872"/>
    </row>
    <row r="85" spans="2:25" ht="79.5">
      <c r="B85" s="1948"/>
      <c r="C85" s="1950"/>
      <c r="D85" s="1957"/>
      <c r="E85" s="1953"/>
      <c r="F85" s="1847"/>
      <c r="G85" s="1847"/>
      <c r="H85" s="1847"/>
      <c r="I85" s="1847"/>
      <c r="J85" s="1850" t="s">
        <v>509</v>
      </c>
      <c r="K85" s="1850" t="s">
        <v>510</v>
      </c>
      <c r="L85" s="1853">
        <v>0.25</v>
      </c>
      <c r="M85" s="1168">
        <v>1</v>
      </c>
      <c r="N85" s="1167" t="s">
        <v>511</v>
      </c>
      <c r="O85" s="1168">
        <v>0</v>
      </c>
      <c r="P85" s="1165">
        <v>1</v>
      </c>
      <c r="Q85" s="1165">
        <v>1</v>
      </c>
      <c r="R85" s="1165">
        <v>1</v>
      </c>
      <c r="S85" s="1166">
        <v>1</v>
      </c>
      <c r="T85" s="1856"/>
      <c r="U85" s="1859">
        <v>300000000</v>
      </c>
      <c r="V85" s="1859">
        <v>300000000</v>
      </c>
      <c r="W85" s="1859">
        <v>300000000</v>
      </c>
      <c r="X85" s="1859">
        <v>900000000</v>
      </c>
      <c r="Y85" s="1872"/>
    </row>
    <row r="86" spans="2:25" ht="57">
      <c r="B86" s="1948"/>
      <c r="C86" s="1950"/>
      <c r="D86" s="1957"/>
      <c r="E86" s="1953"/>
      <c r="F86" s="1848"/>
      <c r="G86" s="1848"/>
      <c r="H86" s="1848"/>
      <c r="I86" s="1848"/>
      <c r="J86" s="1851"/>
      <c r="K86" s="1851"/>
      <c r="L86" s="1854"/>
      <c r="M86" s="1168">
        <v>4</v>
      </c>
      <c r="N86" s="1167" t="s">
        <v>512</v>
      </c>
      <c r="O86" s="1168">
        <v>0</v>
      </c>
      <c r="P86" s="1165">
        <v>1</v>
      </c>
      <c r="Q86" s="1166">
        <v>2</v>
      </c>
      <c r="R86" s="1166">
        <v>3</v>
      </c>
      <c r="S86" s="1166">
        <v>4</v>
      </c>
      <c r="T86" s="1857"/>
      <c r="U86" s="1860"/>
      <c r="V86" s="1860"/>
      <c r="W86" s="1860"/>
      <c r="X86" s="1860"/>
      <c r="Y86" s="1872"/>
    </row>
    <row r="87" spans="2:25" ht="113.25">
      <c r="B87" s="1948"/>
      <c r="C87" s="1950"/>
      <c r="D87" s="1957"/>
      <c r="E87" s="1953"/>
      <c r="F87" s="1848"/>
      <c r="G87" s="1848"/>
      <c r="H87" s="1848"/>
      <c r="I87" s="1848"/>
      <c r="J87" s="1851"/>
      <c r="K87" s="1851"/>
      <c r="L87" s="1854"/>
      <c r="M87" s="1168">
        <v>4</v>
      </c>
      <c r="N87" s="1167" t="s">
        <v>513</v>
      </c>
      <c r="O87" s="1168">
        <v>0</v>
      </c>
      <c r="P87" s="1165">
        <v>1</v>
      </c>
      <c r="Q87" s="1166">
        <v>2</v>
      </c>
      <c r="R87" s="1166">
        <v>3</v>
      </c>
      <c r="S87" s="1166">
        <v>4</v>
      </c>
      <c r="T87" s="1857"/>
      <c r="U87" s="1860"/>
      <c r="V87" s="1860"/>
      <c r="W87" s="1860"/>
      <c r="X87" s="1860"/>
      <c r="Y87" s="1872"/>
    </row>
    <row r="88" spans="2:25" ht="125.25" thickBot="1">
      <c r="B88" s="1948"/>
      <c r="C88" s="1950"/>
      <c r="D88" s="1958"/>
      <c r="E88" s="1954"/>
      <c r="F88" s="1849"/>
      <c r="G88" s="1849"/>
      <c r="H88" s="1849"/>
      <c r="I88" s="1849"/>
      <c r="J88" s="1852"/>
      <c r="K88" s="1852"/>
      <c r="L88" s="1855"/>
      <c r="M88" s="1171">
        <v>1</v>
      </c>
      <c r="N88" s="1172" t="s">
        <v>514</v>
      </c>
      <c r="O88" s="1171">
        <v>0</v>
      </c>
      <c r="P88" s="1173">
        <v>1</v>
      </c>
      <c r="Q88" s="1173">
        <v>1</v>
      </c>
      <c r="R88" s="1173">
        <v>1</v>
      </c>
      <c r="S88" s="1173">
        <v>1</v>
      </c>
      <c r="T88" s="1858"/>
      <c r="U88" s="1861"/>
      <c r="V88" s="1861"/>
      <c r="W88" s="1861"/>
      <c r="X88" s="1861"/>
      <c r="Y88" s="1873"/>
    </row>
    <row r="89" spans="2:25" ht="15.75" thickBot="1">
      <c r="B89" s="1948"/>
      <c r="C89" s="1950"/>
      <c r="D89" s="1174"/>
      <c r="E89" s="1175"/>
      <c r="F89" s="1176"/>
      <c r="G89" s="1176"/>
      <c r="H89" s="1176"/>
      <c r="I89" s="1176"/>
      <c r="J89" s="1177"/>
      <c r="K89" s="1178" t="s">
        <v>1337</v>
      </c>
      <c r="L89" s="1179">
        <f>SUM(L68:L88)</f>
        <v>1</v>
      </c>
      <c r="M89" s="1180"/>
      <c r="N89" s="1181"/>
      <c r="O89" s="1180"/>
      <c r="P89" s="1182"/>
      <c r="Q89" s="1182"/>
      <c r="R89" s="1182"/>
      <c r="S89" s="1182"/>
      <c r="T89" s="1183"/>
      <c r="U89" s="1184"/>
      <c r="V89" s="1184"/>
      <c r="W89" s="1184"/>
      <c r="X89" s="1184"/>
      <c r="Y89" s="1185"/>
    </row>
    <row r="90" spans="2:25" ht="146.25">
      <c r="B90" s="1948"/>
      <c r="C90" s="1950"/>
      <c r="D90" s="1955" t="s">
        <v>515</v>
      </c>
      <c r="E90" s="1864">
        <v>0.15</v>
      </c>
      <c r="F90" s="1862"/>
      <c r="G90" s="1862"/>
      <c r="H90" s="1862"/>
      <c r="I90" s="1862"/>
      <c r="J90" s="1843" t="s">
        <v>516</v>
      </c>
      <c r="K90" s="1843" t="s">
        <v>519</v>
      </c>
      <c r="L90" s="1864">
        <v>0.8</v>
      </c>
      <c r="M90" s="1186">
        <v>1</v>
      </c>
      <c r="N90" s="1187" t="s">
        <v>520</v>
      </c>
      <c r="O90" s="1186">
        <v>0</v>
      </c>
      <c r="P90" s="1188">
        <v>1</v>
      </c>
      <c r="Q90" s="1188">
        <v>1</v>
      </c>
      <c r="R90" s="1188">
        <v>1</v>
      </c>
      <c r="S90" s="1188">
        <v>1</v>
      </c>
      <c r="T90" s="1845">
        <v>350000000</v>
      </c>
      <c r="U90" s="1845">
        <v>300000000</v>
      </c>
      <c r="V90" s="1845">
        <v>500000000</v>
      </c>
      <c r="W90" s="1845">
        <v>500000000</v>
      </c>
      <c r="X90" s="1845">
        <v>1650000000</v>
      </c>
      <c r="Y90" s="1828"/>
    </row>
    <row r="91" spans="2:25" ht="79.5">
      <c r="B91" s="1948"/>
      <c r="C91" s="1950"/>
      <c r="D91" s="1956"/>
      <c r="E91" s="1835"/>
      <c r="F91" s="1863"/>
      <c r="G91" s="1863"/>
      <c r="H91" s="1863"/>
      <c r="I91" s="1863"/>
      <c r="J91" s="1832"/>
      <c r="K91" s="1832"/>
      <c r="L91" s="1835"/>
      <c r="M91" s="1189">
        <v>130</v>
      </c>
      <c r="N91" s="1190" t="s">
        <v>521</v>
      </c>
      <c r="O91" s="1191">
        <v>78</v>
      </c>
      <c r="P91" s="1188">
        <v>100</v>
      </c>
      <c r="Q91" s="1192">
        <v>135</v>
      </c>
      <c r="R91" s="1192">
        <v>170</v>
      </c>
      <c r="S91" s="1192">
        <v>208</v>
      </c>
      <c r="T91" s="1841"/>
      <c r="U91" s="1841"/>
      <c r="V91" s="1841"/>
      <c r="W91" s="1841"/>
      <c r="X91" s="1841"/>
      <c r="Y91" s="1829"/>
    </row>
    <row r="92" spans="2:25" ht="147">
      <c r="B92" s="1948"/>
      <c r="C92" s="1950"/>
      <c r="D92" s="1956"/>
      <c r="E92" s="1835"/>
      <c r="F92" s="1863"/>
      <c r="G92" s="1863"/>
      <c r="H92" s="1863"/>
      <c r="I92" s="1863"/>
      <c r="J92" s="1832"/>
      <c r="K92" s="1832"/>
      <c r="L92" s="1835"/>
      <c r="M92" s="1189">
        <v>150</v>
      </c>
      <c r="N92" s="1190" t="s">
        <v>522</v>
      </c>
      <c r="O92" s="1191">
        <v>0</v>
      </c>
      <c r="P92" s="1193">
        <v>30</v>
      </c>
      <c r="Q92" s="1194">
        <v>60</v>
      </c>
      <c r="R92" s="1194">
        <v>90</v>
      </c>
      <c r="S92" s="1194">
        <v>150</v>
      </c>
      <c r="T92" s="1841"/>
      <c r="U92" s="1841"/>
      <c r="V92" s="1841"/>
      <c r="W92" s="1841"/>
      <c r="X92" s="1841"/>
      <c r="Y92" s="1829"/>
    </row>
    <row r="93" spans="2:25" ht="124.5">
      <c r="B93" s="1948"/>
      <c r="C93" s="1950"/>
      <c r="D93" s="1956"/>
      <c r="E93" s="1835"/>
      <c r="F93" s="1863"/>
      <c r="G93" s="1863"/>
      <c r="H93" s="1863"/>
      <c r="I93" s="1863"/>
      <c r="J93" s="1844"/>
      <c r="K93" s="1844"/>
      <c r="L93" s="1865"/>
      <c r="M93" s="1189">
        <v>150</v>
      </c>
      <c r="N93" s="1190" t="s">
        <v>523</v>
      </c>
      <c r="O93" s="1191">
        <v>0</v>
      </c>
      <c r="P93" s="1193">
        <v>30</v>
      </c>
      <c r="Q93" s="1194">
        <v>60</v>
      </c>
      <c r="R93" s="1194">
        <v>90</v>
      </c>
      <c r="S93" s="1194">
        <v>150</v>
      </c>
      <c r="T93" s="1846"/>
      <c r="U93" s="1846"/>
      <c r="V93" s="1846"/>
      <c r="W93" s="1846"/>
      <c r="X93" s="1846"/>
      <c r="Y93" s="1830"/>
    </row>
    <row r="94" spans="2:25" ht="56.25">
      <c r="B94" s="1948"/>
      <c r="C94" s="1950"/>
      <c r="D94" s="1956"/>
      <c r="E94" s="1835"/>
      <c r="F94" s="1863"/>
      <c r="G94" s="1863"/>
      <c r="H94" s="1863"/>
      <c r="I94" s="1863"/>
      <c r="J94" s="1831" t="s">
        <v>517</v>
      </c>
      <c r="K94" s="1834" t="s">
        <v>518</v>
      </c>
      <c r="L94" s="1837">
        <v>0.2</v>
      </c>
      <c r="M94" s="1195">
        <v>20</v>
      </c>
      <c r="N94" s="1196" t="s">
        <v>524</v>
      </c>
      <c r="O94" s="1195">
        <v>2</v>
      </c>
      <c r="P94" s="1197">
        <v>7</v>
      </c>
      <c r="Q94" s="1194">
        <v>14</v>
      </c>
      <c r="R94" s="1194">
        <v>18</v>
      </c>
      <c r="S94" s="1194">
        <v>22</v>
      </c>
      <c r="T94" s="1838"/>
      <c r="U94" s="1840">
        <v>50000000</v>
      </c>
      <c r="V94" s="1840">
        <v>50000000</v>
      </c>
      <c r="W94" s="1840">
        <v>50000000</v>
      </c>
      <c r="X94" s="1840">
        <v>150000000</v>
      </c>
      <c r="Y94" s="1838"/>
    </row>
    <row r="95" spans="2:25" ht="56.25">
      <c r="B95" s="1948"/>
      <c r="C95" s="1950"/>
      <c r="D95" s="1956"/>
      <c r="E95" s="1835"/>
      <c r="F95" s="1863"/>
      <c r="G95" s="1863"/>
      <c r="H95" s="1863"/>
      <c r="I95" s="1863"/>
      <c r="J95" s="1832"/>
      <c r="K95" s="1835"/>
      <c r="L95" s="1835"/>
      <c r="M95" s="1195">
        <v>10</v>
      </c>
      <c r="N95" s="1198" t="s">
        <v>525</v>
      </c>
      <c r="O95" s="1195">
        <v>3</v>
      </c>
      <c r="P95" s="1199">
        <v>5</v>
      </c>
      <c r="Q95" s="1194">
        <v>8</v>
      </c>
      <c r="R95" s="1194">
        <v>10</v>
      </c>
      <c r="S95" s="1194">
        <v>13</v>
      </c>
      <c r="T95" s="1829"/>
      <c r="U95" s="1841"/>
      <c r="V95" s="1841"/>
      <c r="W95" s="1841"/>
      <c r="X95" s="1841"/>
      <c r="Y95" s="1829"/>
    </row>
    <row r="96" spans="2:25" ht="80.25" thickBot="1">
      <c r="B96" s="1948"/>
      <c r="C96" s="1950"/>
      <c r="D96" s="1956"/>
      <c r="E96" s="1865"/>
      <c r="F96" s="1863"/>
      <c r="G96" s="1863"/>
      <c r="H96" s="1863"/>
      <c r="I96" s="1863"/>
      <c r="J96" s="1833"/>
      <c r="K96" s="1836"/>
      <c r="L96" s="1836"/>
      <c r="M96" s="1200">
        <v>20</v>
      </c>
      <c r="N96" s="1201" t="s">
        <v>526</v>
      </c>
      <c r="O96" s="1200">
        <v>4</v>
      </c>
      <c r="P96" s="1202">
        <v>4</v>
      </c>
      <c r="Q96" s="1203">
        <v>12</v>
      </c>
      <c r="R96" s="1203">
        <v>16</v>
      </c>
      <c r="S96" s="1203">
        <v>24</v>
      </c>
      <c r="T96" s="1839"/>
      <c r="U96" s="1842"/>
      <c r="V96" s="1842"/>
      <c r="W96" s="1842"/>
      <c r="X96" s="1842"/>
      <c r="Y96" s="1839"/>
    </row>
    <row r="97" spans="2:25" ht="15.75" thickBot="1">
      <c r="B97" s="1948"/>
      <c r="C97" s="1950"/>
      <c r="D97" s="1204"/>
      <c r="E97" s="1205"/>
      <c r="F97" s="1206"/>
      <c r="G97" s="1206"/>
      <c r="H97" s="1206"/>
      <c r="I97" s="1206"/>
      <c r="J97" s="1207"/>
      <c r="K97" s="1205"/>
      <c r="L97" s="1208">
        <f>SUM(L90:L96)</f>
        <v>1</v>
      </c>
      <c r="M97" s="1209"/>
      <c r="N97" s="1210"/>
      <c r="O97" s="1209"/>
      <c r="P97" s="1211"/>
      <c r="Q97" s="1212"/>
      <c r="R97" s="1212"/>
      <c r="S97" s="1212"/>
      <c r="T97" s="1213"/>
      <c r="U97" s="1214"/>
      <c r="V97" s="1214"/>
      <c r="W97" s="1214"/>
      <c r="X97" s="1214"/>
      <c r="Y97" s="1213"/>
    </row>
    <row r="98" spans="2:25" ht="79.5">
      <c r="B98" s="1948"/>
      <c r="C98" s="1950"/>
      <c r="D98" s="1788" t="s">
        <v>527</v>
      </c>
      <c r="E98" s="1790">
        <v>0.1</v>
      </c>
      <c r="F98" s="1793"/>
      <c r="G98" s="1793"/>
      <c r="H98" s="1793"/>
      <c r="I98" s="1793"/>
      <c r="J98" s="1215" t="s">
        <v>528</v>
      </c>
      <c r="K98" s="1216" t="s">
        <v>531</v>
      </c>
      <c r="L98" s="1217">
        <v>0.4</v>
      </c>
      <c r="M98" s="1218">
        <v>8</v>
      </c>
      <c r="N98" s="1219" t="s">
        <v>534</v>
      </c>
      <c r="O98" s="1220">
        <v>4</v>
      </c>
      <c r="P98" s="1221">
        <v>6</v>
      </c>
      <c r="Q98" s="1222">
        <v>8</v>
      </c>
      <c r="R98" s="1222">
        <v>10</v>
      </c>
      <c r="S98" s="1222">
        <v>12</v>
      </c>
      <c r="T98" s="1222"/>
      <c r="U98" s="1223">
        <v>20000000</v>
      </c>
      <c r="V98" s="1223">
        <v>20000000</v>
      </c>
      <c r="W98" s="1223">
        <v>20000000</v>
      </c>
      <c r="X98" s="1224">
        <v>60000000</v>
      </c>
      <c r="Y98" s="1795" t="s">
        <v>1308</v>
      </c>
    </row>
    <row r="99" spans="2:25" ht="67.5">
      <c r="B99" s="1948"/>
      <c r="C99" s="1950"/>
      <c r="D99" s="1788"/>
      <c r="E99" s="1791"/>
      <c r="F99" s="1793"/>
      <c r="G99" s="1793"/>
      <c r="H99" s="1793"/>
      <c r="I99" s="1793"/>
      <c r="J99" s="1225" t="s">
        <v>529</v>
      </c>
      <c r="K99" s="1226" t="s">
        <v>532</v>
      </c>
      <c r="L99" s="1227">
        <v>0.4</v>
      </c>
      <c r="M99" s="1228">
        <v>20</v>
      </c>
      <c r="N99" s="1229" t="s">
        <v>535</v>
      </c>
      <c r="O99" s="1228">
        <v>0</v>
      </c>
      <c r="P99" s="1230">
        <v>5</v>
      </c>
      <c r="Q99" s="1231">
        <v>10</v>
      </c>
      <c r="R99" s="1231">
        <v>15</v>
      </c>
      <c r="S99" s="1231">
        <v>20</v>
      </c>
      <c r="T99" s="1232">
        <v>150000000</v>
      </c>
      <c r="U99" s="1232">
        <v>2297600000</v>
      </c>
      <c r="V99" s="1232">
        <v>1701753760</v>
      </c>
      <c r="W99" s="1232">
        <v>5599800478</v>
      </c>
      <c r="X99" s="1232">
        <v>9749154238</v>
      </c>
      <c r="Y99" s="1796"/>
    </row>
    <row r="100" spans="2:25" ht="91.5" thickBot="1">
      <c r="B100" s="1948"/>
      <c r="C100" s="1950"/>
      <c r="D100" s="1789"/>
      <c r="E100" s="1792"/>
      <c r="F100" s="1794"/>
      <c r="G100" s="1794"/>
      <c r="H100" s="1794"/>
      <c r="I100" s="1794"/>
      <c r="J100" s="1233" t="s">
        <v>530</v>
      </c>
      <c r="K100" s="1234" t="s">
        <v>533</v>
      </c>
      <c r="L100" s="1235">
        <v>0.2</v>
      </c>
      <c r="M100" s="1236">
        <v>1</v>
      </c>
      <c r="N100" s="1237" t="s">
        <v>536</v>
      </c>
      <c r="O100" s="1236">
        <v>0</v>
      </c>
      <c r="P100" s="1238">
        <v>1</v>
      </c>
      <c r="Q100" s="1238">
        <v>1</v>
      </c>
      <c r="R100" s="1238">
        <v>1</v>
      </c>
      <c r="S100" s="1238">
        <v>1</v>
      </c>
      <c r="T100" s="1239">
        <v>300000000</v>
      </c>
      <c r="U100" s="1239">
        <v>320000000</v>
      </c>
      <c r="V100" s="1239">
        <v>360000000</v>
      </c>
      <c r="W100" s="1239">
        <v>400000000</v>
      </c>
      <c r="X100" s="1239">
        <v>1380000000</v>
      </c>
      <c r="Y100" s="1797"/>
    </row>
    <row r="101" spans="2:25" ht="15.75" thickBot="1">
      <c r="B101" s="1948"/>
      <c r="C101" s="1950"/>
      <c r="D101" s="1240"/>
      <c r="E101" s="1241"/>
      <c r="F101" s="1242"/>
      <c r="G101" s="1242"/>
      <c r="H101" s="1242"/>
      <c r="I101" s="1242"/>
      <c r="J101" s="1243"/>
      <c r="K101" s="1244"/>
      <c r="L101" s="1245">
        <f>SUM(L98:L100)</f>
        <v>1</v>
      </c>
      <c r="M101" s="1242"/>
      <c r="N101" s="1246"/>
      <c r="O101" s="1242"/>
      <c r="P101" s="1247"/>
      <c r="Q101" s="1247"/>
      <c r="R101" s="1247"/>
      <c r="S101" s="1247"/>
      <c r="T101" s="1248"/>
      <c r="U101" s="1248"/>
      <c r="V101" s="1248"/>
      <c r="W101" s="1248"/>
      <c r="X101" s="1248"/>
      <c r="Y101" s="1249"/>
    </row>
    <row r="102" spans="2:25" ht="79.5">
      <c r="B102" s="1948"/>
      <c r="C102" s="1950"/>
      <c r="D102" s="1798" t="s">
        <v>537</v>
      </c>
      <c r="E102" s="1799">
        <v>0.05</v>
      </c>
      <c r="F102" s="1250"/>
      <c r="G102" s="1250"/>
      <c r="H102" s="1250"/>
      <c r="I102" s="1250"/>
      <c r="J102" s="1801" t="s">
        <v>538</v>
      </c>
      <c r="K102" s="1801" t="s">
        <v>540</v>
      </c>
      <c r="L102" s="1803">
        <v>0.5</v>
      </c>
      <c r="M102" s="1251">
        <v>1</v>
      </c>
      <c r="N102" s="1252" t="s">
        <v>1309</v>
      </c>
      <c r="O102" s="1251">
        <v>0</v>
      </c>
      <c r="P102" s="1253">
        <v>1</v>
      </c>
      <c r="Q102" s="1253">
        <v>1</v>
      </c>
      <c r="R102" s="1253">
        <v>1</v>
      </c>
      <c r="S102" s="1254">
        <v>1</v>
      </c>
      <c r="T102" s="1805">
        <v>150000000</v>
      </c>
      <c r="U102" s="1805">
        <v>50000000</v>
      </c>
      <c r="V102" s="1805">
        <v>50000000</v>
      </c>
      <c r="W102" s="1805">
        <v>50000000</v>
      </c>
      <c r="X102" s="1805">
        <v>300000000</v>
      </c>
      <c r="Y102" s="1822"/>
    </row>
    <row r="103" spans="2:25" ht="169.5">
      <c r="B103" s="1948"/>
      <c r="C103" s="1950"/>
      <c r="D103" s="1562"/>
      <c r="E103" s="1800"/>
      <c r="F103" s="1255"/>
      <c r="G103" s="1255"/>
      <c r="H103" s="1255"/>
      <c r="I103" s="1255"/>
      <c r="J103" s="1802"/>
      <c r="K103" s="1802"/>
      <c r="L103" s="1804"/>
      <c r="M103" s="1256">
        <v>1</v>
      </c>
      <c r="N103" s="1257" t="s">
        <v>542</v>
      </c>
      <c r="O103" s="1256">
        <v>0</v>
      </c>
      <c r="P103" s="1258">
        <v>1</v>
      </c>
      <c r="Q103" s="1258">
        <v>1</v>
      </c>
      <c r="R103" s="1258">
        <v>1</v>
      </c>
      <c r="S103" s="1258">
        <v>1</v>
      </c>
      <c r="T103" s="1806"/>
      <c r="U103" s="1806"/>
      <c r="V103" s="1806"/>
      <c r="W103" s="1806"/>
      <c r="X103" s="1821"/>
      <c r="Y103" s="1823"/>
    </row>
    <row r="104" spans="2:25" ht="79.5">
      <c r="B104" s="1948"/>
      <c r="C104" s="1950"/>
      <c r="D104" s="1562"/>
      <c r="E104" s="1800"/>
      <c r="F104" s="1255"/>
      <c r="G104" s="1255"/>
      <c r="H104" s="1255"/>
      <c r="I104" s="1255"/>
      <c r="J104" s="1824" t="s">
        <v>539</v>
      </c>
      <c r="K104" s="1824" t="s">
        <v>541</v>
      </c>
      <c r="L104" s="1826">
        <v>0.5</v>
      </c>
      <c r="M104" s="1259">
        <v>0.2</v>
      </c>
      <c r="N104" s="1257" t="s">
        <v>543</v>
      </c>
      <c r="O104" s="1256">
        <v>0</v>
      </c>
      <c r="P104" s="1258">
        <v>5</v>
      </c>
      <c r="Q104" s="1260">
        <v>10</v>
      </c>
      <c r="R104" s="1260">
        <v>15</v>
      </c>
      <c r="S104" s="1260">
        <v>20</v>
      </c>
      <c r="T104" s="1807">
        <v>150000000</v>
      </c>
      <c r="U104" s="1807">
        <v>50000000</v>
      </c>
      <c r="V104" s="1807">
        <v>50000000</v>
      </c>
      <c r="W104" s="1807">
        <v>50000000</v>
      </c>
      <c r="X104" s="1807">
        <v>300000000</v>
      </c>
      <c r="Y104" s="1823"/>
    </row>
    <row r="105" spans="2:25" ht="15">
      <c r="B105" s="1948"/>
      <c r="C105" s="1950"/>
      <c r="D105" s="1562"/>
      <c r="E105" s="1800"/>
      <c r="F105" s="1255"/>
      <c r="G105" s="1255"/>
      <c r="H105" s="1255"/>
      <c r="I105" s="1255"/>
      <c r="J105" s="1825"/>
      <c r="K105" s="1825"/>
      <c r="L105" s="1827"/>
      <c r="M105" s="1809">
        <v>4</v>
      </c>
      <c r="N105" s="1812" t="s">
        <v>544</v>
      </c>
      <c r="O105" s="1809">
        <v>0</v>
      </c>
      <c r="P105" s="1815">
        <v>1</v>
      </c>
      <c r="Q105" s="1818">
        <v>2</v>
      </c>
      <c r="R105" s="1818">
        <v>3</v>
      </c>
      <c r="S105" s="1818">
        <v>4</v>
      </c>
      <c r="T105" s="1808"/>
      <c r="U105" s="1808"/>
      <c r="V105" s="1808"/>
      <c r="W105" s="1808"/>
      <c r="X105" s="1808"/>
      <c r="Y105" s="1823"/>
    </row>
    <row r="106" spans="2:25" ht="15">
      <c r="B106" s="1948"/>
      <c r="C106" s="1950"/>
      <c r="D106" s="1562"/>
      <c r="E106" s="1800"/>
      <c r="F106" s="1255"/>
      <c r="G106" s="1255"/>
      <c r="H106" s="1255"/>
      <c r="I106" s="1255"/>
      <c r="J106" s="1825"/>
      <c r="K106" s="1825"/>
      <c r="L106" s="1827"/>
      <c r="M106" s="1810"/>
      <c r="N106" s="1813"/>
      <c r="O106" s="1810"/>
      <c r="P106" s="1816"/>
      <c r="Q106" s="1819"/>
      <c r="R106" s="1819"/>
      <c r="S106" s="1819"/>
      <c r="T106" s="1808"/>
      <c r="U106" s="1808"/>
      <c r="V106" s="1808"/>
      <c r="W106" s="1808"/>
      <c r="X106" s="1808"/>
      <c r="Y106" s="1823"/>
    </row>
    <row r="107" spans="2:25" ht="15">
      <c r="B107" s="1948"/>
      <c r="C107" s="1950"/>
      <c r="D107" s="1562"/>
      <c r="E107" s="1800"/>
      <c r="F107" s="1255"/>
      <c r="G107" s="1255"/>
      <c r="H107" s="1255"/>
      <c r="I107" s="1255"/>
      <c r="J107" s="1825"/>
      <c r="K107" s="1825"/>
      <c r="L107" s="1827"/>
      <c r="M107" s="1810"/>
      <c r="N107" s="1813"/>
      <c r="O107" s="1810"/>
      <c r="P107" s="1816"/>
      <c r="Q107" s="1819"/>
      <c r="R107" s="1819"/>
      <c r="S107" s="1819"/>
      <c r="T107" s="1808"/>
      <c r="U107" s="1808"/>
      <c r="V107" s="1808"/>
      <c r="W107" s="1808"/>
      <c r="X107" s="1808"/>
      <c r="Y107" s="1823"/>
    </row>
    <row r="108" spans="2:25" ht="15.75" thickBot="1">
      <c r="B108" s="1948"/>
      <c r="C108" s="1950"/>
      <c r="D108" s="1562"/>
      <c r="E108" s="1800"/>
      <c r="F108" s="1255"/>
      <c r="G108" s="1255"/>
      <c r="H108" s="1255"/>
      <c r="I108" s="1255"/>
      <c r="J108" s="1825"/>
      <c r="K108" s="1825"/>
      <c r="L108" s="1827"/>
      <c r="M108" s="1811"/>
      <c r="N108" s="1814"/>
      <c r="O108" s="1811"/>
      <c r="P108" s="1817"/>
      <c r="Q108" s="1820"/>
      <c r="R108" s="1820"/>
      <c r="S108" s="1820"/>
      <c r="T108" s="1808"/>
      <c r="U108" s="1808"/>
      <c r="V108" s="1808"/>
      <c r="W108" s="1808"/>
      <c r="X108" s="1808"/>
      <c r="Y108" s="1823"/>
    </row>
    <row r="109" spans="2:25" ht="67.5">
      <c r="B109" s="1948"/>
      <c r="C109" s="1950"/>
      <c r="D109" s="1562"/>
      <c r="E109" s="1800"/>
      <c r="F109" s="1255"/>
      <c r="G109" s="1255"/>
      <c r="H109" s="1255"/>
      <c r="I109" s="1255"/>
      <c r="J109" s="1825"/>
      <c r="K109" s="1825"/>
      <c r="L109" s="1827"/>
      <c r="M109" s="1261">
        <v>8</v>
      </c>
      <c r="N109" s="1262" t="s">
        <v>1310</v>
      </c>
      <c r="O109" s="1263">
        <v>6</v>
      </c>
      <c r="P109" s="1263">
        <v>7</v>
      </c>
      <c r="Q109" s="1263">
        <v>10</v>
      </c>
      <c r="R109" s="1263">
        <v>12</v>
      </c>
      <c r="S109" s="1263">
        <v>14</v>
      </c>
      <c r="T109" s="1808"/>
      <c r="U109" s="1808"/>
      <c r="V109" s="1808"/>
      <c r="W109" s="1808"/>
      <c r="X109" s="1808"/>
      <c r="Y109" s="1823"/>
    </row>
    <row r="110" spans="2:25" ht="79.5">
      <c r="B110" s="1948"/>
      <c r="C110" s="1950"/>
      <c r="D110" s="1562"/>
      <c r="E110" s="1800"/>
      <c r="F110" s="1255"/>
      <c r="G110" s="1255"/>
      <c r="H110" s="1255"/>
      <c r="I110" s="1255"/>
      <c r="J110" s="1825"/>
      <c r="K110" s="1825"/>
      <c r="L110" s="1827"/>
      <c r="M110" s="1264"/>
      <c r="N110" s="1265" t="s">
        <v>1311</v>
      </c>
      <c r="O110" s="1264"/>
      <c r="P110" s="1264"/>
      <c r="Q110" s="1264"/>
      <c r="R110" s="1264"/>
      <c r="S110" s="1264"/>
      <c r="T110" s="1808"/>
      <c r="U110" s="1808"/>
      <c r="V110" s="1808"/>
      <c r="W110" s="1808"/>
      <c r="X110" s="1808"/>
      <c r="Y110" s="1823"/>
    </row>
    <row r="111" spans="2:25" ht="15.75" thickBot="1">
      <c r="B111" s="1948"/>
      <c r="C111" s="1950"/>
      <c r="D111" s="993"/>
      <c r="E111" s="1266"/>
      <c r="F111" s="1255"/>
      <c r="G111" s="1255"/>
      <c r="H111" s="1255"/>
      <c r="I111" s="1255"/>
      <c r="J111" s="1267"/>
      <c r="K111" s="1268"/>
      <c r="L111" s="1269">
        <f>SUM(L102:L110)</f>
        <v>1</v>
      </c>
      <c r="M111" s="1270"/>
      <c r="N111" s="1271"/>
      <c r="O111" s="1270"/>
      <c r="P111" s="1272"/>
      <c r="Q111" s="1272"/>
      <c r="R111" s="1272"/>
      <c r="S111" s="1270"/>
      <c r="T111" s="1273"/>
      <c r="U111" s="1273"/>
      <c r="V111" s="1273"/>
      <c r="W111" s="1273"/>
      <c r="X111" s="1273"/>
      <c r="Y111" s="1274"/>
    </row>
    <row r="112" spans="2:25" ht="101.25">
      <c r="B112" s="1948"/>
      <c r="C112" s="1950"/>
      <c r="D112" s="1765" t="s">
        <v>545</v>
      </c>
      <c r="E112" s="1767">
        <v>0.1</v>
      </c>
      <c r="F112" s="1784"/>
      <c r="G112" s="1784"/>
      <c r="H112" s="1784"/>
      <c r="I112" s="1784"/>
      <c r="J112" s="1275" t="s">
        <v>546</v>
      </c>
      <c r="K112" s="1276" t="s">
        <v>547</v>
      </c>
      <c r="L112" s="1277">
        <v>0.5</v>
      </c>
      <c r="M112" s="1278">
        <v>2</v>
      </c>
      <c r="N112" s="1279" t="s">
        <v>548</v>
      </c>
      <c r="O112" s="1280">
        <v>0</v>
      </c>
      <c r="P112" s="1281">
        <v>2</v>
      </c>
      <c r="Q112" s="1281">
        <v>2</v>
      </c>
      <c r="R112" s="1281">
        <v>2</v>
      </c>
      <c r="S112" s="1282">
        <v>2</v>
      </c>
      <c r="T112" s="1283"/>
      <c r="U112" s="1284">
        <v>948800000</v>
      </c>
      <c r="V112" s="1284">
        <v>600876880</v>
      </c>
      <c r="W112" s="1284">
        <v>749900239</v>
      </c>
      <c r="X112" s="1284">
        <v>2299577119</v>
      </c>
      <c r="Y112" s="1283"/>
    </row>
    <row r="113" spans="2:25" ht="15">
      <c r="B113" s="1948"/>
      <c r="C113" s="1950"/>
      <c r="D113" s="1766"/>
      <c r="E113" s="1768"/>
      <c r="F113" s="1785"/>
      <c r="G113" s="1785"/>
      <c r="H113" s="1785"/>
      <c r="I113" s="1785"/>
      <c r="J113" s="1761" t="s">
        <v>1341</v>
      </c>
      <c r="K113" s="1761" t="s">
        <v>588</v>
      </c>
      <c r="L113" s="1787">
        <v>0.5</v>
      </c>
      <c r="M113" s="1759">
        <v>20</v>
      </c>
      <c r="N113" s="1761" t="s">
        <v>1342</v>
      </c>
      <c r="O113" s="1759">
        <v>0</v>
      </c>
      <c r="P113" s="1778">
        <v>0</v>
      </c>
      <c r="Q113" s="1773">
        <v>5</v>
      </c>
      <c r="R113" s="1773">
        <v>15</v>
      </c>
      <c r="S113" s="1773">
        <v>20</v>
      </c>
      <c r="T113" s="1774"/>
      <c r="U113" s="1763">
        <v>90000000</v>
      </c>
      <c r="V113" s="1763">
        <v>90000000</v>
      </c>
      <c r="W113" s="1763">
        <v>90000000</v>
      </c>
      <c r="X113" s="1763">
        <v>270000000</v>
      </c>
      <c r="Y113" s="1774"/>
    </row>
    <row r="114" spans="2:25" ht="15.75" thickBot="1">
      <c r="B114" s="1948"/>
      <c r="C114" s="1950"/>
      <c r="D114" s="1762"/>
      <c r="E114" s="1769"/>
      <c r="F114" s="1786"/>
      <c r="G114" s="1786"/>
      <c r="H114" s="1786"/>
      <c r="I114" s="1786"/>
      <c r="J114" s="1762"/>
      <c r="K114" s="1762"/>
      <c r="L114" s="1769"/>
      <c r="M114" s="1760"/>
      <c r="N114" s="1762"/>
      <c r="O114" s="1760"/>
      <c r="P114" s="1779"/>
      <c r="Q114" s="1764"/>
      <c r="R114" s="1764"/>
      <c r="S114" s="1764"/>
      <c r="T114" s="1775"/>
      <c r="U114" s="1764"/>
      <c r="V114" s="1764"/>
      <c r="W114" s="1764"/>
      <c r="X114" s="1764"/>
      <c r="Y114" s="1775"/>
    </row>
    <row r="115" spans="2:25" ht="15">
      <c r="B115" s="1948"/>
      <c r="C115" s="1950"/>
      <c r="D115" s="1285"/>
      <c r="E115" s="1286"/>
      <c r="F115" s="1286"/>
      <c r="G115" s="1286"/>
      <c r="H115" s="1286"/>
      <c r="I115" s="1286"/>
      <c r="J115" s="1285"/>
      <c r="K115" s="1287"/>
      <c r="L115" s="1288">
        <f>SUM(L112:L114)</f>
        <v>1</v>
      </c>
      <c r="M115" s="1286"/>
      <c r="N115" s="1286"/>
      <c r="O115" s="1289"/>
      <c r="P115" s="1289"/>
      <c r="Q115" s="1283"/>
      <c r="R115" s="1283"/>
      <c r="S115" s="1283"/>
      <c r="T115" s="1283"/>
      <c r="U115" s="1283"/>
      <c r="V115" s="1283"/>
      <c r="W115" s="1283"/>
      <c r="X115" s="1283"/>
      <c r="Y115" s="1283"/>
    </row>
    <row r="116" spans="2:25" ht="112.5">
      <c r="B116" s="1948"/>
      <c r="C116" s="1950"/>
      <c r="D116" s="1776" t="s">
        <v>589</v>
      </c>
      <c r="E116" s="1753">
        <v>0.1</v>
      </c>
      <c r="F116" s="1770"/>
      <c r="G116" s="1770"/>
      <c r="H116" s="1770"/>
      <c r="I116" s="1770"/>
      <c r="J116" s="1750" t="s">
        <v>590</v>
      </c>
      <c r="K116" s="1751" t="s">
        <v>592</v>
      </c>
      <c r="L116" s="1753">
        <v>0.5</v>
      </c>
      <c r="M116" s="1290">
        <v>1</v>
      </c>
      <c r="N116" s="1291" t="s">
        <v>594</v>
      </c>
      <c r="O116" s="1290">
        <v>0</v>
      </c>
      <c r="P116" s="1292">
        <v>1</v>
      </c>
      <c r="Q116" s="1292">
        <v>1</v>
      </c>
      <c r="R116" s="1292">
        <v>1</v>
      </c>
      <c r="S116" s="1292">
        <v>1</v>
      </c>
      <c r="T116" s="1735"/>
      <c r="U116" s="1756">
        <v>650000000</v>
      </c>
      <c r="V116" s="1756">
        <v>700000</v>
      </c>
      <c r="W116" s="1756">
        <v>650000000</v>
      </c>
      <c r="X116" s="1756">
        <v>2000000</v>
      </c>
      <c r="Y116" s="1735"/>
    </row>
    <row r="117" spans="2:25" ht="68.25">
      <c r="B117" s="1948"/>
      <c r="C117" s="1950"/>
      <c r="D117" s="1776"/>
      <c r="E117" s="1754"/>
      <c r="F117" s="1771"/>
      <c r="G117" s="1771"/>
      <c r="H117" s="1771"/>
      <c r="I117" s="1771"/>
      <c r="J117" s="1780"/>
      <c r="K117" s="1780"/>
      <c r="L117" s="1781"/>
      <c r="M117" s="1290">
        <v>1</v>
      </c>
      <c r="N117" s="1293" t="s">
        <v>595</v>
      </c>
      <c r="O117" s="1290">
        <v>0</v>
      </c>
      <c r="P117" s="1292">
        <v>1</v>
      </c>
      <c r="Q117" s="1292">
        <v>1</v>
      </c>
      <c r="R117" s="1292">
        <v>1</v>
      </c>
      <c r="S117" s="1292">
        <v>1</v>
      </c>
      <c r="T117" s="1782"/>
      <c r="U117" s="1783"/>
      <c r="V117" s="1783"/>
      <c r="W117" s="1783"/>
      <c r="X117" s="1783"/>
      <c r="Y117" s="1782"/>
    </row>
    <row r="118" spans="2:25" ht="124.5">
      <c r="B118" s="1948"/>
      <c r="C118" s="1950"/>
      <c r="D118" s="1776"/>
      <c r="E118" s="1754"/>
      <c r="F118" s="1771"/>
      <c r="G118" s="1771"/>
      <c r="H118" s="1771"/>
      <c r="I118" s="1771"/>
      <c r="J118" s="1750" t="s">
        <v>591</v>
      </c>
      <c r="K118" s="1750" t="s">
        <v>593</v>
      </c>
      <c r="L118" s="1753">
        <v>0.5</v>
      </c>
      <c r="M118" s="1290">
        <v>1</v>
      </c>
      <c r="N118" s="1293" t="s">
        <v>596</v>
      </c>
      <c r="O118" s="1290">
        <v>0</v>
      </c>
      <c r="P118" s="1294">
        <v>0</v>
      </c>
      <c r="Q118" s="1295">
        <v>1</v>
      </c>
      <c r="R118" s="1295">
        <v>1</v>
      </c>
      <c r="S118" s="1295">
        <v>1</v>
      </c>
      <c r="T118" s="1756">
        <v>100000000</v>
      </c>
      <c r="U118" s="1756">
        <v>1947000000</v>
      </c>
      <c r="V118" s="1756">
        <v>1251399700</v>
      </c>
      <c r="W118" s="1756">
        <v>1449376421</v>
      </c>
      <c r="X118" s="1756">
        <v>4747776121</v>
      </c>
      <c r="Y118" s="1735"/>
    </row>
    <row r="119" spans="2:25" ht="90.75">
      <c r="B119" s="1948"/>
      <c r="C119" s="1950"/>
      <c r="D119" s="1776"/>
      <c r="E119" s="1754"/>
      <c r="F119" s="1771"/>
      <c r="G119" s="1771"/>
      <c r="H119" s="1771"/>
      <c r="I119" s="1771"/>
      <c r="J119" s="1751"/>
      <c r="K119" s="1751"/>
      <c r="L119" s="1754"/>
      <c r="M119" s="1290">
        <v>1</v>
      </c>
      <c r="N119" s="1293" t="s">
        <v>597</v>
      </c>
      <c r="O119" s="1290">
        <v>0</v>
      </c>
      <c r="P119" s="1294">
        <v>0</v>
      </c>
      <c r="Q119" s="1295">
        <v>1</v>
      </c>
      <c r="R119" s="1295">
        <v>1</v>
      </c>
      <c r="S119" s="1295">
        <v>1</v>
      </c>
      <c r="T119" s="1757"/>
      <c r="U119" s="1757"/>
      <c r="V119" s="1757"/>
      <c r="W119" s="1757"/>
      <c r="X119" s="1757"/>
      <c r="Y119" s="1736"/>
    </row>
    <row r="120" spans="2:25" ht="78.75">
      <c r="B120" s="1948"/>
      <c r="C120" s="1950"/>
      <c r="D120" s="1776"/>
      <c r="E120" s="1754"/>
      <c r="F120" s="1771"/>
      <c r="G120" s="1771"/>
      <c r="H120" s="1771"/>
      <c r="I120" s="1771"/>
      <c r="J120" s="1751"/>
      <c r="K120" s="1751"/>
      <c r="L120" s="1754"/>
      <c r="M120" s="1290">
        <v>1</v>
      </c>
      <c r="N120" s="1291" t="s">
        <v>598</v>
      </c>
      <c r="O120" s="1296">
        <v>0</v>
      </c>
      <c r="P120" s="1297">
        <v>1</v>
      </c>
      <c r="Q120" s="1297">
        <v>1</v>
      </c>
      <c r="R120" s="1297">
        <v>1</v>
      </c>
      <c r="S120" s="1297">
        <v>1</v>
      </c>
      <c r="T120" s="1757"/>
      <c r="U120" s="1757"/>
      <c r="V120" s="1757"/>
      <c r="W120" s="1757"/>
      <c r="X120" s="1757"/>
      <c r="Y120" s="1736"/>
    </row>
    <row r="121" spans="2:25" ht="45">
      <c r="B121" s="1948"/>
      <c r="C121" s="1950"/>
      <c r="D121" s="1776"/>
      <c r="E121" s="1754"/>
      <c r="F121" s="1771"/>
      <c r="G121" s="1771"/>
      <c r="H121" s="1771"/>
      <c r="I121" s="1771"/>
      <c r="J121" s="1751"/>
      <c r="K121" s="1751"/>
      <c r="L121" s="1754"/>
      <c r="M121" s="1290">
        <v>1</v>
      </c>
      <c r="N121" s="1291" t="s">
        <v>599</v>
      </c>
      <c r="O121" s="1296">
        <v>0</v>
      </c>
      <c r="P121" s="1297">
        <v>1</v>
      </c>
      <c r="Q121" s="1297">
        <v>1</v>
      </c>
      <c r="R121" s="1297">
        <v>1</v>
      </c>
      <c r="S121" s="1297">
        <v>1</v>
      </c>
      <c r="T121" s="1757"/>
      <c r="U121" s="1757"/>
      <c r="V121" s="1757"/>
      <c r="W121" s="1757"/>
      <c r="X121" s="1757"/>
      <c r="Y121" s="1736"/>
    </row>
    <row r="122" spans="2:25" ht="123.75">
      <c r="B122" s="1948"/>
      <c r="C122" s="1950"/>
      <c r="D122" s="1776"/>
      <c r="E122" s="1754"/>
      <c r="F122" s="1771"/>
      <c r="G122" s="1771"/>
      <c r="H122" s="1771"/>
      <c r="I122" s="1771"/>
      <c r="J122" s="1751"/>
      <c r="K122" s="1751"/>
      <c r="L122" s="1754"/>
      <c r="M122" s="1290">
        <v>1</v>
      </c>
      <c r="N122" s="1291" t="s">
        <v>600</v>
      </c>
      <c r="O122" s="1296">
        <v>0</v>
      </c>
      <c r="P122" s="1297">
        <v>1</v>
      </c>
      <c r="Q122" s="1297">
        <v>1</v>
      </c>
      <c r="R122" s="1297">
        <v>1</v>
      </c>
      <c r="S122" s="1297">
        <v>1</v>
      </c>
      <c r="T122" s="1757"/>
      <c r="U122" s="1757"/>
      <c r="V122" s="1757"/>
      <c r="W122" s="1757"/>
      <c r="X122" s="1757"/>
      <c r="Y122" s="1736"/>
    </row>
    <row r="123" spans="2:25" ht="79.5" thickBot="1">
      <c r="B123" s="1948"/>
      <c r="C123" s="1950"/>
      <c r="D123" s="1777"/>
      <c r="E123" s="1755"/>
      <c r="F123" s="1772"/>
      <c r="G123" s="1772"/>
      <c r="H123" s="1772"/>
      <c r="I123" s="1772"/>
      <c r="J123" s="1752"/>
      <c r="K123" s="1752"/>
      <c r="L123" s="1755"/>
      <c r="M123" s="1298">
        <v>1</v>
      </c>
      <c r="N123" s="1299" t="s">
        <v>601</v>
      </c>
      <c r="O123" s="1296">
        <v>0</v>
      </c>
      <c r="P123" s="1297">
        <v>1</v>
      </c>
      <c r="Q123" s="1297">
        <v>1</v>
      </c>
      <c r="R123" s="1297">
        <v>1</v>
      </c>
      <c r="S123" s="1297">
        <v>1</v>
      </c>
      <c r="T123" s="1758"/>
      <c r="U123" s="1758"/>
      <c r="V123" s="1758"/>
      <c r="W123" s="1758"/>
      <c r="X123" s="1758"/>
      <c r="Y123" s="1737"/>
    </row>
    <row r="124" spans="2:25" ht="15.75" thickBot="1">
      <c r="B124" s="1948"/>
      <c r="C124" s="1950"/>
      <c r="D124" s="1300"/>
      <c r="E124" s="1300"/>
      <c r="F124" s="1301"/>
      <c r="G124" s="1301"/>
      <c r="H124" s="1301"/>
      <c r="I124" s="1301"/>
      <c r="J124" s="1302"/>
      <c r="K124" s="1302"/>
      <c r="L124" s="1303">
        <f>SUM(L116:L123)</f>
        <v>1</v>
      </c>
      <c r="M124" s="1304"/>
      <c r="N124" s="1305"/>
      <c r="O124" s="1306"/>
      <c r="P124" s="1307"/>
      <c r="Q124" s="1307"/>
      <c r="R124" s="1307"/>
      <c r="S124" s="1307"/>
      <c r="T124" s="1306"/>
      <c r="U124" s="1306"/>
      <c r="V124" s="1306"/>
      <c r="W124" s="1306"/>
      <c r="X124" s="1306"/>
      <c r="Y124" s="1308"/>
    </row>
    <row r="125" spans="2:25" ht="79.5">
      <c r="B125" s="1948"/>
      <c r="C125" s="1950"/>
      <c r="D125" s="1738" t="s">
        <v>100</v>
      </c>
      <c r="E125" s="1741">
        <v>0.05</v>
      </c>
      <c r="F125" s="1744"/>
      <c r="G125" s="1747"/>
      <c r="H125" s="1747"/>
      <c r="I125" s="1747"/>
      <c r="J125" s="1738" t="s">
        <v>99</v>
      </c>
      <c r="K125" s="1738"/>
      <c r="L125" s="1741">
        <v>1</v>
      </c>
      <c r="M125" s="1309">
        <v>1</v>
      </c>
      <c r="N125" s="1310" t="s">
        <v>102</v>
      </c>
      <c r="O125" s="1311">
        <v>0</v>
      </c>
      <c r="P125" s="1312">
        <v>25</v>
      </c>
      <c r="Q125" s="1313">
        <v>50</v>
      </c>
      <c r="R125" s="1313">
        <v>75</v>
      </c>
      <c r="S125" s="1313">
        <v>100</v>
      </c>
      <c r="T125" s="1314">
        <v>5000000000</v>
      </c>
      <c r="U125" s="1314">
        <v>5284000000</v>
      </c>
      <c r="V125" s="1314">
        <v>5390000000</v>
      </c>
      <c r="W125" s="1314">
        <v>5788000000</v>
      </c>
      <c r="X125" s="1314">
        <v>21462000000</v>
      </c>
      <c r="Y125" s="1313"/>
    </row>
    <row r="126" spans="2:25" ht="68.25">
      <c r="B126" s="1948"/>
      <c r="C126" s="1950"/>
      <c r="D126" s="1739"/>
      <c r="E126" s="1742"/>
      <c r="F126" s="1745"/>
      <c r="G126" s="1748"/>
      <c r="H126" s="1748"/>
      <c r="I126" s="1748"/>
      <c r="J126" s="1739"/>
      <c r="K126" s="1739"/>
      <c r="L126" s="1739"/>
      <c r="M126" s="1315">
        <v>3</v>
      </c>
      <c r="N126" s="1316" t="s">
        <v>1312</v>
      </c>
      <c r="O126" s="1317">
        <v>0</v>
      </c>
      <c r="P126" s="1318">
        <v>0</v>
      </c>
      <c r="Q126" s="1319">
        <v>1</v>
      </c>
      <c r="R126" s="1319">
        <v>2</v>
      </c>
      <c r="S126" s="1319">
        <v>3</v>
      </c>
      <c r="T126" s="1320"/>
      <c r="U126" s="1320"/>
      <c r="V126" s="1320"/>
      <c r="W126" s="1320"/>
      <c r="X126" s="1320"/>
      <c r="Y126" s="1321"/>
    </row>
    <row r="127" spans="2:25" ht="45.75">
      <c r="B127" s="1948"/>
      <c r="C127" s="1950"/>
      <c r="D127" s="1739"/>
      <c r="E127" s="1742"/>
      <c r="F127" s="1745"/>
      <c r="G127" s="1748"/>
      <c r="H127" s="1748"/>
      <c r="I127" s="1748"/>
      <c r="J127" s="1739"/>
      <c r="K127" s="1739"/>
      <c r="L127" s="1739"/>
      <c r="M127" s="1315">
        <v>4</v>
      </c>
      <c r="N127" s="1316" t="s">
        <v>1313</v>
      </c>
      <c r="O127" s="1317">
        <v>0</v>
      </c>
      <c r="P127" s="1318">
        <v>0</v>
      </c>
      <c r="Q127" s="1319">
        <v>1</v>
      </c>
      <c r="R127" s="1319">
        <v>2</v>
      </c>
      <c r="S127" s="1319">
        <v>4</v>
      </c>
      <c r="T127" s="1320"/>
      <c r="U127" s="1320"/>
      <c r="V127" s="1320"/>
      <c r="W127" s="1320"/>
      <c r="X127" s="1320"/>
      <c r="Y127" s="1321"/>
    </row>
    <row r="128" spans="2:25" ht="45.75">
      <c r="B128" s="1948"/>
      <c r="C128" s="1950"/>
      <c r="D128" s="1739"/>
      <c r="E128" s="1742"/>
      <c r="F128" s="1745"/>
      <c r="G128" s="1748"/>
      <c r="H128" s="1748"/>
      <c r="I128" s="1748"/>
      <c r="J128" s="1739"/>
      <c r="K128" s="1739"/>
      <c r="L128" s="1739"/>
      <c r="M128" s="1315">
        <v>8</v>
      </c>
      <c r="N128" s="1316" t="s">
        <v>1343</v>
      </c>
      <c r="O128" s="1317">
        <v>0</v>
      </c>
      <c r="P128" s="1318">
        <v>0</v>
      </c>
      <c r="Q128" s="1319">
        <v>2</v>
      </c>
      <c r="R128" s="1319">
        <v>4</v>
      </c>
      <c r="S128" s="1319">
        <v>8</v>
      </c>
      <c r="T128" s="1320"/>
      <c r="U128" s="1320"/>
      <c r="V128" s="1320"/>
      <c r="W128" s="1320"/>
      <c r="X128" s="1320"/>
      <c r="Y128" s="1321"/>
    </row>
    <row r="129" spans="2:25" ht="45.75">
      <c r="B129" s="1948"/>
      <c r="C129" s="1950"/>
      <c r="D129" s="1739"/>
      <c r="E129" s="1742"/>
      <c r="F129" s="1745"/>
      <c r="G129" s="1748"/>
      <c r="H129" s="1748"/>
      <c r="I129" s="1748"/>
      <c r="J129" s="1739"/>
      <c r="K129" s="1739"/>
      <c r="L129" s="1739"/>
      <c r="M129" s="1315">
        <v>8</v>
      </c>
      <c r="N129" s="1322" t="s">
        <v>1314</v>
      </c>
      <c r="O129" s="1317">
        <v>0</v>
      </c>
      <c r="P129" s="1318">
        <v>0</v>
      </c>
      <c r="Q129" s="1319">
        <v>2</v>
      </c>
      <c r="R129" s="1319">
        <v>4</v>
      </c>
      <c r="S129" s="1319">
        <v>8</v>
      </c>
      <c r="T129" s="1320"/>
      <c r="U129" s="1320"/>
      <c r="V129" s="1320"/>
      <c r="W129" s="1320"/>
      <c r="X129" s="1320"/>
      <c r="Y129" s="1321"/>
    </row>
    <row r="130" spans="2:25" ht="57">
      <c r="B130" s="1948"/>
      <c r="C130" s="1950"/>
      <c r="D130" s="1739"/>
      <c r="E130" s="1742"/>
      <c r="F130" s="1745"/>
      <c r="G130" s="1748"/>
      <c r="H130" s="1748"/>
      <c r="I130" s="1748"/>
      <c r="J130" s="1739"/>
      <c r="K130" s="1739"/>
      <c r="L130" s="1739"/>
      <c r="M130" s="1315">
        <v>8</v>
      </c>
      <c r="N130" s="1316" t="s">
        <v>1315</v>
      </c>
      <c r="O130" s="1317">
        <v>0</v>
      </c>
      <c r="P130" s="1318">
        <v>0</v>
      </c>
      <c r="Q130" s="1319">
        <v>2</v>
      </c>
      <c r="R130" s="1319">
        <v>4</v>
      </c>
      <c r="S130" s="1319">
        <v>8</v>
      </c>
      <c r="T130" s="1320"/>
      <c r="U130" s="1320"/>
      <c r="V130" s="1320"/>
      <c r="W130" s="1320"/>
      <c r="X130" s="1320"/>
      <c r="Y130" s="1321"/>
    </row>
    <row r="131" spans="2:25" ht="79.5">
      <c r="B131" s="1949"/>
      <c r="C131" s="1950"/>
      <c r="D131" s="1740"/>
      <c r="E131" s="1743"/>
      <c r="F131" s="1746"/>
      <c r="G131" s="1749"/>
      <c r="H131" s="1749"/>
      <c r="I131" s="1749"/>
      <c r="J131" s="1740"/>
      <c r="K131" s="1740"/>
      <c r="L131" s="1740"/>
      <c r="M131" s="1323">
        <v>8</v>
      </c>
      <c r="N131" s="1316" t="s">
        <v>1316</v>
      </c>
      <c r="O131" s="1317">
        <v>0</v>
      </c>
      <c r="P131" s="1324">
        <v>0</v>
      </c>
      <c r="Q131" s="1325">
        <v>2</v>
      </c>
      <c r="R131" s="1325">
        <v>4</v>
      </c>
      <c r="S131" s="1325">
        <v>8</v>
      </c>
      <c r="T131" s="1326"/>
      <c r="U131" s="1326"/>
      <c r="V131" s="1326"/>
      <c r="W131" s="1326"/>
      <c r="X131" s="1326"/>
      <c r="Y131" s="1319"/>
    </row>
    <row r="132" spans="2:25" ht="15">
      <c r="B132" s="949" t="s">
        <v>146</v>
      </c>
      <c r="C132" s="949"/>
      <c r="D132" s="949"/>
      <c r="E132" s="949"/>
      <c r="F132" s="949"/>
      <c r="G132" s="949"/>
      <c r="H132" s="949"/>
      <c r="I132" s="949"/>
      <c r="J132" s="949"/>
      <c r="K132" s="949"/>
      <c r="L132" s="949"/>
      <c r="M132" s="949"/>
      <c r="N132" s="949"/>
      <c r="O132" s="949"/>
      <c r="P132" s="949"/>
      <c r="Q132" s="949"/>
      <c r="R132" s="949"/>
      <c r="S132" s="949"/>
      <c r="T132" s="955">
        <f>SUM(T15:T131)</f>
        <v>8000000000</v>
      </c>
      <c r="U132" s="955">
        <f>SUM(U15:U131)</f>
        <v>14757400000</v>
      </c>
      <c r="V132" s="955">
        <f>SUM(V15:V131)</f>
        <v>11714730340</v>
      </c>
      <c r="W132" s="955">
        <f>SUM(W15:W131)</f>
        <v>17047077138</v>
      </c>
      <c r="X132" s="955">
        <f>SUM(X15:X131)</f>
        <v>50220507478</v>
      </c>
      <c r="Y132" s="955"/>
    </row>
  </sheetData>
  <sheetProtection/>
  <mergeCells count="273">
    <mergeCell ref="H13:H14"/>
    <mergeCell ref="I13:I14"/>
    <mergeCell ref="J13:J14"/>
    <mergeCell ref="H7:S7"/>
    <mergeCell ref="B13:B14"/>
    <mergeCell ref="C13:C14"/>
    <mergeCell ref="D13:D14"/>
    <mergeCell ref="E13:E14"/>
    <mergeCell ref="F13:F14"/>
    <mergeCell ref="C11:Y11"/>
    <mergeCell ref="T13:T14"/>
    <mergeCell ref="U13:U14"/>
    <mergeCell ref="V13:V14"/>
    <mergeCell ref="W13:W14"/>
    <mergeCell ref="X13:X14"/>
    <mergeCell ref="Y13:Y14"/>
    <mergeCell ref="T7:Y7"/>
    <mergeCell ref="N9:X9"/>
    <mergeCell ref="N10:X10"/>
    <mergeCell ref="B3:G7"/>
    <mergeCell ref="H3:S5"/>
    <mergeCell ref="T3:Y5"/>
    <mergeCell ref="H6:S6"/>
    <mergeCell ref="T6:Y6"/>
    <mergeCell ref="J71:J84"/>
    <mergeCell ref="J69:J70"/>
    <mergeCell ref="E68:E88"/>
    <mergeCell ref="D90:D96"/>
    <mergeCell ref="E90:E96"/>
    <mergeCell ref="D68:D88"/>
    <mergeCell ref="F68:F84"/>
    <mergeCell ref="G68:G84"/>
    <mergeCell ref="H68:H84"/>
    <mergeCell ref="I68:I84"/>
    <mergeCell ref="C10:M10"/>
    <mergeCell ref="C9:M9"/>
    <mergeCell ref="N13:N14"/>
    <mergeCell ref="O13:O14"/>
    <mergeCell ref="B15:B131"/>
    <mergeCell ref="C15:C131"/>
    <mergeCell ref="D15:D24"/>
    <mergeCell ref="E15:E24"/>
    <mergeCell ref="F15:F24"/>
    <mergeCell ref="F51:F66"/>
    <mergeCell ref="T33:T36"/>
    <mergeCell ref="U33:U36"/>
    <mergeCell ref="V33:V36"/>
    <mergeCell ref="W33:W36"/>
    <mergeCell ref="K13:K14"/>
    <mergeCell ref="L13:L14"/>
    <mergeCell ref="M13:M14"/>
    <mergeCell ref="Y26:Y29"/>
    <mergeCell ref="K26:K29"/>
    <mergeCell ref="L26:L29"/>
    <mergeCell ref="M26:M29"/>
    <mergeCell ref="N26:N29"/>
    <mergeCell ref="O26:O29"/>
    <mergeCell ref="P26:P29"/>
    <mergeCell ref="T26:T29"/>
    <mergeCell ref="X26:X29"/>
    <mergeCell ref="U26:U29"/>
    <mergeCell ref="V26:V29"/>
    <mergeCell ref="W26:W29"/>
    <mergeCell ref="Y30:Y32"/>
    <mergeCell ref="D26:D36"/>
    <mergeCell ref="E26:E36"/>
    <mergeCell ref="F26:F36"/>
    <mergeCell ref="G26:G36"/>
    <mergeCell ref="H26:H36"/>
    <mergeCell ref="I26:I36"/>
    <mergeCell ref="K33:K36"/>
    <mergeCell ref="G15:G24"/>
    <mergeCell ref="H15:H24"/>
    <mergeCell ref="I15:I24"/>
    <mergeCell ref="L30:L32"/>
    <mergeCell ref="T30:T32"/>
    <mergeCell ref="J26:J29"/>
    <mergeCell ref="J30:J32"/>
    <mergeCell ref="K30:K32"/>
    <mergeCell ref="L33:L36"/>
    <mergeCell ref="L15:L24"/>
    <mergeCell ref="T15:T24"/>
    <mergeCell ref="U15:U24"/>
    <mergeCell ref="V15:V24"/>
    <mergeCell ref="G13:G14"/>
    <mergeCell ref="K58:K66"/>
    <mergeCell ref="L58:L66"/>
    <mergeCell ref="J15:J24"/>
    <mergeCell ref="K15:K24"/>
    <mergeCell ref="J33:J36"/>
    <mergeCell ref="Y38:Y50"/>
    <mergeCell ref="U51:U57"/>
    <mergeCell ref="V51:V57"/>
    <mergeCell ref="W51:W57"/>
    <mergeCell ref="X51:X57"/>
    <mergeCell ref="W15:W24"/>
    <mergeCell ref="X15:X24"/>
    <mergeCell ref="Y15:Y24"/>
    <mergeCell ref="U30:U32"/>
    <mergeCell ref="X30:X32"/>
    <mergeCell ref="T38:T50"/>
    <mergeCell ref="G51:G66"/>
    <mergeCell ref="H51:H66"/>
    <mergeCell ref="I51:I66"/>
    <mergeCell ref="J51:J57"/>
    <mergeCell ref="K51:K57"/>
    <mergeCell ref="L38:L50"/>
    <mergeCell ref="Y51:Y57"/>
    <mergeCell ref="J58:J66"/>
    <mergeCell ref="T58:T66"/>
    <mergeCell ref="U58:U66"/>
    <mergeCell ref="V58:V66"/>
    <mergeCell ref="W58:W66"/>
    <mergeCell ref="X58:X66"/>
    <mergeCell ref="Y58:Y66"/>
    <mergeCell ref="L51:L57"/>
    <mergeCell ref="Y33:Y36"/>
    <mergeCell ref="D38:D66"/>
    <mergeCell ref="E38:E66"/>
    <mergeCell ref="F38:F50"/>
    <mergeCell ref="G38:G50"/>
    <mergeCell ref="H38:H50"/>
    <mergeCell ref="I38:I50"/>
    <mergeCell ref="J38:J50"/>
    <mergeCell ref="K38:K50"/>
    <mergeCell ref="T51:T57"/>
    <mergeCell ref="Q26:Q29"/>
    <mergeCell ref="R26:R29"/>
    <mergeCell ref="S26:S29"/>
    <mergeCell ref="W38:W50"/>
    <mergeCell ref="X38:X50"/>
    <mergeCell ref="V38:V50"/>
    <mergeCell ref="U38:U50"/>
    <mergeCell ref="X33:X36"/>
    <mergeCell ref="V30:V32"/>
    <mergeCell ref="W30:W32"/>
    <mergeCell ref="Y68:Y88"/>
    <mergeCell ref="K69:K70"/>
    <mergeCell ref="L69:L70"/>
    <mergeCell ref="T69:T70"/>
    <mergeCell ref="U69:U70"/>
    <mergeCell ref="V69:V70"/>
    <mergeCell ref="W69:W70"/>
    <mergeCell ref="X69:X70"/>
    <mergeCell ref="W90:W93"/>
    <mergeCell ref="V85:V88"/>
    <mergeCell ref="X71:X84"/>
    <mergeCell ref="K71:K84"/>
    <mergeCell ref="L71:L84"/>
    <mergeCell ref="T71:T84"/>
    <mergeCell ref="U71:U84"/>
    <mergeCell ref="V71:V84"/>
    <mergeCell ref="W71:W84"/>
    <mergeCell ref="U85:U88"/>
    <mergeCell ref="L85:L88"/>
    <mergeCell ref="T85:T88"/>
    <mergeCell ref="W85:W88"/>
    <mergeCell ref="X85:X88"/>
    <mergeCell ref="F90:F96"/>
    <mergeCell ref="G90:G96"/>
    <mergeCell ref="H90:H96"/>
    <mergeCell ref="I90:I96"/>
    <mergeCell ref="J90:J93"/>
    <mergeCell ref="L90:L93"/>
    <mergeCell ref="F85:F88"/>
    <mergeCell ref="G85:G88"/>
    <mergeCell ref="H85:H88"/>
    <mergeCell ref="I85:I88"/>
    <mergeCell ref="J85:J88"/>
    <mergeCell ref="K85:K88"/>
    <mergeCell ref="U94:U96"/>
    <mergeCell ref="V94:V96"/>
    <mergeCell ref="W94:W96"/>
    <mergeCell ref="X94:X96"/>
    <mergeCell ref="K90:K93"/>
    <mergeCell ref="Y94:Y96"/>
    <mergeCell ref="X90:X93"/>
    <mergeCell ref="T90:T93"/>
    <mergeCell ref="U90:U93"/>
    <mergeCell ref="V90:V93"/>
    <mergeCell ref="J104:J110"/>
    <mergeCell ref="K104:K110"/>
    <mergeCell ref="L104:L110"/>
    <mergeCell ref="T104:T110"/>
    <mergeCell ref="U104:U110"/>
    <mergeCell ref="Y90:Y93"/>
    <mergeCell ref="J94:J96"/>
    <mergeCell ref="K94:K96"/>
    <mergeCell ref="L94:L96"/>
    <mergeCell ref="T94:T96"/>
    <mergeCell ref="S105:S108"/>
    <mergeCell ref="U102:U103"/>
    <mergeCell ref="V102:V103"/>
    <mergeCell ref="W102:W103"/>
    <mergeCell ref="X102:X103"/>
    <mergeCell ref="Y102:Y110"/>
    <mergeCell ref="M105:M108"/>
    <mergeCell ref="N105:N108"/>
    <mergeCell ref="O105:O108"/>
    <mergeCell ref="P105:P108"/>
    <mergeCell ref="Q105:Q108"/>
    <mergeCell ref="R105:R108"/>
    <mergeCell ref="Y98:Y100"/>
    <mergeCell ref="D102:D110"/>
    <mergeCell ref="E102:E110"/>
    <mergeCell ref="J102:J103"/>
    <mergeCell ref="K102:K103"/>
    <mergeCell ref="L102:L103"/>
    <mergeCell ref="T102:T103"/>
    <mergeCell ref="V104:V110"/>
    <mergeCell ref="W104:W110"/>
    <mergeCell ref="X104:X110"/>
    <mergeCell ref="W113:W114"/>
    <mergeCell ref="X113:X114"/>
    <mergeCell ref="K113:K114"/>
    <mergeCell ref="L113:L114"/>
    <mergeCell ref="D98:D100"/>
    <mergeCell ref="E98:E100"/>
    <mergeCell ref="F98:F100"/>
    <mergeCell ref="G98:G100"/>
    <mergeCell ref="H98:H100"/>
    <mergeCell ref="I98:I100"/>
    <mergeCell ref="U116:U117"/>
    <mergeCell ref="V116:V117"/>
    <mergeCell ref="W116:W117"/>
    <mergeCell ref="X116:X117"/>
    <mergeCell ref="Y116:Y117"/>
    <mergeCell ref="F112:F114"/>
    <mergeCell ref="G112:G114"/>
    <mergeCell ref="H112:H114"/>
    <mergeCell ref="I112:I114"/>
    <mergeCell ref="V113:V114"/>
    <mergeCell ref="Y113:Y114"/>
    <mergeCell ref="D116:D123"/>
    <mergeCell ref="E116:E123"/>
    <mergeCell ref="F116:F123"/>
    <mergeCell ref="G116:G123"/>
    <mergeCell ref="P113:P114"/>
    <mergeCell ref="J116:J117"/>
    <mergeCell ref="K116:K117"/>
    <mergeCell ref="L116:L117"/>
    <mergeCell ref="T116:T117"/>
    <mergeCell ref="H116:H123"/>
    <mergeCell ref="I116:I123"/>
    <mergeCell ref="Q113:Q114"/>
    <mergeCell ref="R113:R114"/>
    <mergeCell ref="S113:S114"/>
    <mergeCell ref="T113:T114"/>
    <mergeCell ref="J113:J114"/>
    <mergeCell ref="M113:M114"/>
    <mergeCell ref="N113:N114"/>
    <mergeCell ref="O113:O114"/>
    <mergeCell ref="U113:U114"/>
    <mergeCell ref="D112:D114"/>
    <mergeCell ref="E112:E114"/>
    <mergeCell ref="L118:L123"/>
    <mergeCell ref="T118:T123"/>
    <mergeCell ref="J125:J131"/>
    <mergeCell ref="U118:U123"/>
    <mergeCell ref="L125:L131"/>
    <mergeCell ref="X118:X123"/>
    <mergeCell ref="V118:V123"/>
    <mergeCell ref="W118:W123"/>
    <mergeCell ref="Y118:Y123"/>
    <mergeCell ref="D125:D131"/>
    <mergeCell ref="E125:E131"/>
    <mergeCell ref="F125:F131"/>
    <mergeCell ref="G125:G131"/>
    <mergeCell ref="H125:H131"/>
    <mergeCell ref="I125:I131"/>
    <mergeCell ref="K125:K131"/>
    <mergeCell ref="J118:J123"/>
    <mergeCell ref="K118:K123"/>
  </mergeCells>
  <printOptions/>
  <pageMargins left="1.3779527559055118" right="0.7086614173228347" top="0.7480314960629921" bottom="0.7480314960629921" header="0.31496062992125984" footer="0.31496062992125984"/>
  <pageSetup orientation="landscape" paperSize="5" scale="55" r:id="rId2"/>
  <drawing r:id="rId1"/>
</worksheet>
</file>

<file path=xl/worksheets/sheet8.xml><?xml version="1.0" encoding="utf-8"?>
<worksheet xmlns="http://schemas.openxmlformats.org/spreadsheetml/2006/main" xmlns:r="http://schemas.openxmlformats.org/officeDocument/2006/relationships">
  <sheetPr>
    <tabColor rgb="FF00B050"/>
  </sheetPr>
  <dimension ref="B3:Y45"/>
  <sheetViews>
    <sheetView showGridLines="0" showRowColHeaders="0" zoomScalePageLayoutView="0" workbookViewId="0" topLeftCell="A1">
      <selection activeCell="C9" sqref="B9:C11"/>
    </sheetView>
  </sheetViews>
  <sheetFormatPr defaultColWidth="11.421875" defaultRowHeight="15"/>
  <cols>
    <col min="1" max="1" width="2.421875" style="0" customWidth="1"/>
    <col min="2" max="2" width="12.57421875" style="0" customWidth="1"/>
    <col min="25" max="25" width="13.00390625" style="0" customWidth="1"/>
  </cols>
  <sheetData>
    <row r="3" spans="2:25" ht="15">
      <c r="B3" s="1366"/>
      <c r="C3" s="1366"/>
      <c r="D3" s="1366"/>
      <c r="E3" s="1366"/>
      <c r="F3" s="1366"/>
      <c r="G3" s="1366"/>
      <c r="H3" s="1465" t="s">
        <v>148</v>
      </c>
      <c r="I3" s="1465"/>
      <c r="J3" s="1465"/>
      <c r="K3" s="1465"/>
      <c r="L3" s="1465"/>
      <c r="M3" s="1465"/>
      <c r="N3" s="1465"/>
      <c r="O3" s="1465"/>
      <c r="P3" s="1465"/>
      <c r="Q3" s="1465"/>
      <c r="R3" s="1465"/>
      <c r="S3" s="1465"/>
      <c r="T3" s="1465" t="s">
        <v>149</v>
      </c>
      <c r="U3" s="1466"/>
      <c r="V3" s="1466"/>
      <c r="W3" s="1466"/>
      <c r="X3" s="1466"/>
      <c r="Y3" s="1466"/>
    </row>
    <row r="4" spans="2:25" ht="15">
      <c r="B4" s="1366"/>
      <c r="C4" s="1366"/>
      <c r="D4" s="1366"/>
      <c r="E4" s="1366"/>
      <c r="F4" s="1366"/>
      <c r="G4" s="1366"/>
      <c r="H4" s="1465"/>
      <c r="I4" s="1465"/>
      <c r="J4" s="1465"/>
      <c r="K4" s="1465"/>
      <c r="L4" s="1465"/>
      <c r="M4" s="1465"/>
      <c r="N4" s="1465"/>
      <c r="O4" s="1465"/>
      <c r="P4" s="1465"/>
      <c r="Q4" s="1465"/>
      <c r="R4" s="1465"/>
      <c r="S4" s="1465"/>
      <c r="T4" s="1466"/>
      <c r="U4" s="1466"/>
      <c r="V4" s="1466"/>
      <c r="W4" s="1466"/>
      <c r="X4" s="1466"/>
      <c r="Y4" s="1466"/>
    </row>
    <row r="5" spans="2:25" ht="15">
      <c r="B5" s="1366"/>
      <c r="C5" s="1366"/>
      <c r="D5" s="1366"/>
      <c r="E5" s="1366"/>
      <c r="F5" s="1366"/>
      <c r="G5" s="1366"/>
      <c r="H5" s="1465"/>
      <c r="I5" s="1465"/>
      <c r="J5" s="1465"/>
      <c r="K5" s="1465"/>
      <c r="L5" s="1465"/>
      <c r="M5" s="1465"/>
      <c r="N5" s="1465"/>
      <c r="O5" s="1465"/>
      <c r="P5" s="1465"/>
      <c r="Q5" s="1465"/>
      <c r="R5" s="1465"/>
      <c r="S5" s="1465"/>
      <c r="T5" s="1466"/>
      <c r="U5" s="1466"/>
      <c r="V5" s="1466"/>
      <c r="W5" s="1466"/>
      <c r="X5" s="1466"/>
      <c r="Y5" s="1466"/>
    </row>
    <row r="6" spans="2:25" ht="20.25">
      <c r="B6" s="1366"/>
      <c r="C6" s="1366"/>
      <c r="D6" s="1366"/>
      <c r="E6" s="1366"/>
      <c r="F6" s="1366"/>
      <c r="G6" s="1366"/>
      <c r="H6" s="1365" t="s">
        <v>150</v>
      </c>
      <c r="I6" s="1384"/>
      <c r="J6" s="1384"/>
      <c r="K6" s="1384"/>
      <c r="L6" s="1384"/>
      <c r="M6" s="1384"/>
      <c r="N6" s="1384"/>
      <c r="O6" s="1384"/>
      <c r="P6" s="1384"/>
      <c r="Q6" s="1384"/>
      <c r="R6" s="1384"/>
      <c r="S6" s="1384"/>
      <c r="T6" s="1365" t="s">
        <v>151</v>
      </c>
      <c r="U6" s="1366"/>
      <c r="V6" s="1366"/>
      <c r="W6" s="1366"/>
      <c r="X6" s="1366"/>
      <c r="Y6" s="1366"/>
    </row>
    <row r="7" spans="2:25" ht="20.25">
      <c r="B7" s="1366"/>
      <c r="C7" s="1366"/>
      <c r="D7" s="1366"/>
      <c r="E7" s="1366"/>
      <c r="F7" s="1366"/>
      <c r="G7" s="1366"/>
      <c r="H7" s="1365" t="s">
        <v>152</v>
      </c>
      <c r="I7" s="1384"/>
      <c r="J7" s="1384"/>
      <c r="K7" s="1384"/>
      <c r="L7" s="1384"/>
      <c r="M7" s="1384"/>
      <c r="N7" s="1384"/>
      <c r="O7" s="1384"/>
      <c r="P7" s="1384"/>
      <c r="Q7" s="1384"/>
      <c r="R7" s="1384"/>
      <c r="S7" s="1384"/>
      <c r="T7" s="1365" t="s">
        <v>153</v>
      </c>
      <c r="U7" s="1366"/>
      <c r="V7" s="1366"/>
      <c r="W7" s="1366"/>
      <c r="X7" s="1366"/>
      <c r="Y7" s="1366"/>
    </row>
    <row r="8" spans="2:25" ht="15">
      <c r="B8" s="5"/>
      <c r="C8" s="5"/>
      <c r="D8" s="5"/>
      <c r="E8" s="5"/>
      <c r="F8" s="5"/>
      <c r="G8" s="5"/>
      <c r="H8" s="5"/>
      <c r="I8" s="5"/>
      <c r="J8" s="5"/>
      <c r="K8" s="5"/>
      <c r="L8" s="5"/>
      <c r="M8" s="5"/>
      <c r="N8" s="996"/>
      <c r="O8" s="996"/>
      <c r="P8" s="996"/>
      <c r="Q8" s="996"/>
      <c r="R8" s="996"/>
      <c r="S8" s="996"/>
      <c r="T8" s="996"/>
      <c r="U8" s="996"/>
      <c r="V8" s="996"/>
      <c r="W8" s="996"/>
      <c r="X8" s="996"/>
      <c r="Y8" s="996"/>
    </row>
    <row r="9" spans="2:25" ht="15">
      <c r="B9" s="1041" t="s">
        <v>103</v>
      </c>
      <c r="C9" s="1076"/>
      <c r="D9" s="1045" t="s">
        <v>1369</v>
      </c>
      <c r="E9" s="1042"/>
      <c r="F9" s="1042"/>
      <c r="G9" s="1042"/>
      <c r="H9" s="1042"/>
      <c r="I9" s="1042"/>
      <c r="J9" s="1983"/>
      <c r="K9" s="1983"/>
      <c r="L9" s="1983"/>
      <c r="M9" s="1983"/>
      <c r="N9" s="1657"/>
      <c r="O9" s="1719"/>
      <c r="P9" s="1719"/>
      <c r="Q9" s="1719"/>
      <c r="R9" s="1719"/>
      <c r="S9" s="1719"/>
      <c r="T9" s="1719"/>
      <c r="U9" s="1719"/>
      <c r="V9" s="1719"/>
      <c r="W9" s="1719"/>
      <c r="X9" s="1574"/>
      <c r="Y9" s="1043"/>
    </row>
    <row r="10" spans="2:25" ht="15">
      <c r="B10" s="1041" t="s">
        <v>154</v>
      </c>
      <c r="C10" s="1076"/>
      <c r="D10" s="1045" t="s">
        <v>1370</v>
      </c>
      <c r="E10" s="1042"/>
      <c r="F10" s="1042"/>
      <c r="G10" s="1042"/>
      <c r="H10" s="1042"/>
      <c r="I10" s="1042"/>
      <c r="J10" s="1042"/>
      <c r="K10" s="1042"/>
      <c r="L10" s="1042"/>
      <c r="M10" s="1043"/>
      <c r="N10" s="1045"/>
      <c r="O10" s="1042"/>
      <c r="P10" s="1042"/>
      <c r="Q10" s="1042"/>
      <c r="R10" s="1042"/>
      <c r="S10" s="1042"/>
      <c r="T10" s="1042"/>
      <c r="U10" s="1042"/>
      <c r="V10" s="1042"/>
      <c r="W10" s="1042"/>
      <c r="X10" s="1042"/>
      <c r="Y10" s="1043"/>
    </row>
    <row r="11" spans="2:25" ht="15">
      <c r="B11" s="1041" t="s">
        <v>1387</v>
      </c>
      <c r="C11" s="1076"/>
      <c r="D11" s="1659" t="s">
        <v>1394</v>
      </c>
      <c r="E11" s="1660"/>
      <c r="F11" s="1660"/>
      <c r="G11" s="1660"/>
      <c r="H11" s="1660"/>
      <c r="I11" s="1660"/>
      <c r="J11" s="1660"/>
      <c r="K11" s="1660"/>
      <c r="L11" s="1660"/>
      <c r="M11" s="1660"/>
      <c r="N11" s="1660"/>
      <c r="O11" s="1660"/>
      <c r="P11" s="1660"/>
      <c r="Q11" s="1660"/>
      <c r="R11" s="1660"/>
      <c r="S11" s="1660"/>
      <c r="T11" s="1660"/>
      <c r="U11" s="1660"/>
      <c r="V11" s="1660"/>
      <c r="W11" s="1660"/>
      <c r="X11" s="1660"/>
      <c r="Y11" s="1661"/>
    </row>
    <row r="12" spans="2:25" ht="15">
      <c r="B12" s="5"/>
      <c r="C12" s="5"/>
      <c r="D12" s="1062"/>
      <c r="E12" s="1062"/>
      <c r="F12" s="1062"/>
      <c r="G12" s="1062"/>
      <c r="H12" s="1062"/>
      <c r="I12" s="1062"/>
      <c r="J12" s="1062"/>
      <c r="K12" s="1062"/>
      <c r="L12" s="1062"/>
      <c r="M12" s="1062"/>
      <c r="N12" s="996"/>
      <c r="O12" s="996"/>
      <c r="P12" s="996"/>
      <c r="Q12" s="996"/>
      <c r="R12" s="996"/>
      <c r="S12" s="996"/>
      <c r="T12" s="996"/>
      <c r="U12" s="996"/>
      <c r="V12" s="996"/>
      <c r="W12" s="996"/>
      <c r="X12" s="996"/>
      <c r="Y12" s="996"/>
    </row>
    <row r="13" spans="2:25" ht="24">
      <c r="B13" s="1995" t="s">
        <v>103</v>
      </c>
      <c r="C13" s="1997" t="s">
        <v>140</v>
      </c>
      <c r="D13" s="1999" t="s">
        <v>0</v>
      </c>
      <c r="E13" s="1984" t="s">
        <v>140</v>
      </c>
      <c r="F13" s="1984" t="s">
        <v>141</v>
      </c>
      <c r="G13" s="1984" t="s">
        <v>104</v>
      </c>
      <c r="H13" s="1984" t="s">
        <v>142</v>
      </c>
      <c r="I13" s="1984" t="s">
        <v>143</v>
      </c>
      <c r="J13" s="1984" t="s">
        <v>1</v>
      </c>
      <c r="K13" s="1984" t="s">
        <v>2</v>
      </c>
      <c r="L13" s="1984" t="s">
        <v>140</v>
      </c>
      <c r="M13" s="1984" t="s">
        <v>3</v>
      </c>
      <c r="N13" s="1984" t="s">
        <v>4</v>
      </c>
      <c r="O13" s="1985" t="s">
        <v>5</v>
      </c>
      <c r="P13" s="1349" t="s">
        <v>144</v>
      </c>
      <c r="Q13" s="1349" t="s">
        <v>144</v>
      </c>
      <c r="R13" s="1349" t="s">
        <v>145</v>
      </c>
      <c r="S13" s="1349" t="s">
        <v>144</v>
      </c>
      <c r="T13" s="2000">
        <v>2012</v>
      </c>
      <c r="U13" s="2000">
        <v>2013</v>
      </c>
      <c r="V13" s="2000">
        <v>2014</v>
      </c>
      <c r="W13" s="2000">
        <v>2015</v>
      </c>
      <c r="X13" s="2000" t="s">
        <v>146</v>
      </c>
      <c r="Y13" s="2000" t="s">
        <v>147</v>
      </c>
    </row>
    <row r="14" spans="2:25" ht="15">
      <c r="B14" s="1996"/>
      <c r="C14" s="1998"/>
      <c r="D14" s="1999"/>
      <c r="E14" s="1984"/>
      <c r="F14" s="1984"/>
      <c r="G14" s="1984"/>
      <c r="H14" s="1984"/>
      <c r="I14" s="1984"/>
      <c r="J14" s="1984"/>
      <c r="K14" s="1984"/>
      <c r="L14" s="1984"/>
      <c r="M14" s="1984"/>
      <c r="N14" s="1984"/>
      <c r="O14" s="1985"/>
      <c r="P14" s="1350">
        <v>2012</v>
      </c>
      <c r="Q14" s="1350">
        <v>2013</v>
      </c>
      <c r="R14" s="1350">
        <v>2014</v>
      </c>
      <c r="S14" s="1350">
        <v>2015</v>
      </c>
      <c r="T14" s="2001"/>
      <c r="U14" s="2001"/>
      <c r="V14" s="2001"/>
      <c r="W14" s="2001"/>
      <c r="X14" s="2001"/>
      <c r="Y14" s="2001"/>
    </row>
    <row r="15" spans="2:25" ht="192">
      <c r="B15" s="1986" t="s">
        <v>1229</v>
      </c>
      <c r="C15" s="1989">
        <v>1.06</v>
      </c>
      <c r="D15" s="594" t="s">
        <v>100</v>
      </c>
      <c r="E15" s="612">
        <v>5</v>
      </c>
      <c r="F15" s="613"/>
      <c r="G15" s="612" t="s">
        <v>1230</v>
      </c>
      <c r="H15" s="613">
        <v>0</v>
      </c>
      <c r="I15" s="613">
        <f>+F15+H15</f>
        <v>0</v>
      </c>
      <c r="J15" s="594" t="s">
        <v>99</v>
      </c>
      <c r="K15" s="594" t="s">
        <v>101</v>
      </c>
      <c r="L15" s="944">
        <v>1</v>
      </c>
      <c r="M15" s="614">
        <v>1</v>
      </c>
      <c r="N15" s="594" t="s">
        <v>664</v>
      </c>
      <c r="O15" s="594" t="s">
        <v>665</v>
      </c>
      <c r="P15" s="615">
        <v>0</v>
      </c>
      <c r="Q15" s="616"/>
      <c r="R15" s="616"/>
      <c r="S15" s="616"/>
      <c r="T15" s="617">
        <v>0</v>
      </c>
      <c r="U15" s="617">
        <v>10247</v>
      </c>
      <c r="V15" s="617">
        <v>10247</v>
      </c>
      <c r="W15" s="617">
        <v>11220</v>
      </c>
      <c r="X15" s="617">
        <f>SUM(T15:W15)</f>
        <v>31714</v>
      </c>
      <c r="Y15" s="618" t="s">
        <v>1250</v>
      </c>
    </row>
    <row r="16" spans="2:25" ht="22.5">
      <c r="B16" s="1987"/>
      <c r="C16" s="1990"/>
      <c r="D16" s="626" t="s">
        <v>1251</v>
      </c>
      <c r="E16" s="627">
        <f>SUM(E15)</f>
        <v>5</v>
      </c>
      <c r="F16" s="628"/>
      <c r="G16" s="627"/>
      <c r="H16" s="628"/>
      <c r="I16" s="628"/>
      <c r="J16" s="626"/>
      <c r="K16" s="594"/>
      <c r="L16" s="944">
        <v>1</v>
      </c>
      <c r="M16" s="614"/>
      <c r="N16" s="594"/>
      <c r="O16" s="594"/>
      <c r="P16" s="615"/>
      <c r="Q16" s="616"/>
      <c r="R16" s="616"/>
      <c r="S16" s="616"/>
      <c r="T16" s="617"/>
      <c r="U16" s="617"/>
      <c r="V16" s="617"/>
      <c r="W16" s="617"/>
      <c r="X16" s="617"/>
      <c r="Y16" s="618"/>
    </row>
    <row r="17" spans="2:25" ht="90">
      <c r="B17" s="1987"/>
      <c r="C17" s="1990"/>
      <c r="D17" s="1992" t="s">
        <v>666</v>
      </c>
      <c r="E17" s="1430">
        <v>70</v>
      </c>
      <c r="F17" s="1430">
        <v>12</v>
      </c>
      <c r="G17" s="1430" t="s">
        <v>1231</v>
      </c>
      <c r="H17" s="1430">
        <v>73</v>
      </c>
      <c r="I17" s="1430">
        <f>+F17+H17</f>
        <v>85</v>
      </c>
      <c r="J17" s="1992" t="s">
        <v>667</v>
      </c>
      <c r="K17" s="596" t="s">
        <v>670</v>
      </c>
      <c r="L17" s="945">
        <f>+X17/SUM($X$17:$X$24)</f>
        <v>0.5333333333333333</v>
      </c>
      <c r="M17" s="597" t="s">
        <v>1232</v>
      </c>
      <c r="N17" s="598" t="s">
        <v>674</v>
      </c>
      <c r="O17" s="597">
        <v>9</v>
      </c>
      <c r="P17" s="599">
        <v>9</v>
      </c>
      <c r="Q17" s="599">
        <v>16</v>
      </c>
      <c r="R17" s="599">
        <v>23</v>
      </c>
      <c r="S17" s="599">
        <v>30</v>
      </c>
      <c r="T17" s="600">
        <v>0</v>
      </c>
      <c r="U17" s="600">
        <v>80</v>
      </c>
      <c r="V17" s="600">
        <v>0</v>
      </c>
      <c r="W17" s="600">
        <v>0</v>
      </c>
      <c r="X17" s="600">
        <f aca="true" t="shared" si="0" ref="X17:X32">SUM(T17:W17)</f>
        <v>80</v>
      </c>
      <c r="Y17" s="601" t="s">
        <v>1233</v>
      </c>
    </row>
    <row r="18" spans="2:25" ht="112.5">
      <c r="B18" s="1987"/>
      <c r="C18" s="1990"/>
      <c r="D18" s="1993"/>
      <c r="E18" s="1431"/>
      <c r="F18" s="1431"/>
      <c r="G18" s="1431"/>
      <c r="H18" s="1431"/>
      <c r="I18" s="1431"/>
      <c r="J18" s="1993"/>
      <c r="K18" s="596" t="s">
        <v>671</v>
      </c>
      <c r="L18" s="945">
        <f aca="true" t="shared" si="1" ref="L18:L23">+X18/SUM($X$17:$X$24)</f>
        <v>0.13333333333333333</v>
      </c>
      <c r="M18" s="597" t="s">
        <v>1232</v>
      </c>
      <c r="N18" s="598" t="s">
        <v>675</v>
      </c>
      <c r="O18" s="597">
        <v>13</v>
      </c>
      <c r="P18" s="599">
        <v>13</v>
      </c>
      <c r="Q18" s="599">
        <v>18</v>
      </c>
      <c r="R18" s="599">
        <v>24</v>
      </c>
      <c r="S18" s="599">
        <v>30</v>
      </c>
      <c r="T18" s="600">
        <v>0</v>
      </c>
      <c r="U18" s="600">
        <v>20</v>
      </c>
      <c r="V18" s="600">
        <v>0</v>
      </c>
      <c r="W18" s="600">
        <v>0</v>
      </c>
      <c r="X18" s="600">
        <f t="shared" si="0"/>
        <v>20</v>
      </c>
      <c r="Y18" s="601" t="s">
        <v>1233</v>
      </c>
    </row>
    <row r="19" spans="2:25" ht="90">
      <c r="B19" s="1987"/>
      <c r="C19" s="1990"/>
      <c r="D19" s="1993"/>
      <c r="E19" s="1431"/>
      <c r="F19" s="1431"/>
      <c r="G19" s="1431"/>
      <c r="H19" s="1431"/>
      <c r="I19" s="1431"/>
      <c r="J19" s="1994"/>
      <c r="K19" s="596" t="s">
        <v>1234</v>
      </c>
      <c r="L19" s="945">
        <f t="shared" si="1"/>
        <v>0.3333333333333333</v>
      </c>
      <c r="M19" s="597">
        <v>30</v>
      </c>
      <c r="N19" s="598" t="s">
        <v>1235</v>
      </c>
      <c r="O19" s="597">
        <v>2</v>
      </c>
      <c r="P19" s="599">
        <v>2</v>
      </c>
      <c r="Q19" s="599">
        <v>10</v>
      </c>
      <c r="R19" s="599">
        <v>19</v>
      </c>
      <c r="S19" s="599">
        <v>30</v>
      </c>
      <c r="T19" s="600"/>
      <c r="U19" s="600">
        <v>50</v>
      </c>
      <c r="V19" s="600"/>
      <c r="W19" s="600"/>
      <c r="X19" s="600">
        <f t="shared" si="0"/>
        <v>50</v>
      </c>
      <c r="Y19" s="601" t="s">
        <v>1233</v>
      </c>
    </row>
    <row r="20" spans="2:25" ht="101.25">
      <c r="B20" s="1987"/>
      <c r="C20" s="1990"/>
      <c r="D20" s="1993"/>
      <c r="E20" s="1431"/>
      <c r="F20" s="1431"/>
      <c r="G20" s="1431"/>
      <c r="H20" s="1431"/>
      <c r="I20" s="1431"/>
      <c r="J20" s="598" t="s">
        <v>668</v>
      </c>
      <c r="K20" s="598" t="s">
        <v>672</v>
      </c>
      <c r="L20" s="945">
        <f t="shared" si="1"/>
        <v>0</v>
      </c>
      <c r="M20" s="597">
        <v>30</v>
      </c>
      <c r="N20" s="596" t="s">
        <v>314</v>
      </c>
      <c r="O20" s="596">
        <v>22</v>
      </c>
      <c r="P20" s="599">
        <v>22</v>
      </c>
      <c r="Q20" s="599">
        <v>24</v>
      </c>
      <c r="R20" s="599">
        <v>27</v>
      </c>
      <c r="S20" s="599">
        <v>30</v>
      </c>
      <c r="T20" s="600">
        <v>0</v>
      </c>
      <c r="U20" s="600">
        <v>0</v>
      </c>
      <c r="V20" s="600">
        <v>0</v>
      </c>
      <c r="W20" s="600">
        <v>0</v>
      </c>
      <c r="X20" s="600">
        <f t="shared" si="0"/>
        <v>0</v>
      </c>
      <c r="Y20" s="601" t="s">
        <v>1233</v>
      </c>
    </row>
    <row r="21" spans="2:25" ht="135">
      <c r="B21" s="1987"/>
      <c r="C21" s="1990"/>
      <c r="D21" s="1993"/>
      <c r="E21" s="1431"/>
      <c r="F21" s="1431"/>
      <c r="G21" s="1431"/>
      <c r="H21" s="1431"/>
      <c r="I21" s="1431"/>
      <c r="J21" s="1992" t="s">
        <v>669</v>
      </c>
      <c r="K21" s="598" t="s">
        <v>673</v>
      </c>
      <c r="L21" s="945">
        <f t="shared" si="1"/>
        <v>0</v>
      </c>
      <c r="M21" s="597">
        <v>30</v>
      </c>
      <c r="N21" s="598" t="s">
        <v>1236</v>
      </c>
      <c r="O21" s="596">
        <v>30</v>
      </c>
      <c r="P21" s="599">
        <v>30</v>
      </c>
      <c r="Q21" s="599">
        <v>30</v>
      </c>
      <c r="R21" s="599">
        <v>30</v>
      </c>
      <c r="S21" s="599">
        <v>30</v>
      </c>
      <c r="T21" s="600">
        <v>0</v>
      </c>
      <c r="U21" s="600">
        <v>0</v>
      </c>
      <c r="V21" s="600">
        <v>0</v>
      </c>
      <c r="W21" s="600">
        <v>0</v>
      </c>
      <c r="X21" s="600">
        <f t="shared" si="0"/>
        <v>0</v>
      </c>
      <c r="Y21" s="601" t="s">
        <v>1233</v>
      </c>
    </row>
    <row r="22" spans="2:25" ht="135">
      <c r="B22" s="1987"/>
      <c r="C22" s="1990"/>
      <c r="D22" s="1993"/>
      <c r="E22" s="1431"/>
      <c r="F22" s="1431"/>
      <c r="G22" s="1431"/>
      <c r="H22" s="1431"/>
      <c r="I22" s="1431"/>
      <c r="J22" s="1993"/>
      <c r="K22" s="701" t="s">
        <v>1237</v>
      </c>
      <c r="L22" s="945">
        <f>+X22/SUM($X$17:$X$24)</f>
        <v>0</v>
      </c>
      <c r="M22" s="597">
        <v>2</v>
      </c>
      <c r="N22" s="598" t="s">
        <v>1238</v>
      </c>
      <c r="O22" s="596">
        <v>0</v>
      </c>
      <c r="P22" s="599">
        <v>2</v>
      </c>
      <c r="Q22" s="599">
        <v>2</v>
      </c>
      <c r="R22" s="599">
        <v>2</v>
      </c>
      <c r="S22" s="599">
        <v>2</v>
      </c>
      <c r="T22" s="600">
        <v>0</v>
      </c>
      <c r="U22" s="600">
        <v>0</v>
      </c>
      <c r="V22" s="600">
        <v>0</v>
      </c>
      <c r="W22" s="600">
        <v>0</v>
      </c>
      <c r="X22" s="600">
        <f>SUM(T22:W22)</f>
        <v>0</v>
      </c>
      <c r="Y22" s="601" t="s">
        <v>1233</v>
      </c>
    </row>
    <row r="23" spans="2:25" ht="146.25">
      <c r="B23" s="1987"/>
      <c r="C23" s="1990"/>
      <c r="D23" s="1993"/>
      <c r="E23" s="1431"/>
      <c r="F23" s="1431"/>
      <c r="G23" s="1431"/>
      <c r="H23" s="1431"/>
      <c r="I23" s="1431"/>
      <c r="J23" s="1993"/>
      <c r="K23" s="598" t="s">
        <v>1239</v>
      </c>
      <c r="L23" s="945">
        <f t="shared" si="1"/>
        <v>0</v>
      </c>
      <c r="M23" s="597">
        <v>30</v>
      </c>
      <c r="N23" s="598" t="s">
        <v>1240</v>
      </c>
      <c r="O23" s="596">
        <v>30</v>
      </c>
      <c r="P23" s="599">
        <v>30</v>
      </c>
      <c r="Q23" s="599">
        <v>30</v>
      </c>
      <c r="R23" s="599">
        <v>30</v>
      </c>
      <c r="S23" s="599">
        <v>30</v>
      </c>
      <c r="T23" s="600">
        <v>0</v>
      </c>
      <c r="U23" s="600">
        <v>0</v>
      </c>
      <c r="V23" s="600">
        <v>0</v>
      </c>
      <c r="W23" s="600">
        <v>0</v>
      </c>
      <c r="X23" s="600">
        <f t="shared" si="0"/>
        <v>0</v>
      </c>
      <c r="Y23" s="601" t="s">
        <v>1233</v>
      </c>
    </row>
    <row r="24" spans="2:25" ht="135">
      <c r="B24" s="1987"/>
      <c r="C24" s="1990"/>
      <c r="D24" s="1994"/>
      <c r="E24" s="1432"/>
      <c r="F24" s="1432"/>
      <c r="G24" s="1432"/>
      <c r="H24" s="1432"/>
      <c r="I24" s="1432"/>
      <c r="J24" s="1994"/>
      <c r="K24" s="598" t="s">
        <v>1241</v>
      </c>
      <c r="L24" s="945">
        <f>+X24/SUM($X$17:$X$24)</f>
        <v>0</v>
      </c>
      <c r="M24" s="597">
        <v>30</v>
      </c>
      <c r="N24" s="598" t="s">
        <v>1242</v>
      </c>
      <c r="O24" s="596">
        <v>0</v>
      </c>
      <c r="P24" s="599">
        <v>5</v>
      </c>
      <c r="Q24" s="599">
        <v>30</v>
      </c>
      <c r="R24" s="599">
        <v>30</v>
      </c>
      <c r="S24" s="599">
        <v>30</v>
      </c>
      <c r="T24" s="600">
        <v>0</v>
      </c>
      <c r="U24" s="600">
        <v>0</v>
      </c>
      <c r="V24" s="600">
        <v>0</v>
      </c>
      <c r="W24" s="600">
        <v>0</v>
      </c>
      <c r="X24" s="600">
        <f t="shared" si="0"/>
        <v>0</v>
      </c>
      <c r="Y24" s="601" t="s">
        <v>1233</v>
      </c>
    </row>
    <row r="25" spans="2:25" ht="22.5">
      <c r="B25" s="1987"/>
      <c r="C25" s="1990"/>
      <c r="D25" s="629" t="s">
        <v>1252</v>
      </c>
      <c r="E25" s="444">
        <f>SUM(E17)</f>
        <v>70</v>
      </c>
      <c r="F25" s="444"/>
      <c r="G25" s="444"/>
      <c r="H25" s="444"/>
      <c r="I25" s="444"/>
      <c r="J25" s="629"/>
      <c r="K25" s="598"/>
      <c r="L25" s="945">
        <f>SUM(L17:L24)</f>
        <v>1</v>
      </c>
      <c r="M25" s="597"/>
      <c r="N25" s="598"/>
      <c r="O25" s="596"/>
      <c r="P25" s="599"/>
      <c r="Q25" s="599"/>
      <c r="R25" s="599"/>
      <c r="S25" s="599"/>
      <c r="T25" s="600"/>
      <c r="U25" s="600"/>
      <c r="V25" s="600"/>
      <c r="W25" s="600"/>
      <c r="X25" s="600"/>
      <c r="Y25" s="601"/>
    </row>
    <row r="26" spans="2:25" ht="101.25">
      <c r="B26" s="1987"/>
      <c r="C26" s="1990"/>
      <c r="D26" s="1992" t="s">
        <v>676</v>
      </c>
      <c r="E26" s="1430">
        <v>5</v>
      </c>
      <c r="F26" s="1430">
        <v>5</v>
      </c>
      <c r="G26" s="1430" t="s">
        <v>1243</v>
      </c>
      <c r="H26" s="1430">
        <v>80</v>
      </c>
      <c r="I26" s="1430">
        <f>+F26+H26</f>
        <v>85</v>
      </c>
      <c r="J26" s="1992" t="s">
        <v>677</v>
      </c>
      <c r="K26" s="598" t="s">
        <v>678</v>
      </c>
      <c r="L26" s="945">
        <f>+X26/SUM($X$26:$X$27)</f>
        <v>0.1972039900304338</v>
      </c>
      <c r="M26" s="596">
        <v>4</v>
      </c>
      <c r="N26" s="598" t="s">
        <v>680</v>
      </c>
      <c r="O26" s="598">
        <v>4</v>
      </c>
      <c r="P26" s="599">
        <v>4</v>
      </c>
      <c r="Q26" s="602">
        <v>5</v>
      </c>
      <c r="R26" s="602">
        <v>6</v>
      </c>
      <c r="S26" s="602">
        <v>8</v>
      </c>
      <c r="T26" s="600">
        <v>0</v>
      </c>
      <c r="U26" s="600">
        <v>100</v>
      </c>
      <c r="V26" s="600">
        <v>100</v>
      </c>
      <c r="W26" s="600">
        <v>100</v>
      </c>
      <c r="X26" s="600">
        <f t="shared" si="0"/>
        <v>300</v>
      </c>
      <c r="Y26" s="601" t="s">
        <v>1233</v>
      </c>
    </row>
    <row r="27" spans="2:25" ht="180">
      <c r="B27" s="1987"/>
      <c r="C27" s="1990"/>
      <c r="D27" s="1994"/>
      <c r="E27" s="1432"/>
      <c r="F27" s="1432"/>
      <c r="G27" s="1432"/>
      <c r="H27" s="1432"/>
      <c r="I27" s="1432"/>
      <c r="J27" s="1994"/>
      <c r="K27" s="603" t="s">
        <v>679</v>
      </c>
      <c r="L27" s="945">
        <f>+X27/SUM($X$26:$X$27)</f>
        <v>0.8027960099695662</v>
      </c>
      <c r="M27" s="604">
        <v>4</v>
      </c>
      <c r="N27" s="603" t="s">
        <v>1244</v>
      </c>
      <c r="O27" s="605">
        <v>1</v>
      </c>
      <c r="P27" s="606">
        <v>1</v>
      </c>
      <c r="Q27" s="606">
        <v>2</v>
      </c>
      <c r="R27" s="606">
        <v>3</v>
      </c>
      <c r="S27" s="606">
        <v>4</v>
      </c>
      <c r="T27" s="607">
        <v>921.267394</v>
      </c>
      <c r="U27" s="607">
        <v>100</v>
      </c>
      <c r="V27" s="607">
        <v>100</v>
      </c>
      <c r="W27" s="607">
        <v>100</v>
      </c>
      <c r="X27" s="600">
        <f t="shared" si="0"/>
        <v>1221.267394</v>
      </c>
      <c r="Y27" s="689" t="s">
        <v>1290</v>
      </c>
    </row>
    <row r="28" spans="2:25" ht="22.5">
      <c r="B28" s="1987"/>
      <c r="C28" s="1990"/>
      <c r="D28" s="630" t="s">
        <v>1252</v>
      </c>
      <c r="E28" s="445">
        <f>SUM(E26)</f>
        <v>5</v>
      </c>
      <c r="F28" s="445"/>
      <c r="G28" s="445"/>
      <c r="H28" s="445"/>
      <c r="I28" s="445"/>
      <c r="J28" s="630"/>
      <c r="K28" s="603"/>
      <c r="L28" s="945">
        <f>SUM(L26:L27)</f>
        <v>1</v>
      </c>
      <c r="M28" s="604"/>
      <c r="N28" s="603"/>
      <c r="O28" s="605"/>
      <c r="P28" s="606"/>
      <c r="Q28" s="606"/>
      <c r="R28" s="606"/>
      <c r="S28" s="606"/>
      <c r="T28" s="607"/>
      <c r="U28" s="607"/>
      <c r="V28" s="607"/>
      <c r="W28" s="607"/>
      <c r="X28" s="600"/>
      <c r="Y28" s="601"/>
    </row>
    <row r="29" spans="2:25" ht="156">
      <c r="B29" s="1987"/>
      <c r="C29" s="1990"/>
      <c r="D29" s="598" t="s">
        <v>681</v>
      </c>
      <c r="E29" s="641">
        <v>10</v>
      </c>
      <c r="F29" s="641">
        <v>100</v>
      </c>
      <c r="G29" s="641" t="s">
        <v>1245</v>
      </c>
      <c r="H29" s="641">
        <v>0</v>
      </c>
      <c r="I29" s="641">
        <f>+F29+H29</f>
        <v>100</v>
      </c>
      <c r="J29" s="598" t="s">
        <v>682</v>
      </c>
      <c r="K29" s="598" t="s">
        <v>683</v>
      </c>
      <c r="L29" s="946">
        <f>+X29/SUM(X29)</f>
        <v>1</v>
      </c>
      <c r="M29" s="642">
        <v>1</v>
      </c>
      <c r="N29" s="598" t="s">
        <v>684</v>
      </c>
      <c r="O29" s="598">
        <v>0</v>
      </c>
      <c r="P29" s="643">
        <v>0</v>
      </c>
      <c r="Q29" s="643">
        <v>1</v>
      </c>
      <c r="R29" s="643">
        <v>1</v>
      </c>
      <c r="S29" s="643">
        <v>1</v>
      </c>
      <c r="T29" s="644">
        <v>0</v>
      </c>
      <c r="U29" s="600">
        <v>0</v>
      </c>
      <c r="V29" s="600">
        <v>0</v>
      </c>
      <c r="W29" s="600">
        <v>0</v>
      </c>
      <c r="X29" s="600">
        <v>1</v>
      </c>
      <c r="Y29" s="601" t="s">
        <v>1233</v>
      </c>
    </row>
    <row r="30" spans="2:25" ht="22.5">
      <c r="B30" s="1987"/>
      <c r="C30" s="1990"/>
      <c r="D30" s="598" t="s">
        <v>1252</v>
      </c>
      <c r="E30" s="631">
        <f>SUM(E29)</f>
        <v>10</v>
      </c>
      <c r="F30" s="631"/>
      <c r="G30" s="632"/>
      <c r="H30" s="631"/>
      <c r="I30" s="631"/>
      <c r="J30" s="605"/>
      <c r="K30" s="598"/>
      <c r="L30" s="945">
        <f>SUM(L29)</f>
        <v>1</v>
      </c>
      <c r="M30" s="604"/>
      <c r="N30" s="598"/>
      <c r="O30" s="598"/>
      <c r="P30" s="599"/>
      <c r="Q30" s="599"/>
      <c r="R30" s="599"/>
      <c r="S30" s="599"/>
      <c r="T30" s="600"/>
      <c r="U30" s="600"/>
      <c r="V30" s="600"/>
      <c r="W30" s="600"/>
      <c r="X30" s="600"/>
      <c r="Y30" s="601"/>
    </row>
    <row r="31" spans="2:25" ht="101.25">
      <c r="B31" s="1987"/>
      <c r="C31" s="1990"/>
      <c r="D31" s="2004" t="s">
        <v>685</v>
      </c>
      <c r="E31" s="1430">
        <v>10</v>
      </c>
      <c r="F31" s="1430">
        <v>18</v>
      </c>
      <c r="G31" s="1430" t="s">
        <v>1246</v>
      </c>
      <c r="H31" s="1430">
        <v>67</v>
      </c>
      <c r="I31" s="1430">
        <f>+F31+H31</f>
        <v>85</v>
      </c>
      <c r="J31" s="1992" t="s">
        <v>1229</v>
      </c>
      <c r="K31" s="596" t="s">
        <v>1247</v>
      </c>
      <c r="L31" s="946">
        <f>+X31/SUM($X$31:$X$32)</f>
        <v>0.375</v>
      </c>
      <c r="M31" s="642">
        <v>1</v>
      </c>
      <c r="N31" s="598" t="s">
        <v>1248</v>
      </c>
      <c r="O31" s="642">
        <v>1</v>
      </c>
      <c r="P31" s="643">
        <v>1</v>
      </c>
      <c r="Q31" s="643">
        <v>1</v>
      </c>
      <c r="R31" s="643">
        <v>1</v>
      </c>
      <c r="S31" s="643">
        <v>1</v>
      </c>
      <c r="T31" s="644">
        <v>0</v>
      </c>
      <c r="U31" s="644">
        <v>150</v>
      </c>
      <c r="V31" s="644">
        <v>150</v>
      </c>
      <c r="W31" s="644">
        <v>150</v>
      </c>
      <c r="X31" s="644">
        <f t="shared" si="0"/>
        <v>450</v>
      </c>
      <c r="Y31" s="646" t="s">
        <v>1233</v>
      </c>
    </row>
    <row r="32" spans="2:25" ht="90">
      <c r="B32" s="1988"/>
      <c r="C32" s="1991"/>
      <c r="D32" s="2004"/>
      <c r="E32" s="1432"/>
      <c r="F32" s="1432"/>
      <c r="G32" s="1432"/>
      <c r="H32" s="1432"/>
      <c r="I32" s="1432"/>
      <c r="J32" s="1994"/>
      <c r="K32" s="596" t="s">
        <v>686</v>
      </c>
      <c r="L32" s="946">
        <f>+X32/SUM($X$31:$X$32)</f>
        <v>0.625</v>
      </c>
      <c r="M32" s="642">
        <v>4</v>
      </c>
      <c r="N32" s="598" t="s">
        <v>1249</v>
      </c>
      <c r="O32" s="642">
        <v>6</v>
      </c>
      <c r="P32" s="643">
        <v>6</v>
      </c>
      <c r="Q32" s="643">
        <v>7</v>
      </c>
      <c r="R32" s="643">
        <v>8</v>
      </c>
      <c r="S32" s="643">
        <v>10</v>
      </c>
      <c r="T32" s="644">
        <v>0</v>
      </c>
      <c r="U32" s="644">
        <v>250</v>
      </c>
      <c r="V32" s="644">
        <v>250</v>
      </c>
      <c r="W32" s="644">
        <v>250</v>
      </c>
      <c r="X32" s="644">
        <f t="shared" si="0"/>
        <v>750</v>
      </c>
      <c r="Y32" s="646" t="s">
        <v>1233</v>
      </c>
    </row>
    <row r="33" spans="2:25" ht="22.5">
      <c r="B33" s="595"/>
      <c r="C33" s="633"/>
      <c r="D33" s="605" t="s">
        <v>1252</v>
      </c>
      <c r="E33" s="634">
        <f>SUM(E31)</f>
        <v>10</v>
      </c>
      <c r="F33" s="634"/>
      <c r="G33" s="444"/>
      <c r="H33" s="634"/>
      <c r="I33" s="634"/>
      <c r="J33" s="629"/>
      <c r="K33" s="635"/>
      <c r="L33" s="947">
        <f>SUM(L31:L32)</f>
        <v>1</v>
      </c>
      <c r="M33" s="636"/>
      <c r="N33" s="637"/>
      <c r="O33" s="636"/>
      <c r="P33" s="638"/>
      <c r="Q33" s="638"/>
      <c r="R33" s="638"/>
      <c r="S33" s="638"/>
      <c r="T33" s="639"/>
      <c r="U33" s="639"/>
      <c r="V33" s="639"/>
      <c r="W33" s="639"/>
      <c r="X33" s="639"/>
      <c r="Y33" s="640"/>
    </row>
    <row r="34" spans="2:25" ht="15">
      <c r="B34" s="593" t="s">
        <v>1253</v>
      </c>
      <c r="C34" s="619"/>
      <c r="D34" s="605"/>
      <c r="E34" s="619">
        <f>E33+E30+E28+E25+E16</f>
        <v>100</v>
      </c>
      <c r="F34" s="443"/>
      <c r="G34" s="443"/>
      <c r="H34" s="443"/>
      <c r="I34" s="443"/>
      <c r="J34" s="605"/>
      <c r="K34" s="605"/>
      <c r="L34" s="948">
        <f>L33+L30+L28+L25+L16</f>
        <v>5</v>
      </c>
      <c r="M34" s="620"/>
      <c r="N34" s="605"/>
      <c r="O34" s="620"/>
      <c r="P34" s="621"/>
      <c r="Q34" s="621"/>
      <c r="R34" s="621"/>
      <c r="S34" s="621"/>
      <c r="T34" s="622"/>
      <c r="U34" s="622"/>
      <c r="V34" s="622"/>
      <c r="W34" s="622"/>
      <c r="X34" s="622"/>
      <c r="Y34" s="623"/>
    </row>
    <row r="35" spans="2:25" ht="15">
      <c r="B35" s="624"/>
      <c r="C35" s="624"/>
      <c r="D35" s="624"/>
      <c r="E35" s="624"/>
      <c r="F35" s="624"/>
      <c r="G35" s="624"/>
      <c r="H35" s="624"/>
      <c r="I35" s="624"/>
      <c r="J35" s="624"/>
      <c r="K35" s="624"/>
      <c r="L35" s="660"/>
      <c r="M35" s="624"/>
      <c r="N35" s="624"/>
      <c r="O35" s="624"/>
      <c r="P35" s="624"/>
      <c r="Q35" s="624"/>
      <c r="R35" s="624"/>
      <c r="S35" s="624"/>
      <c r="T35" s="625"/>
      <c r="U35" s="625"/>
      <c r="V35" s="625"/>
      <c r="W35" s="625"/>
      <c r="X35" s="625"/>
      <c r="Y35" s="624"/>
    </row>
    <row r="36" spans="3:24" ht="15">
      <c r="C36" s="2002" t="s">
        <v>1336</v>
      </c>
      <c r="D36" s="2002"/>
      <c r="E36" s="2002"/>
      <c r="F36" s="2002"/>
      <c r="G36" s="2002"/>
      <c r="H36" s="2002"/>
      <c r="X36" s="611"/>
    </row>
    <row r="37" spans="3:24" ht="15">
      <c r="C37" s="2003"/>
      <c r="D37" s="2003"/>
      <c r="E37" s="2003"/>
      <c r="F37" s="2003"/>
      <c r="G37" s="2003"/>
      <c r="H37" s="2003"/>
      <c r="K37" s="719"/>
      <c r="X37" s="610"/>
    </row>
    <row r="38" spans="3:8" ht="15">
      <c r="C38" s="2003"/>
      <c r="D38" s="2003"/>
      <c r="E38" s="2003"/>
      <c r="F38" s="2003"/>
      <c r="G38" s="2003"/>
      <c r="H38" s="2003"/>
    </row>
    <row r="39" spans="3:16" ht="15" customHeight="1">
      <c r="C39" s="2003"/>
      <c r="D39" s="2003"/>
      <c r="E39" s="2003"/>
      <c r="F39" s="2003"/>
      <c r="G39" s="2003"/>
      <c r="H39" s="2003"/>
      <c r="K39" s="1974" t="s">
        <v>1335</v>
      </c>
      <c r="L39" s="1975"/>
      <c r="M39" s="1975"/>
      <c r="N39" s="1975"/>
      <c r="O39" s="1975"/>
      <c r="P39" s="1976"/>
    </row>
    <row r="40" spans="3:16" ht="15">
      <c r="C40" s="2003"/>
      <c r="D40" s="2003"/>
      <c r="E40" s="2003"/>
      <c r="F40" s="2003"/>
      <c r="G40" s="2003"/>
      <c r="H40" s="2003"/>
      <c r="K40" s="1977"/>
      <c r="L40" s="1978"/>
      <c r="M40" s="1978"/>
      <c r="N40" s="1978"/>
      <c r="O40" s="1978"/>
      <c r="P40" s="1979"/>
    </row>
    <row r="41" spans="11:16" ht="15" customHeight="1">
      <c r="K41" s="1977"/>
      <c r="L41" s="1978"/>
      <c r="M41" s="1978"/>
      <c r="N41" s="1978"/>
      <c r="O41" s="1978"/>
      <c r="P41" s="1979"/>
    </row>
    <row r="42" spans="11:16" ht="15">
      <c r="K42" s="1977"/>
      <c r="L42" s="1978"/>
      <c r="M42" s="1978"/>
      <c r="N42" s="1978"/>
      <c r="O42" s="1978"/>
      <c r="P42" s="1979"/>
    </row>
    <row r="43" spans="11:16" ht="15">
      <c r="K43" s="1977"/>
      <c r="L43" s="1978"/>
      <c r="M43" s="1978"/>
      <c r="N43" s="1978"/>
      <c r="O43" s="1978"/>
      <c r="P43" s="1979"/>
    </row>
    <row r="44" spans="11:16" ht="15">
      <c r="K44" s="1977"/>
      <c r="L44" s="1978"/>
      <c r="M44" s="1978"/>
      <c r="N44" s="1978"/>
      <c r="O44" s="1978"/>
      <c r="P44" s="1979"/>
    </row>
    <row r="45" spans="11:16" ht="15">
      <c r="K45" s="1980"/>
      <c r="L45" s="1981"/>
      <c r="M45" s="1981"/>
      <c r="N45" s="1981"/>
      <c r="O45" s="1981"/>
      <c r="P45" s="1982"/>
    </row>
  </sheetData>
  <sheetProtection/>
  <mergeCells count="56">
    <mergeCell ref="W13:W14"/>
    <mergeCell ref="X13:X14"/>
    <mergeCell ref="I26:I27"/>
    <mergeCell ref="J26:J27"/>
    <mergeCell ref="D26:D27"/>
    <mergeCell ref="T13:T14"/>
    <mergeCell ref="U13:U14"/>
    <mergeCell ref="V13:V14"/>
    <mergeCell ref="J31:J32"/>
    <mergeCell ref="I31:I32"/>
    <mergeCell ref="C36:H40"/>
    <mergeCell ref="D31:D32"/>
    <mergeCell ref="E31:E32"/>
    <mergeCell ref="F31:F32"/>
    <mergeCell ref="G31:G32"/>
    <mergeCell ref="H31:H32"/>
    <mergeCell ref="E26:E27"/>
    <mergeCell ref="F26:F27"/>
    <mergeCell ref="G17:G24"/>
    <mergeCell ref="H17:H24"/>
    <mergeCell ref="I17:I24"/>
    <mergeCell ref="Y13:Y14"/>
    <mergeCell ref="J17:J19"/>
    <mergeCell ref="J21:J24"/>
    <mergeCell ref="G26:G27"/>
    <mergeCell ref="H26:H27"/>
    <mergeCell ref="B15:B32"/>
    <mergeCell ref="C15:C32"/>
    <mergeCell ref="D17:D24"/>
    <mergeCell ref="E17:E24"/>
    <mergeCell ref="F17:F24"/>
    <mergeCell ref="B13:B14"/>
    <mergeCell ref="C13:C14"/>
    <mergeCell ref="D13:D14"/>
    <mergeCell ref="E13:E14"/>
    <mergeCell ref="F13:F14"/>
    <mergeCell ref="L13:L14"/>
    <mergeCell ref="M13:M14"/>
    <mergeCell ref="N13:N14"/>
    <mergeCell ref="O13:O14"/>
    <mergeCell ref="D11:Y11"/>
    <mergeCell ref="G13:G14"/>
    <mergeCell ref="H13:H14"/>
    <mergeCell ref="I13:I14"/>
    <mergeCell ref="J13:J14"/>
    <mergeCell ref="K13:K14"/>
    <mergeCell ref="K39:P45"/>
    <mergeCell ref="B3:G7"/>
    <mergeCell ref="H3:S5"/>
    <mergeCell ref="T3:Y5"/>
    <mergeCell ref="H6:S6"/>
    <mergeCell ref="T6:Y6"/>
    <mergeCell ref="H7:S7"/>
    <mergeCell ref="T7:Y7"/>
    <mergeCell ref="J9:M9"/>
    <mergeCell ref="N9:X9"/>
  </mergeCells>
  <printOptions/>
  <pageMargins left="1.25" right="0.7086614173228347" top="0.7480314960629921" bottom="0.7480314960629921" header="0.31496062992125984" footer="0.31496062992125984"/>
  <pageSetup horizontalDpi="600" verticalDpi="600" orientation="landscape" paperSize="5" scale="55" r:id="rId4"/>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B1:Z91"/>
  <sheetViews>
    <sheetView showGridLines="0" showRowColHeaders="0" zoomScale="90" zoomScaleNormal="90" zoomScalePageLayoutView="0" workbookViewId="0" topLeftCell="A1">
      <selection activeCell="B8" sqref="B8"/>
    </sheetView>
  </sheetViews>
  <sheetFormatPr defaultColWidth="11.421875" defaultRowHeight="15"/>
  <cols>
    <col min="1" max="1" width="3.7109375" style="0" customWidth="1"/>
    <col min="2" max="2" width="12.57421875" style="0" customWidth="1"/>
    <col min="3" max="3" width="14.28125" style="0" bestFit="1" customWidth="1"/>
    <col min="4" max="4" width="12.8515625" style="0" customWidth="1"/>
    <col min="5" max="5" width="14.28125" style="0" bestFit="1" customWidth="1"/>
    <col min="6" max="6" width="12.8515625" style="0" customWidth="1"/>
    <col min="7" max="7" width="12.140625" style="0" bestFit="1" customWidth="1"/>
    <col min="10" max="10" width="12.140625" style="0" bestFit="1" customWidth="1"/>
    <col min="11" max="11" width="13.28125" style="811" customWidth="1"/>
    <col min="12" max="12" width="11.421875" style="804" customWidth="1"/>
    <col min="14" max="14" width="11.421875" style="577" customWidth="1"/>
    <col min="16" max="16" width="11.421875" style="828" customWidth="1"/>
  </cols>
  <sheetData>
    <row r="1" spans="2:25" ht="15">
      <c r="B1" s="577"/>
      <c r="C1" s="577"/>
      <c r="D1" s="577"/>
      <c r="E1" s="577"/>
      <c r="F1" s="577"/>
      <c r="G1" s="577"/>
      <c r="H1" s="577"/>
      <c r="I1" s="577"/>
      <c r="J1" s="577"/>
      <c r="K1" s="577"/>
      <c r="L1" s="1066"/>
      <c r="M1" s="577"/>
      <c r="O1" s="577"/>
      <c r="P1" s="577"/>
      <c r="Q1" s="577"/>
      <c r="R1" s="577"/>
      <c r="S1" s="577"/>
      <c r="T1" s="577"/>
      <c r="U1" s="577"/>
      <c r="V1" s="577"/>
      <c r="W1" s="577"/>
      <c r="X1" s="577"/>
      <c r="Y1" s="577"/>
    </row>
    <row r="2" spans="2:25" ht="15">
      <c r="B2" s="2023"/>
      <c r="C2" s="2023"/>
      <c r="D2" s="2023"/>
      <c r="E2" s="2023"/>
      <c r="F2" s="2023"/>
      <c r="G2" s="2023"/>
      <c r="H2" s="2024" t="s">
        <v>148</v>
      </c>
      <c r="I2" s="2024"/>
      <c r="J2" s="2024"/>
      <c r="K2" s="2024"/>
      <c r="L2" s="2024"/>
      <c r="M2" s="2024"/>
      <c r="N2" s="2024"/>
      <c r="O2" s="2024"/>
      <c r="P2" s="2024"/>
      <c r="Q2" s="2024"/>
      <c r="R2" s="2024"/>
      <c r="S2" s="2024"/>
      <c r="T2" s="2024" t="s">
        <v>149</v>
      </c>
      <c r="U2" s="1624"/>
      <c r="V2" s="1624"/>
      <c r="W2" s="1624"/>
      <c r="X2" s="1624"/>
      <c r="Y2" s="1624"/>
    </row>
    <row r="3" spans="2:25" ht="15">
      <c r="B3" s="2023"/>
      <c r="C3" s="2023"/>
      <c r="D3" s="2023"/>
      <c r="E3" s="2023"/>
      <c r="F3" s="2023"/>
      <c r="G3" s="2023"/>
      <c r="H3" s="2024"/>
      <c r="I3" s="2024"/>
      <c r="J3" s="2024"/>
      <c r="K3" s="2024"/>
      <c r="L3" s="2024"/>
      <c r="M3" s="2024"/>
      <c r="N3" s="2024"/>
      <c r="O3" s="2024"/>
      <c r="P3" s="2024"/>
      <c r="Q3" s="2024"/>
      <c r="R3" s="2024"/>
      <c r="S3" s="2024"/>
      <c r="T3" s="1624"/>
      <c r="U3" s="1624"/>
      <c r="V3" s="1624"/>
      <c r="W3" s="1624"/>
      <c r="X3" s="1624"/>
      <c r="Y3" s="1624"/>
    </row>
    <row r="4" spans="2:25" ht="15">
      <c r="B4" s="2023"/>
      <c r="C4" s="2023"/>
      <c r="D4" s="2023"/>
      <c r="E4" s="2023"/>
      <c r="F4" s="2023"/>
      <c r="G4" s="2023"/>
      <c r="H4" s="2024"/>
      <c r="I4" s="2024"/>
      <c r="J4" s="2024"/>
      <c r="K4" s="2024"/>
      <c r="L4" s="2024"/>
      <c r="M4" s="2024"/>
      <c r="N4" s="2024"/>
      <c r="O4" s="2024"/>
      <c r="P4" s="2024"/>
      <c r="Q4" s="2024"/>
      <c r="R4" s="2024"/>
      <c r="S4" s="2024"/>
      <c r="T4" s="1624"/>
      <c r="U4" s="1624"/>
      <c r="V4" s="1624"/>
      <c r="W4" s="1624"/>
      <c r="X4" s="1624"/>
      <c r="Y4" s="1624"/>
    </row>
    <row r="5" spans="2:25" ht="20.25">
      <c r="B5" s="2023"/>
      <c r="C5" s="2023"/>
      <c r="D5" s="2023"/>
      <c r="E5" s="2023"/>
      <c r="F5" s="2023"/>
      <c r="G5" s="2023"/>
      <c r="H5" s="2039" t="s">
        <v>150</v>
      </c>
      <c r="I5" s="2040"/>
      <c r="J5" s="2040"/>
      <c r="K5" s="2040"/>
      <c r="L5" s="2040"/>
      <c r="M5" s="2040"/>
      <c r="N5" s="2040"/>
      <c r="O5" s="2040"/>
      <c r="P5" s="2040"/>
      <c r="Q5" s="2040"/>
      <c r="R5" s="2040"/>
      <c r="S5" s="2040"/>
      <c r="T5" s="2039" t="s">
        <v>151</v>
      </c>
      <c r="U5" s="2023"/>
      <c r="V5" s="2023"/>
      <c r="W5" s="2023"/>
      <c r="X5" s="2023"/>
      <c r="Y5" s="2023"/>
    </row>
    <row r="6" spans="2:25" ht="20.25">
      <c r="B6" s="2023"/>
      <c r="C6" s="2023"/>
      <c r="D6" s="2023"/>
      <c r="E6" s="2023"/>
      <c r="F6" s="2023"/>
      <c r="G6" s="2023"/>
      <c r="H6" s="2039" t="s">
        <v>152</v>
      </c>
      <c r="I6" s="2040"/>
      <c r="J6" s="2040"/>
      <c r="K6" s="2040"/>
      <c r="L6" s="2040"/>
      <c r="M6" s="2040"/>
      <c r="N6" s="2040"/>
      <c r="O6" s="2040"/>
      <c r="P6" s="2040"/>
      <c r="Q6" s="2040"/>
      <c r="R6" s="2040"/>
      <c r="S6" s="2040"/>
      <c r="T6" s="2039" t="s">
        <v>153</v>
      </c>
      <c r="U6" s="2023"/>
      <c r="V6" s="2023"/>
      <c r="W6" s="2023"/>
      <c r="X6" s="2023"/>
      <c r="Y6" s="2023"/>
    </row>
    <row r="7" spans="2:26" ht="15">
      <c r="B7" s="264"/>
      <c r="C7" s="264"/>
      <c r="D7" s="264"/>
      <c r="E7" s="264"/>
      <c r="F7" s="264"/>
      <c r="G7" s="264"/>
      <c r="H7" s="264"/>
      <c r="I7" s="264"/>
      <c r="J7" s="264"/>
      <c r="K7" s="264"/>
      <c r="L7" s="1067"/>
      <c r="M7" s="264"/>
      <c r="N7" s="1063"/>
      <c r="O7" s="1063"/>
      <c r="P7" s="1063"/>
      <c r="Q7" s="1063"/>
      <c r="R7" s="1063"/>
      <c r="S7" s="1063"/>
      <c r="T7" s="1063"/>
      <c r="U7" s="1063"/>
      <c r="V7" s="1063"/>
      <c r="W7" s="1063"/>
      <c r="X7" s="1063"/>
      <c r="Y7" s="1063"/>
      <c r="Z7" s="13"/>
    </row>
    <row r="8" spans="2:25" ht="15">
      <c r="B8" s="1073" t="s">
        <v>1372</v>
      </c>
      <c r="C8" s="1074"/>
      <c r="D8" s="1068" t="s">
        <v>1371</v>
      </c>
      <c r="E8" s="1069"/>
      <c r="F8" s="1069"/>
      <c r="G8" s="1069"/>
      <c r="H8" s="1069"/>
      <c r="I8" s="1069"/>
      <c r="J8" s="1069"/>
      <c r="K8" s="1069"/>
      <c r="L8" s="1069"/>
      <c r="M8" s="1069"/>
      <c r="N8" s="2041"/>
      <c r="O8" s="2042"/>
      <c r="P8" s="2042"/>
      <c r="Q8" s="2042"/>
      <c r="R8" s="2042"/>
      <c r="S8" s="2042"/>
      <c r="T8" s="2042"/>
      <c r="U8" s="2042"/>
      <c r="V8" s="2042"/>
      <c r="W8" s="2042"/>
      <c r="X8" s="2043"/>
      <c r="Y8" s="1070"/>
    </row>
    <row r="9" spans="2:25" ht="15">
      <c r="B9" s="1073" t="s">
        <v>154</v>
      </c>
      <c r="C9" s="1075"/>
      <c r="D9" s="2043" t="s">
        <v>1254</v>
      </c>
      <c r="E9" s="2063"/>
      <c r="F9" s="2063"/>
      <c r="G9" s="2063"/>
      <c r="H9" s="2063"/>
      <c r="I9" s="2063"/>
      <c r="J9" s="2063"/>
      <c r="K9" s="2063"/>
      <c r="L9" s="2063"/>
      <c r="M9" s="2063"/>
      <c r="N9" s="2063"/>
      <c r="O9" s="2063"/>
      <c r="P9" s="2063"/>
      <c r="Q9" s="2063"/>
      <c r="R9" s="2063"/>
      <c r="S9" s="2063"/>
      <c r="T9" s="2063"/>
      <c r="U9" s="2063"/>
      <c r="V9" s="1069"/>
      <c r="W9" s="1069"/>
      <c r="X9" s="1069"/>
      <c r="Y9" s="1070"/>
    </row>
    <row r="10" spans="2:25" ht="25.5" customHeight="1">
      <c r="B10" s="1073" t="s">
        <v>1387</v>
      </c>
      <c r="C10" s="1075"/>
      <c r="D10" s="2064" t="s">
        <v>1395</v>
      </c>
      <c r="E10" s="2065"/>
      <c r="F10" s="2065"/>
      <c r="G10" s="2065"/>
      <c r="H10" s="2065"/>
      <c r="I10" s="2065"/>
      <c r="J10" s="2065"/>
      <c r="K10" s="2065"/>
      <c r="L10" s="2065"/>
      <c r="M10" s="2065"/>
      <c r="N10" s="2065"/>
      <c r="O10" s="2065"/>
      <c r="P10" s="2065"/>
      <c r="Q10" s="2065"/>
      <c r="R10" s="2065"/>
      <c r="S10" s="2065"/>
      <c r="T10" s="2065"/>
      <c r="U10" s="2065"/>
      <c r="V10" s="2065"/>
      <c r="W10" s="2065"/>
      <c r="X10" s="2065"/>
      <c r="Y10" s="2066"/>
    </row>
    <row r="11" spans="2:25" ht="15">
      <c r="B11" s="264"/>
      <c r="C11" s="264"/>
      <c r="D11" s="970"/>
      <c r="E11" s="970"/>
      <c r="F11" s="970"/>
      <c r="G11" s="970"/>
      <c r="H11" s="970"/>
      <c r="I11" s="970"/>
      <c r="J11" s="970"/>
      <c r="K11" s="970"/>
      <c r="L11" s="1071"/>
      <c r="M11" s="970"/>
      <c r="N11" s="970"/>
      <c r="O11" s="970"/>
      <c r="P11" s="970"/>
      <c r="Q11" s="970"/>
      <c r="R11" s="970"/>
      <c r="S11" s="970"/>
      <c r="T11" s="970"/>
      <c r="U11" s="970"/>
      <c r="V11" s="970"/>
      <c r="W11" s="970"/>
      <c r="X11" s="970"/>
      <c r="Y11" s="1072"/>
    </row>
    <row r="12" spans="2:25" ht="22.5">
      <c r="B12" s="1967" t="s">
        <v>103</v>
      </c>
      <c r="C12" s="1968" t="s">
        <v>140</v>
      </c>
      <c r="D12" s="1969" t="s">
        <v>0</v>
      </c>
      <c r="E12" s="1472" t="s">
        <v>140</v>
      </c>
      <c r="F12" s="1472" t="s">
        <v>141</v>
      </c>
      <c r="G12" s="1472" t="s">
        <v>104</v>
      </c>
      <c r="H12" s="1472" t="s">
        <v>142</v>
      </c>
      <c r="I12" s="1472" t="s">
        <v>143</v>
      </c>
      <c r="J12" s="1472" t="s">
        <v>1</v>
      </c>
      <c r="K12" s="2067" t="s">
        <v>2</v>
      </c>
      <c r="L12" s="2068" t="s">
        <v>140</v>
      </c>
      <c r="M12" s="1472" t="s">
        <v>3</v>
      </c>
      <c r="N12" s="2067" t="s">
        <v>4</v>
      </c>
      <c r="O12" s="1476" t="s">
        <v>5</v>
      </c>
      <c r="P12" s="1064" t="s">
        <v>144</v>
      </c>
      <c r="Q12" s="1015" t="s">
        <v>144</v>
      </c>
      <c r="R12" s="1015" t="s">
        <v>145</v>
      </c>
      <c r="S12" s="1015" t="s">
        <v>144</v>
      </c>
      <c r="T12" s="1016">
        <v>2012</v>
      </c>
      <c r="U12" s="1017">
        <v>2013</v>
      </c>
      <c r="V12" s="1017">
        <v>2014</v>
      </c>
      <c r="W12" s="1017">
        <v>2015</v>
      </c>
      <c r="X12" s="1017" t="s">
        <v>146</v>
      </c>
      <c r="Y12" s="1017" t="s">
        <v>147</v>
      </c>
    </row>
    <row r="13" spans="2:25" ht="36" customHeight="1">
      <c r="B13" s="1480"/>
      <c r="C13" s="1968"/>
      <c r="D13" s="1969"/>
      <c r="E13" s="1472"/>
      <c r="F13" s="1472"/>
      <c r="G13" s="1472"/>
      <c r="H13" s="1472"/>
      <c r="I13" s="1472"/>
      <c r="J13" s="1472"/>
      <c r="K13" s="2067"/>
      <c r="L13" s="2068"/>
      <c r="M13" s="1472"/>
      <c r="N13" s="2067"/>
      <c r="O13" s="1476"/>
      <c r="P13" s="1065">
        <v>2012</v>
      </c>
      <c r="Q13" s="1018">
        <v>2013</v>
      </c>
      <c r="R13" s="1018">
        <v>2014</v>
      </c>
      <c r="S13" s="1018">
        <v>2015</v>
      </c>
      <c r="T13" s="1016"/>
      <c r="U13" s="1022"/>
      <c r="V13" s="1022"/>
      <c r="W13" s="1022"/>
      <c r="X13" s="1022"/>
      <c r="Y13" s="1022"/>
    </row>
    <row r="14" spans="2:25" ht="78.75">
      <c r="B14" s="1684" t="s">
        <v>132</v>
      </c>
      <c r="C14" s="2025">
        <v>0.44</v>
      </c>
      <c r="D14" s="2008" t="s">
        <v>687</v>
      </c>
      <c r="E14" s="2117">
        <v>66.4</v>
      </c>
      <c r="F14" s="2008" t="s">
        <v>133</v>
      </c>
      <c r="G14" s="2008" t="s">
        <v>134</v>
      </c>
      <c r="H14" s="2008">
        <v>294</v>
      </c>
      <c r="I14" s="2044">
        <f>+H14-(H14*10/100)</f>
        <v>264.6</v>
      </c>
      <c r="J14" s="2008" t="s">
        <v>688</v>
      </c>
      <c r="K14" s="805" t="s">
        <v>690</v>
      </c>
      <c r="L14" s="798">
        <v>0.47</v>
      </c>
      <c r="M14" s="720">
        <v>1</v>
      </c>
      <c r="N14" s="792" t="s">
        <v>693</v>
      </c>
      <c r="O14" s="720">
        <v>0</v>
      </c>
      <c r="P14" s="818">
        <v>0.15</v>
      </c>
      <c r="Q14" s="721">
        <v>0.4</v>
      </c>
      <c r="R14" s="721">
        <v>0.7</v>
      </c>
      <c r="S14" s="721">
        <v>1</v>
      </c>
      <c r="T14" s="722">
        <v>1520</v>
      </c>
      <c r="U14" s="722">
        <v>500</v>
      </c>
      <c r="V14" s="722">
        <v>2000</v>
      </c>
      <c r="W14" s="722">
        <v>4000</v>
      </c>
      <c r="X14" s="721">
        <f>SUM(O14:W14)</f>
        <v>8022.25</v>
      </c>
      <c r="Y14" s="723" t="s">
        <v>1233</v>
      </c>
    </row>
    <row r="15" spans="2:25" ht="67.5">
      <c r="B15" s="1685"/>
      <c r="C15" s="2026"/>
      <c r="D15" s="2009"/>
      <c r="E15" s="2118"/>
      <c r="F15" s="2009"/>
      <c r="G15" s="2009"/>
      <c r="H15" s="2009"/>
      <c r="I15" s="2045"/>
      <c r="J15" s="2009"/>
      <c r="K15" s="806" t="s">
        <v>691</v>
      </c>
      <c r="L15" s="799">
        <v>0.03</v>
      </c>
      <c r="M15" s="725">
        <v>1</v>
      </c>
      <c r="N15" s="792" t="s">
        <v>694</v>
      </c>
      <c r="O15" s="720">
        <v>0</v>
      </c>
      <c r="P15" s="818">
        <v>0.35</v>
      </c>
      <c r="Q15" s="721">
        <v>0.55</v>
      </c>
      <c r="R15" s="721">
        <v>0.85</v>
      </c>
      <c r="S15" s="721">
        <v>1</v>
      </c>
      <c r="T15" s="722">
        <v>219.3</v>
      </c>
      <c r="U15" s="722">
        <v>500</v>
      </c>
      <c r="V15" s="722">
        <v>500</v>
      </c>
      <c r="W15" s="722">
        <v>500</v>
      </c>
      <c r="X15" s="721">
        <f>SUM(O15:W15)</f>
        <v>1722.05</v>
      </c>
      <c r="Y15" s="723" t="s">
        <v>1233</v>
      </c>
    </row>
    <row r="16" spans="2:25" ht="213.75">
      <c r="B16" s="1685"/>
      <c r="C16" s="2026"/>
      <c r="D16" s="2009"/>
      <c r="E16" s="2118"/>
      <c r="F16" s="2009"/>
      <c r="G16" s="2009"/>
      <c r="H16" s="2009"/>
      <c r="I16" s="2045"/>
      <c r="J16" s="2009"/>
      <c r="K16" s="2028" t="s">
        <v>692</v>
      </c>
      <c r="L16" s="800">
        <v>0.12</v>
      </c>
      <c r="M16" s="726">
        <v>78427</v>
      </c>
      <c r="N16" s="596" t="s">
        <v>695</v>
      </c>
      <c r="O16" s="724" t="s">
        <v>1255</v>
      </c>
      <c r="P16" s="818">
        <f>192146.6-2046.6</f>
        <v>190100</v>
      </c>
      <c r="Q16" s="721">
        <f>+P16-25461</f>
        <v>164639</v>
      </c>
      <c r="R16" s="721">
        <f>+Q16-25460</f>
        <v>139179</v>
      </c>
      <c r="S16" s="721">
        <f>+R16-25460</f>
        <v>113719</v>
      </c>
      <c r="T16" s="722">
        <v>9</v>
      </c>
      <c r="U16" s="722">
        <v>9</v>
      </c>
      <c r="V16" s="722">
        <v>9</v>
      </c>
      <c r="W16" s="722">
        <v>9</v>
      </c>
      <c r="X16" s="727">
        <f>+T16+U16+V16+W16</f>
        <v>36</v>
      </c>
      <c r="Y16" s="723" t="s">
        <v>1233</v>
      </c>
    </row>
    <row r="17" spans="2:25" ht="157.5">
      <c r="B17" s="1685"/>
      <c r="C17" s="2026"/>
      <c r="D17" s="2009"/>
      <c r="E17" s="2118"/>
      <c r="F17" s="2009"/>
      <c r="G17" s="2009"/>
      <c r="H17" s="2009"/>
      <c r="I17" s="2045"/>
      <c r="J17" s="2010"/>
      <c r="K17" s="2028"/>
      <c r="L17" s="800">
        <v>0.03</v>
      </c>
      <c r="M17" s="726">
        <v>7946</v>
      </c>
      <c r="N17" s="609" t="s">
        <v>696</v>
      </c>
      <c r="O17" s="728" t="s">
        <v>697</v>
      </c>
      <c r="P17" s="818">
        <f>86368-946</f>
        <v>85422</v>
      </c>
      <c r="Q17" s="721">
        <f>+P17-234</f>
        <v>85188</v>
      </c>
      <c r="R17" s="721">
        <f>+Q17-2333</f>
        <v>82855</v>
      </c>
      <c r="S17" s="721">
        <f>+R17-2333</f>
        <v>80522</v>
      </c>
      <c r="T17" s="729">
        <v>1</v>
      </c>
      <c r="U17" s="729">
        <v>1</v>
      </c>
      <c r="V17" s="722">
        <v>1</v>
      </c>
      <c r="W17" s="722">
        <v>1</v>
      </c>
      <c r="X17" s="730">
        <f>+T17+U17+V17+W17</f>
        <v>4</v>
      </c>
      <c r="Y17" s="723" t="s">
        <v>1233</v>
      </c>
    </row>
    <row r="18" spans="2:25" ht="15">
      <c r="B18" s="1685"/>
      <c r="C18" s="2026"/>
      <c r="D18" s="2009"/>
      <c r="E18" s="2118"/>
      <c r="F18" s="2009"/>
      <c r="G18" s="2009"/>
      <c r="H18" s="2009"/>
      <c r="I18" s="2045"/>
      <c r="J18" s="2029" t="s">
        <v>698</v>
      </c>
      <c r="K18" s="2030" t="s">
        <v>699</v>
      </c>
      <c r="L18" s="2120">
        <v>0.1</v>
      </c>
      <c r="M18" s="2008">
        <v>27</v>
      </c>
      <c r="N18" s="2004" t="s">
        <v>700</v>
      </c>
      <c r="O18" s="2029">
        <v>3</v>
      </c>
      <c r="P18" s="2034">
        <v>6</v>
      </c>
      <c r="Q18" s="2036">
        <v>13</v>
      </c>
      <c r="R18" s="2036">
        <v>20</v>
      </c>
      <c r="S18" s="2036">
        <v>27</v>
      </c>
      <c r="T18" s="2108">
        <v>0</v>
      </c>
      <c r="U18" s="2108">
        <v>0</v>
      </c>
      <c r="V18" s="2111">
        <v>0</v>
      </c>
      <c r="W18" s="2108">
        <v>0</v>
      </c>
      <c r="X18" s="2114">
        <f>SUM(T18:W23)</f>
        <v>0</v>
      </c>
      <c r="Y18" s="2055" t="s">
        <v>1233</v>
      </c>
    </row>
    <row r="19" spans="2:25" ht="15">
      <c r="B19" s="1685"/>
      <c r="C19" s="2026"/>
      <c r="D19" s="2009"/>
      <c r="E19" s="2118"/>
      <c r="F19" s="2009"/>
      <c r="G19" s="2009"/>
      <c r="H19" s="2009"/>
      <c r="I19" s="2045"/>
      <c r="J19" s="2029"/>
      <c r="K19" s="2030"/>
      <c r="L19" s="2121"/>
      <c r="M19" s="2009"/>
      <c r="N19" s="2004"/>
      <c r="O19" s="2029"/>
      <c r="P19" s="1907"/>
      <c r="Q19" s="2037"/>
      <c r="R19" s="2037"/>
      <c r="S19" s="2037"/>
      <c r="T19" s="2109"/>
      <c r="U19" s="2109"/>
      <c r="V19" s="2112"/>
      <c r="W19" s="2109"/>
      <c r="X19" s="2115"/>
      <c r="Y19" s="2056"/>
    </row>
    <row r="20" spans="2:25" ht="15">
      <c r="B20" s="1685"/>
      <c r="C20" s="2026"/>
      <c r="D20" s="2009"/>
      <c r="E20" s="2118"/>
      <c r="F20" s="2009"/>
      <c r="G20" s="2009"/>
      <c r="H20" s="2009"/>
      <c r="I20" s="2045"/>
      <c r="J20" s="2029"/>
      <c r="K20" s="2030"/>
      <c r="L20" s="2121"/>
      <c r="M20" s="2009"/>
      <c r="N20" s="2004"/>
      <c r="O20" s="2029"/>
      <c r="P20" s="1907"/>
      <c r="Q20" s="2037"/>
      <c r="R20" s="2037"/>
      <c r="S20" s="2037"/>
      <c r="T20" s="2109"/>
      <c r="U20" s="2109"/>
      <c r="V20" s="2112"/>
      <c r="W20" s="2109"/>
      <c r="X20" s="2115"/>
      <c r="Y20" s="2056"/>
    </row>
    <row r="21" spans="2:25" ht="15">
      <c r="B21" s="1685"/>
      <c r="C21" s="2026"/>
      <c r="D21" s="2009"/>
      <c r="E21" s="2118"/>
      <c r="F21" s="2009"/>
      <c r="G21" s="2009"/>
      <c r="H21" s="2009"/>
      <c r="I21" s="2045"/>
      <c r="J21" s="2029"/>
      <c r="K21" s="2030"/>
      <c r="L21" s="2121"/>
      <c r="M21" s="2009"/>
      <c r="N21" s="2004"/>
      <c r="O21" s="2029"/>
      <c r="P21" s="1907"/>
      <c r="Q21" s="2037"/>
      <c r="R21" s="2037"/>
      <c r="S21" s="2037"/>
      <c r="T21" s="2109"/>
      <c r="U21" s="2109"/>
      <c r="V21" s="2112"/>
      <c r="W21" s="2109"/>
      <c r="X21" s="2115"/>
      <c r="Y21" s="2056"/>
    </row>
    <row r="22" spans="2:25" ht="15">
      <c r="B22" s="1685"/>
      <c r="C22" s="2026"/>
      <c r="D22" s="2009"/>
      <c r="E22" s="2118"/>
      <c r="F22" s="2009"/>
      <c r="G22" s="2009"/>
      <c r="H22" s="2009"/>
      <c r="I22" s="2045"/>
      <c r="J22" s="2029"/>
      <c r="K22" s="2030"/>
      <c r="L22" s="2121"/>
      <c r="M22" s="2009"/>
      <c r="N22" s="2004"/>
      <c r="O22" s="2029"/>
      <c r="P22" s="1907"/>
      <c r="Q22" s="2037"/>
      <c r="R22" s="2037"/>
      <c r="S22" s="2037"/>
      <c r="T22" s="2109"/>
      <c r="U22" s="2109"/>
      <c r="V22" s="2112"/>
      <c r="W22" s="2109"/>
      <c r="X22" s="2115"/>
      <c r="Y22" s="2056"/>
    </row>
    <row r="23" spans="2:25" ht="30" customHeight="1">
      <c r="B23" s="1685"/>
      <c r="C23" s="2026"/>
      <c r="D23" s="2009"/>
      <c r="E23" s="2118"/>
      <c r="F23" s="2009"/>
      <c r="G23" s="2009"/>
      <c r="H23" s="2009"/>
      <c r="I23" s="2045"/>
      <c r="J23" s="2029"/>
      <c r="K23" s="2030"/>
      <c r="L23" s="2122"/>
      <c r="M23" s="2010"/>
      <c r="N23" s="2004"/>
      <c r="O23" s="2029"/>
      <c r="P23" s="2035"/>
      <c r="Q23" s="2038"/>
      <c r="R23" s="2038"/>
      <c r="S23" s="2038"/>
      <c r="T23" s="2110"/>
      <c r="U23" s="2110"/>
      <c r="V23" s="2113"/>
      <c r="W23" s="2110"/>
      <c r="X23" s="2116"/>
      <c r="Y23" s="2057"/>
    </row>
    <row r="24" spans="2:25" ht="94.5" customHeight="1">
      <c r="B24" s="1685"/>
      <c r="C24" s="2026"/>
      <c r="D24" s="2009"/>
      <c r="E24" s="2118"/>
      <c r="F24" s="2009"/>
      <c r="G24" s="2009"/>
      <c r="H24" s="2009"/>
      <c r="I24" s="2045"/>
      <c r="J24" s="2008" t="s">
        <v>689</v>
      </c>
      <c r="K24" s="2028" t="s">
        <v>701</v>
      </c>
      <c r="L24" s="801">
        <v>0.03</v>
      </c>
      <c r="M24" s="725">
        <v>1</v>
      </c>
      <c r="N24" s="609" t="s">
        <v>703</v>
      </c>
      <c r="O24" s="720" t="s">
        <v>12</v>
      </c>
      <c r="P24" s="818" t="s">
        <v>1256</v>
      </c>
      <c r="Q24" s="721" t="s">
        <v>1257</v>
      </c>
      <c r="R24" s="721" t="s">
        <v>1258</v>
      </c>
      <c r="S24" s="721">
        <v>1</v>
      </c>
      <c r="T24" s="729">
        <v>30</v>
      </c>
      <c r="U24" s="729">
        <v>85</v>
      </c>
      <c r="V24" s="729">
        <v>85</v>
      </c>
      <c r="W24" s="729">
        <v>85</v>
      </c>
      <c r="X24" s="731">
        <f>SUM(S24:W24)</f>
        <v>286</v>
      </c>
      <c r="Y24" s="723" t="s">
        <v>1233</v>
      </c>
    </row>
    <row r="25" spans="2:25" ht="103.5" customHeight="1">
      <c r="B25" s="1685"/>
      <c r="C25" s="2026"/>
      <c r="D25" s="2009"/>
      <c r="E25" s="2118"/>
      <c r="F25" s="2009"/>
      <c r="G25" s="2009"/>
      <c r="H25" s="2009"/>
      <c r="I25" s="2045"/>
      <c r="J25" s="2009"/>
      <c r="K25" s="2028"/>
      <c r="L25" s="801">
        <v>0.03</v>
      </c>
      <c r="M25" s="725">
        <v>1</v>
      </c>
      <c r="N25" s="609" t="s">
        <v>704</v>
      </c>
      <c r="O25" s="720" t="s">
        <v>12</v>
      </c>
      <c r="P25" s="818" t="s">
        <v>1256</v>
      </c>
      <c r="Q25" s="721" t="s">
        <v>1259</v>
      </c>
      <c r="R25" s="721" t="s">
        <v>1260</v>
      </c>
      <c r="S25" s="721">
        <v>1</v>
      </c>
      <c r="T25" s="722">
        <v>50</v>
      </c>
      <c r="U25" s="722">
        <v>145</v>
      </c>
      <c r="V25" s="722">
        <v>145</v>
      </c>
      <c r="W25" s="722">
        <v>145</v>
      </c>
      <c r="X25" s="731">
        <f>SUM(T25:W25)</f>
        <v>485</v>
      </c>
      <c r="Y25" s="723" t="s">
        <v>1233</v>
      </c>
    </row>
    <row r="26" spans="2:25" ht="101.25">
      <c r="B26" s="1685"/>
      <c r="C26" s="2026"/>
      <c r="D26" s="2009"/>
      <c r="E26" s="2118"/>
      <c r="F26" s="2009"/>
      <c r="G26" s="2009"/>
      <c r="H26" s="2009"/>
      <c r="I26" s="2045"/>
      <c r="J26" s="2009"/>
      <c r="K26" s="2028"/>
      <c r="L26" s="801">
        <v>0.15</v>
      </c>
      <c r="M26" s="725">
        <v>1</v>
      </c>
      <c r="N26" s="608" t="s">
        <v>705</v>
      </c>
      <c r="O26" s="720" t="s">
        <v>12</v>
      </c>
      <c r="P26" s="818" t="s">
        <v>1261</v>
      </c>
      <c r="Q26" s="721" t="s">
        <v>1262</v>
      </c>
      <c r="R26" s="721" t="s">
        <v>1263</v>
      </c>
      <c r="S26" s="721">
        <v>1</v>
      </c>
      <c r="T26" s="722">
        <v>20</v>
      </c>
      <c r="U26" s="722">
        <v>55</v>
      </c>
      <c r="V26" s="722">
        <v>55</v>
      </c>
      <c r="W26" s="722">
        <v>55</v>
      </c>
      <c r="X26" s="731">
        <f>SUM(T26:W26)</f>
        <v>185</v>
      </c>
      <c r="Y26" s="723" t="s">
        <v>1233</v>
      </c>
    </row>
    <row r="27" spans="2:25" ht="113.25" customHeight="1">
      <c r="B27" s="1685"/>
      <c r="C27" s="2026"/>
      <c r="D27" s="2009"/>
      <c r="E27" s="2118"/>
      <c r="F27" s="2009"/>
      <c r="G27" s="2009"/>
      <c r="H27" s="2009"/>
      <c r="I27" s="2045"/>
      <c r="J27" s="2009"/>
      <c r="K27" s="2099" t="s">
        <v>702</v>
      </c>
      <c r="L27" s="801">
        <v>0.02</v>
      </c>
      <c r="M27" s="725">
        <v>4</v>
      </c>
      <c r="N27" s="608" t="s">
        <v>706</v>
      </c>
      <c r="O27" s="720" t="s">
        <v>12</v>
      </c>
      <c r="P27" s="818">
        <v>1</v>
      </c>
      <c r="Q27" s="721">
        <v>2</v>
      </c>
      <c r="R27" s="721">
        <v>3</v>
      </c>
      <c r="S27" s="721">
        <v>4</v>
      </c>
      <c r="T27" s="722">
        <v>40</v>
      </c>
      <c r="U27" s="722">
        <v>115</v>
      </c>
      <c r="V27" s="722">
        <v>115</v>
      </c>
      <c r="W27" s="722">
        <v>115</v>
      </c>
      <c r="X27" s="731">
        <f>SUM(T27:W27)</f>
        <v>385</v>
      </c>
      <c r="Y27" s="723" t="s">
        <v>1233</v>
      </c>
    </row>
    <row r="28" spans="2:25" ht="146.25">
      <c r="B28" s="1685"/>
      <c r="C28" s="2026"/>
      <c r="D28" s="2009"/>
      <c r="E28" s="2118"/>
      <c r="F28" s="2009"/>
      <c r="G28" s="2009"/>
      <c r="H28" s="2010"/>
      <c r="I28" s="2046"/>
      <c r="J28" s="2010"/>
      <c r="K28" s="2101"/>
      <c r="L28" s="801">
        <v>0.02</v>
      </c>
      <c r="M28" s="725">
        <v>4</v>
      </c>
      <c r="N28" s="792" t="s">
        <v>707</v>
      </c>
      <c r="O28" s="725" t="s">
        <v>12</v>
      </c>
      <c r="P28" s="818">
        <v>1</v>
      </c>
      <c r="Q28" s="721">
        <v>2</v>
      </c>
      <c r="R28" s="721">
        <v>3</v>
      </c>
      <c r="S28" s="721">
        <v>4</v>
      </c>
      <c r="T28" s="722">
        <v>35</v>
      </c>
      <c r="U28" s="722">
        <v>100</v>
      </c>
      <c r="V28" s="722">
        <v>100</v>
      </c>
      <c r="W28" s="722">
        <v>100</v>
      </c>
      <c r="X28" s="731">
        <f>SUM(T28:W28)</f>
        <v>335</v>
      </c>
      <c r="Y28" s="723" t="s">
        <v>1233</v>
      </c>
    </row>
    <row r="29" spans="2:25" ht="22.5" customHeight="1">
      <c r="B29" s="1685"/>
      <c r="C29" s="2026"/>
      <c r="D29" s="2010"/>
      <c r="E29" s="2119"/>
      <c r="F29" s="2010"/>
      <c r="G29" s="2010"/>
      <c r="H29" s="732"/>
      <c r="I29" s="724"/>
      <c r="J29" s="728"/>
      <c r="K29" s="807"/>
      <c r="L29" s="802">
        <f>SUM(L14:L28)</f>
        <v>1</v>
      </c>
      <c r="M29" s="725"/>
      <c r="N29" s="792"/>
      <c r="O29" s="725"/>
      <c r="P29" s="822"/>
      <c r="Q29" s="733"/>
      <c r="R29" s="733"/>
      <c r="S29" s="733"/>
      <c r="T29" s="722">
        <f>SUM(T24:T28)</f>
        <v>175</v>
      </c>
      <c r="U29" s="722">
        <f>SUM(U24:U28)</f>
        <v>500</v>
      </c>
      <c r="V29" s="722">
        <f>SUM(V24:V28)</f>
        <v>500</v>
      </c>
      <c r="W29" s="722">
        <f>SUM(W24:W28)</f>
        <v>500</v>
      </c>
      <c r="X29" s="731">
        <f>SUM(X24:X28)</f>
        <v>1676</v>
      </c>
      <c r="Y29" s="723" t="s">
        <v>1233</v>
      </c>
    </row>
    <row r="30" spans="2:25" ht="258.75">
      <c r="B30" s="1685"/>
      <c r="C30" s="2026"/>
      <c r="D30" s="2031" t="s">
        <v>710</v>
      </c>
      <c r="E30" s="2071">
        <v>12</v>
      </c>
      <c r="F30" s="2008" t="s">
        <v>1327</v>
      </c>
      <c r="G30" s="2031" t="s">
        <v>1320</v>
      </c>
      <c r="H30" s="2031" t="s">
        <v>1329</v>
      </c>
      <c r="I30" s="2031" t="s">
        <v>1326</v>
      </c>
      <c r="J30" s="2054" t="s">
        <v>710</v>
      </c>
      <c r="K30" s="813" t="s">
        <v>708</v>
      </c>
      <c r="L30" s="813">
        <v>27</v>
      </c>
      <c r="M30" s="813">
        <v>5</v>
      </c>
      <c r="N30" s="813" t="s">
        <v>709</v>
      </c>
      <c r="O30" s="813">
        <v>0</v>
      </c>
      <c r="P30" s="818">
        <v>1</v>
      </c>
      <c r="Q30" s="818">
        <v>2</v>
      </c>
      <c r="R30" s="818">
        <v>3</v>
      </c>
      <c r="S30" s="818">
        <v>5</v>
      </c>
      <c r="T30" s="819">
        <v>81.3</v>
      </c>
      <c r="U30" s="819" t="s">
        <v>1264</v>
      </c>
      <c r="V30" s="819" t="s">
        <v>1264</v>
      </c>
      <c r="W30" s="819" t="s">
        <v>1264</v>
      </c>
      <c r="X30" s="818">
        <v>325</v>
      </c>
      <c r="Y30" s="1909" t="s">
        <v>1265</v>
      </c>
    </row>
    <row r="31" spans="2:25" ht="112.5">
      <c r="B31" s="1685"/>
      <c r="C31" s="2026"/>
      <c r="D31" s="2032"/>
      <c r="E31" s="2072"/>
      <c r="F31" s="2009"/>
      <c r="G31" s="2032"/>
      <c r="H31" s="2032"/>
      <c r="I31" s="2032"/>
      <c r="J31" s="2054"/>
      <c r="K31" s="815" t="s">
        <v>1318</v>
      </c>
      <c r="L31" s="820">
        <v>15</v>
      </c>
      <c r="M31" s="813">
        <v>5</v>
      </c>
      <c r="N31" s="813" t="s">
        <v>714</v>
      </c>
      <c r="O31" s="813">
        <v>0</v>
      </c>
      <c r="P31" s="818">
        <v>1</v>
      </c>
      <c r="Q31" s="818">
        <v>2</v>
      </c>
      <c r="R31" s="818">
        <v>3</v>
      </c>
      <c r="S31" s="818">
        <v>5</v>
      </c>
      <c r="T31" s="819">
        <v>81.3</v>
      </c>
      <c r="U31" s="819" t="s">
        <v>1264</v>
      </c>
      <c r="V31" s="819" t="s">
        <v>1264</v>
      </c>
      <c r="W31" s="819" t="s">
        <v>1264</v>
      </c>
      <c r="X31" s="818">
        <v>325</v>
      </c>
      <c r="Y31" s="2058"/>
    </row>
    <row r="32" spans="2:25" ht="101.25">
      <c r="B32" s="1685"/>
      <c r="C32" s="2026"/>
      <c r="D32" s="2032"/>
      <c r="E32" s="2072"/>
      <c r="F32" s="2009"/>
      <c r="G32" s="2032"/>
      <c r="H32" s="2032"/>
      <c r="I32" s="2032"/>
      <c r="J32" s="2054"/>
      <c r="K32" s="815" t="s">
        <v>1319</v>
      </c>
      <c r="L32" s="820">
        <v>10</v>
      </c>
      <c r="M32" s="813">
        <v>20</v>
      </c>
      <c r="N32" s="813" t="s">
        <v>715</v>
      </c>
      <c r="O32" s="813">
        <v>0</v>
      </c>
      <c r="P32" s="818">
        <v>3</v>
      </c>
      <c r="Q32" s="818">
        <v>8</v>
      </c>
      <c r="R32" s="818">
        <v>14</v>
      </c>
      <c r="S32" s="818">
        <v>20</v>
      </c>
      <c r="T32" s="819">
        <v>81.3</v>
      </c>
      <c r="U32" s="819" t="s">
        <v>1264</v>
      </c>
      <c r="V32" s="819" t="s">
        <v>1264</v>
      </c>
      <c r="W32" s="819" t="s">
        <v>1264</v>
      </c>
      <c r="X32" s="818">
        <v>325</v>
      </c>
      <c r="Y32" s="2058"/>
    </row>
    <row r="33" spans="2:25" ht="15">
      <c r="B33" s="1685"/>
      <c r="C33" s="2026"/>
      <c r="D33" s="2032"/>
      <c r="E33" s="2072"/>
      <c r="F33" s="2009"/>
      <c r="G33" s="2032"/>
      <c r="H33" s="2032"/>
      <c r="I33" s="2032"/>
      <c r="J33" s="2054"/>
      <c r="K33" s="2054" t="s">
        <v>711</v>
      </c>
      <c r="L33" s="1909">
        <v>10</v>
      </c>
      <c r="M33" s="2054">
        <v>8</v>
      </c>
      <c r="N33" s="2054" t="s">
        <v>716</v>
      </c>
      <c r="O33" s="2054">
        <v>5</v>
      </c>
      <c r="P33" s="2034">
        <v>5</v>
      </c>
      <c r="Q33" s="2034">
        <v>6</v>
      </c>
      <c r="R33" s="2034">
        <v>7</v>
      </c>
      <c r="S33" s="2034">
        <v>8</v>
      </c>
      <c r="T33" s="2060">
        <v>243.7</v>
      </c>
      <c r="U33" s="2060">
        <v>245</v>
      </c>
      <c r="V33" s="2060">
        <v>245</v>
      </c>
      <c r="W33" s="2060">
        <v>245</v>
      </c>
      <c r="X33" s="2034" t="s">
        <v>1266</v>
      </c>
      <c r="Y33" s="2058"/>
    </row>
    <row r="34" spans="2:25" ht="20.25" customHeight="1">
      <c r="B34" s="1685"/>
      <c r="C34" s="2026"/>
      <c r="D34" s="2032"/>
      <c r="E34" s="2072"/>
      <c r="F34" s="2009"/>
      <c r="G34" s="2032"/>
      <c r="H34" s="2032"/>
      <c r="I34" s="2032"/>
      <c r="J34" s="2054"/>
      <c r="K34" s="2054"/>
      <c r="L34" s="1910"/>
      <c r="M34" s="2054"/>
      <c r="N34" s="2054"/>
      <c r="O34" s="2054"/>
      <c r="P34" s="1907"/>
      <c r="Q34" s="1907"/>
      <c r="R34" s="1907"/>
      <c r="S34" s="1907"/>
      <c r="T34" s="2061"/>
      <c r="U34" s="2061"/>
      <c r="V34" s="2061"/>
      <c r="W34" s="2061"/>
      <c r="X34" s="1907"/>
      <c r="Y34" s="2058"/>
    </row>
    <row r="35" spans="2:25" ht="42" customHeight="1">
      <c r="B35" s="1685"/>
      <c r="C35" s="2026"/>
      <c r="D35" s="2032"/>
      <c r="E35" s="2072"/>
      <c r="F35" s="2009"/>
      <c r="G35" s="2032"/>
      <c r="H35" s="2032"/>
      <c r="I35" s="2032"/>
      <c r="J35" s="2054"/>
      <c r="K35" s="2054"/>
      <c r="L35" s="2033"/>
      <c r="M35" s="2054"/>
      <c r="N35" s="2054"/>
      <c r="O35" s="2054"/>
      <c r="P35" s="2035"/>
      <c r="Q35" s="2035"/>
      <c r="R35" s="2035"/>
      <c r="S35" s="2035"/>
      <c r="T35" s="2062"/>
      <c r="U35" s="2062"/>
      <c r="V35" s="2062"/>
      <c r="W35" s="2062"/>
      <c r="X35" s="2035"/>
      <c r="Y35" s="2059"/>
    </row>
    <row r="36" spans="2:25" ht="27.75" customHeight="1">
      <c r="B36" s="1685"/>
      <c r="C36" s="2026"/>
      <c r="D36" s="2032"/>
      <c r="E36" s="2072"/>
      <c r="F36" s="2009"/>
      <c r="G36" s="2032"/>
      <c r="H36" s="2032"/>
      <c r="I36" s="2032"/>
      <c r="J36" s="2054"/>
      <c r="K36" s="2054" t="s">
        <v>712</v>
      </c>
      <c r="L36" s="1909">
        <v>10</v>
      </c>
      <c r="M36" s="2054">
        <v>30</v>
      </c>
      <c r="N36" s="2054" t="s">
        <v>717</v>
      </c>
      <c r="O36" s="2073"/>
      <c r="P36" s="2034">
        <v>5</v>
      </c>
      <c r="Q36" s="2034">
        <v>13</v>
      </c>
      <c r="R36" s="2034">
        <v>22</v>
      </c>
      <c r="S36" s="2034">
        <v>30</v>
      </c>
      <c r="T36" s="2060">
        <v>224</v>
      </c>
      <c r="U36" s="2060">
        <v>224</v>
      </c>
      <c r="V36" s="2060">
        <v>224</v>
      </c>
      <c r="W36" s="2060">
        <v>224</v>
      </c>
      <c r="X36" s="2034">
        <v>896</v>
      </c>
      <c r="Y36" s="2083" t="s">
        <v>1233</v>
      </c>
    </row>
    <row r="37" spans="2:25" ht="15">
      <c r="B37" s="1685"/>
      <c r="C37" s="2026"/>
      <c r="D37" s="2032"/>
      <c r="E37" s="2072"/>
      <c r="F37" s="2009"/>
      <c r="G37" s="2032"/>
      <c r="H37" s="2032"/>
      <c r="I37" s="2032"/>
      <c r="J37" s="2054"/>
      <c r="K37" s="2054"/>
      <c r="L37" s="1910"/>
      <c r="M37" s="2054"/>
      <c r="N37" s="2054"/>
      <c r="O37" s="2073"/>
      <c r="P37" s="1907"/>
      <c r="Q37" s="1907"/>
      <c r="R37" s="1907"/>
      <c r="S37" s="1907"/>
      <c r="T37" s="2061"/>
      <c r="U37" s="2061"/>
      <c r="V37" s="2061"/>
      <c r="W37" s="2061"/>
      <c r="X37" s="1907"/>
      <c r="Y37" s="2084"/>
    </row>
    <row r="38" spans="2:25" ht="15">
      <c r="B38" s="1685"/>
      <c r="C38" s="2026"/>
      <c r="D38" s="2032"/>
      <c r="E38" s="2072"/>
      <c r="F38" s="2009"/>
      <c r="G38" s="2032"/>
      <c r="H38" s="2032"/>
      <c r="I38" s="2032"/>
      <c r="J38" s="2054"/>
      <c r="K38" s="2054"/>
      <c r="L38" s="1910"/>
      <c r="M38" s="2054"/>
      <c r="N38" s="2054"/>
      <c r="O38" s="2073"/>
      <c r="P38" s="1907"/>
      <c r="Q38" s="1907"/>
      <c r="R38" s="1907"/>
      <c r="S38" s="1907"/>
      <c r="T38" s="2061"/>
      <c r="U38" s="2061"/>
      <c r="V38" s="2061"/>
      <c r="W38" s="2061"/>
      <c r="X38" s="1907"/>
      <c r="Y38" s="2084"/>
    </row>
    <row r="39" spans="2:25" ht="15">
      <c r="B39" s="1685"/>
      <c r="C39" s="2026"/>
      <c r="D39" s="2032"/>
      <c r="E39" s="2072"/>
      <c r="F39" s="2009"/>
      <c r="G39" s="2032"/>
      <c r="H39" s="2032"/>
      <c r="I39" s="2032"/>
      <c r="J39" s="2054"/>
      <c r="K39" s="2054"/>
      <c r="L39" s="1910"/>
      <c r="M39" s="2054"/>
      <c r="N39" s="2054"/>
      <c r="O39" s="2073"/>
      <c r="P39" s="1907"/>
      <c r="Q39" s="1907"/>
      <c r="R39" s="1907"/>
      <c r="S39" s="1907"/>
      <c r="T39" s="2061"/>
      <c r="U39" s="2061"/>
      <c r="V39" s="2061"/>
      <c r="W39" s="2061"/>
      <c r="X39" s="1907"/>
      <c r="Y39" s="2084"/>
    </row>
    <row r="40" spans="2:25" ht="15">
      <c r="B40" s="1685"/>
      <c r="C40" s="2026"/>
      <c r="D40" s="2032"/>
      <c r="E40" s="2072"/>
      <c r="F40" s="2009"/>
      <c r="G40" s="2032"/>
      <c r="H40" s="2032"/>
      <c r="I40" s="2032"/>
      <c r="J40" s="2054"/>
      <c r="K40" s="2054"/>
      <c r="L40" s="1910"/>
      <c r="M40" s="2054"/>
      <c r="N40" s="2054"/>
      <c r="O40" s="2073"/>
      <c r="P40" s="1907"/>
      <c r="Q40" s="1907"/>
      <c r="R40" s="1907"/>
      <c r="S40" s="1907"/>
      <c r="T40" s="2061"/>
      <c r="U40" s="2061"/>
      <c r="V40" s="2061"/>
      <c r="W40" s="2061"/>
      <c r="X40" s="1907"/>
      <c r="Y40" s="2084"/>
    </row>
    <row r="41" spans="2:25" ht="15">
      <c r="B41" s="1685"/>
      <c r="C41" s="2026"/>
      <c r="D41" s="2032"/>
      <c r="E41" s="2072"/>
      <c r="F41" s="2009"/>
      <c r="G41" s="2032"/>
      <c r="H41" s="2032"/>
      <c r="I41" s="2032"/>
      <c r="J41" s="2054"/>
      <c r="K41" s="2054"/>
      <c r="L41" s="1910"/>
      <c r="M41" s="2054"/>
      <c r="N41" s="2054"/>
      <c r="O41" s="2073"/>
      <c r="P41" s="1907"/>
      <c r="Q41" s="1907"/>
      <c r="R41" s="1907"/>
      <c r="S41" s="1907"/>
      <c r="T41" s="2061"/>
      <c r="U41" s="2061"/>
      <c r="V41" s="2061"/>
      <c r="W41" s="2061"/>
      <c r="X41" s="1907"/>
      <c r="Y41" s="2084"/>
    </row>
    <row r="42" spans="2:25" ht="15">
      <c r="B42" s="1685"/>
      <c r="C42" s="2026"/>
      <c r="D42" s="2032"/>
      <c r="E42" s="2072"/>
      <c r="F42" s="2009"/>
      <c r="G42" s="2032"/>
      <c r="H42" s="2032"/>
      <c r="I42" s="2032"/>
      <c r="J42" s="2054"/>
      <c r="K42" s="2054"/>
      <c r="L42" s="2033"/>
      <c r="M42" s="2054"/>
      <c r="N42" s="2054"/>
      <c r="O42" s="2073"/>
      <c r="P42" s="2035"/>
      <c r="Q42" s="2035"/>
      <c r="R42" s="2035"/>
      <c r="S42" s="2035"/>
      <c r="T42" s="2062"/>
      <c r="U42" s="2062"/>
      <c r="V42" s="2062"/>
      <c r="W42" s="2062"/>
      <c r="X42" s="2035"/>
      <c r="Y42" s="2085"/>
    </row>
    <row r="43" spans="2:25" ht="90">
      <c r="B43" s="1685"/>
      <c r="C43" s="2026"/>
      <c r="D43" s="2032"/>
      <c r="E43" s="2072"/>
      <c r="F43" s="2009"/>
      <c r="G43" s="2032"/>
      <c r="H43" s="2032"/>
      <c r="I43" s="2032"/>
      <c r="J43" s="2054"/>
      <c r="K43" s="2031" t="s">
        <v>713</v>
      </c>
      <c r="L43" s="821">
        <v>13</v>
      </c>
      <c r="M43" s="813">
        <v>30</v>
      </c>
      <c r="N43" s="821" t="s">
        <v>718</v>
      </c>
      <c r="O43" s="821"/>
      <c r="P43" s="818">
        <v>6</v>
      </c>
      <c r="Q43" s="818">
        <v>14</v>
      </c>
      <c r="R43" s="818">
        <v>22</v>
      </c>
      <c r="S43" s="818">
        <v>30</v>
      </c>
      <c r="T43" s="819">
        <v>60</v>
      </c>
      <c r="U43" s="819">
        <v>60</v>
      </c>
      <c r="V43" s="819">
        <v>60</v>
      </c>
      <c r="W43" s="819">
        <v>60</v>
      </c>
      <c r="X43" s="818">
        <v>240</v>
      </c>
      <c r="Y43" s="1909" t="s">
        <v>1267</v>
      </c>
    </row>
    <row r="44" spans="2:25" ht="15">
      <c r="B44" s="1685"/>
      <c r="C44" s="2026"/>
      <c r="D44" s="2032"/>
      <c r="E44" s="2072"/>
      <c r="F44" s="2009"/>
      <c r="G44" s="2032"/>
      <c r="H44" s="2032"/>
      <c r="I44" s="2032"/>
      <c r="J44" s="2054"/>
      <c r="K44" s="2032"/>
      <c r="L44" s="2031">
        <v>15</v>
      </c>
      <c r="M44" s="2054">
        <v>200</v>
      </c>
      <c r="N44" s="2054" t="s">
        <v>719</v>
      </c>
      <c r="O44" s="2031">
        <v>2000</v>
      </c>
      <c r="P44" s="2034">
        <v>2020</v>
      </c>
      <c r="Q44" s="2034">
        <v>2080</v>
      </c>
      <c r="R44" s="2034">
        <v>2140</v>
      </c>
      <c r="S44" s="2034">
        <v>2200</v>
      </c>
      <c r="T44" s="2060">
        <v>60</v>
      </c>
      <c r="U44" s="2060">
        <v>60</v>
      </c>
      <c r="V44" s="2060">
        <v>60</v>
      </c>
      <c r="W44" s="2060">
        <v>60</v>
      </c>
      <c r="X44" s="2034">
        <v>240</v>
      </c>
      <c r="Y44" s="1910"/>
    </row>
    <row r="45" spans="2:25" ht="15">
      <c r="B45" s="1685"/>
      <c r="C45" s="2026"/>
      <c r="D45" s="2032"/>
      <c r="E45" s="2072"/>
      <c r="F45" s="2009"/>
      <c r="G45" s="2032"/>
      <c r="H45" s="2032"/>
      <c r="I45" s="2032"/>
      <c r="J45" s="2054"/>
      <c r="K45" s="2032"/>
      <c r="L45" s="2032"/>
      <c r="M45" s="2054"/>
      <c r="N45" s="2054"/>
      <c r="O45" s="2032"/>
      <c r="P45" s="1907"/>
      <c r="Q45" s="1907"/>
      <c r="R45" s="1907"/>
      <c r="S45" s="1907"/>
      <c r="T45" s="2061"/>
      <c r="U45" s="2061"/>
      <c r="V45" s="2061"/>
      <c r="W45" s="2061"/>
      <c r="X45" s="1907"/>
      <c r="Y45" s="1910"/>
    </row>
    <row r="46" spans="2:25" ht="15">
      <c r="B46" s="1685"/>
      <c r="C46" s="2026"/>
      <c r="D46" s="2032"/>
      <c r="E46" s="2072"/>
      <c r="F46" s="2009"/>
      <c r="G46" s="2032"/>
      <c r="H46" s="2032"/>
      <c r="I46" s="2032"/>
      <c r="J46" s="2054"/>
      <c r="K46" s="2032"/>
      <c r="L46" s="2032"/>
      <c r="M46" s="2054"/>
      <c r="N46" s="2054"/>
      <c r="O46" s="2032"/>
      <c r="P46" s="1907"/>
      <c r="Q46" s="1907"/>
      <c r="R46" s="1907"/>
      <c r="S46" s="1907"/>
      <c r="T46" s="2061"/>
      <c r="U46" s="2061"/>
      <c r="V46" s="2061"/>
      <c r="W46" s="2061"/>
      <c r="X46" s="1907"/>
      <c r="Y46" s="1910"/>
    </row>
    <row r="47" spans="2:25" ht="15">
      <c r="B47" s="1685"/>
      <c r="C47" s="2026"/>
      <c r="D47" s="2032"/>
      <c r="E47" s="2072"/>
      <c r="F47" s="2009"/>
      <c r="G47" s="2032"/>
      <c r="H47" s="2032"/>
      <c r="I47" s="2032"/>
      <c r="J47" s="2054"/>
      <c r="K47" s="2032"/>
      <c r="L47" s="2032"/>
      <c r="M47" s="2054"/>
      <c r="N47" s="2054"/>
      <c r="O47" s="2032"/>
      <c r="P47" s="1907"/>
      <c r="Q47" s="1907"/>
      <c r="R47" s="1907"/>
      <c r="S47" s="1907"/>
      <c r="T47" s="2061"/>
      <c r="U47" s="2061"/>
      <c r="V47" s="2061"/>
      <c r="W47" s="2061"/>
      <c r="X47" s="1907"/>
      <c r="Y47" s="1910"/>
    </row>
    <row r="48" spans="2:25" ht="15">
      <c r="B48" s="1685"/>
      <c r="C48" s="2026"/>
      <c r="D48" s="2032"/>
      <c r="E48" s="2072"/>
      <c r="F48" s="2009"/>
      <c r="G48" s="2032"/>
      <c r="H48" s="2032"/>
      <c r="I48" s="2032"/>
      <c r="J48" s="2054"/>
      <c r="K48" s="2032"/>
      <c r="L48" s="2032"/>
      <c r="M48" s="2054"/>
      <c r="N48" s="2054"/>
      <c r="O48" s="2032"/>
      <c r="P48" s="1907"/>
      <c r="Q48" s="1907"/>
      <c r="R48" s="1907"/>
      <c r="S48" s="1907"/>
      <c r="T48" s="2061"/>
      <c r="U48" s="2061"/>
      <c r="V48" s="2061"/>
      <c r="W48" s="2061"/>
      <c r="X48" s="1907"/>
      <c r="Y48" s="1910"/>
    </row>
    <row r="49" spans="2:25" ht="15">
      <c r="B49" s="1685"/>
      <c r="C49" s="2026"/>
      <c r="D49" s="2032"/>
      <c r="E49" s="2072"/>
      <c r="F49" s="2009"/>
      <c r="G49" s="2032"/>
      <c r="H49" s="2032"/>
      <c r="I49" s="2032"/>
      <c r="J49" s="2054"/>
      <c r="K49" s="2032"/>
      <c r="L49" s="2032"/>
      <c r="M49" s="2054"/>
      <c r="N49" s="2054"/>
      <c r="O49" s="2032"/>
      <c r="P49" s="1907"/>
      <c r="Q49" s="1907"/>
      <c r="R49" s="1907"/>
      <c r="S49" s="1907"/>
      <c r="T49" s="2061"/>
      <c r="U49" s="2061"/>
      <c r="V49" s="2061"/>
      <c r="W49" s="2061"/>
      <c r="X49" s="1907"/>
      <c r="Y49" s="1910"/>
    </row>
    <row r="50" spans="2:25" ht="15">
      <c r="B50" s="1685"/>
      <c r="C50" s="2026"/>
      <c r="D50" s="2032"/>
      <c r="E50" s="2072"/>
      <c r="F50" s="2010"/>
      <c r="G50" s="2050"/>
      <c r="H50" s="2050"/>
      <c r="I50" s="2050"/>
      <c r="J50" s="2054"/>
      <c r="K50" s="2050"/>
      <c r="L50" s="2050"/>
      <c r="M50" s="2054"/>
      <c r="N50" s="2054"/>
      <c r="O50" s="2050"/>
      <c r="P50" s="2035"/>
      <c r="Q50" s="2035"/>
      <c r="R50" s="2035"/>
      <c r="S50" s="2035"/>
      <c r="T50" s="2062"/>
      <c r="U50" s="2062"/>
      <c r="V50" s="2062"/>
      <c r="W50" s="2062"/>
      <c r="X50" s="2035"/>
      <c r="Y50" s="2033"/>
    </row>
    <row r="51" spans="2:25" ht="15">
      <c r="B51" s="1685"/>
      <c r="C51" s="2026"/>
      <c r="D51" s="813"/>
      <c r="E51" s="814"/>
      <c r="F51" s="703"/>
      <c r="G51" s="703"/>
      <c r="H51" s="704"/>
      <c r="I51" s="712"/>
      <c r="J51" s="706"/>
      <c r="K51" s="808"/>
      <c r="L51" s="793">
        <f>SUM(L30:L50)</f>
        <v>100</v>
      </c>
      <c r="M51" s="706"/>
      <c r="N51" s="792"/>
      <c r="O51" s="704"/>
      <c r="P51" s="823"/>
      <c r="Q51" s="705"/>
      <c r="R51" s="705"/>
      <c r="S51" s="705"/>
      <c r="T51" s="708"/>
      <c r="U51" s="708"/>
      <c r="V51" s="708"/>
      <c r="W51" s="708"/>
      <c r="X51" s="705"/>
      <c r="Y51" s="707"/>
    </row>
    <row r="52" spans="2:25" ht="78.75">
      <c r="B52" s="1685"/>
      <c r="C52" s="2026"/>
      <c r="D52" s="2095" t="s">
        <v>720</v>
      </c>
      <c r="E52" s="2089">
        <v>2</v>
      </c>
      <c r="F52" s="2074">
        <v>0.5</v>
      </c>
      <c r="G52" s="1684" t="s">
        <v>135</v>
      </c>
      <c r="H52" s="2123">
        <v>0</v>
      </c>
      <c r="I52" s="2051"/>
      <c r="J52" s="1700" t="s">
        <v>721</v>
      </c>
      <c r="K52" s="806" t="s">
        <v>722</v>
      </c>
      <c r="L52" s="736">
        <v>0.585</v>
      </c>
      <c r="M52" s="716">
        <v>1</v>
      </c>
      <c r="N52" s="792" t="s">
        <v>725</v>
      </c>
      <c r="O52" s="473" t="s">
        <v>728</v>
      </c>
      <c r="P52" s="818" t="s">
        <v>1261</v>
      </c>
      <c r="Q52" s="647" t="s">
        <v>1268</v>
      </c>
      <c r="R52" s="647" t="s">
        <v>1263</v>
      </c>
      <c r="S52" s="647">
        <v>1</v>
      </c>
      <c r="T52" s="648">
        <v>40</v>
      </c>
      <c r="U52" s="648">
        <v>90</v>
      </c>
      <c r="V52" s="648">
        <v>90</v>
      </c>
      <c r="W52" s="648">
        <v>90</v>
      </c>
      <c r="X52" s="647">
        <v>310</v>
      </c>
      <c r="Y52" s="2005" t="s">
        <v>1265</v>
      </c>
    </row>
    <row r="53" spans="2:25" ht="112.5">
      <c r="B53" s="1685"/>
      <c r="C53" s="2026"/>
      <c r="D53" s="2095"/>
      <c r="E53" s="2090"/>
      <c r="F53" s="2075"/>
      <c r="G53" s="1685"/>
      <c r="H53" s="2124"/>
      <c r="I53" s="2052"/>
      <c r="J53" s="1700"/>
      <c r="K53" s="806" t="s">
        <v>723</v>
      </c>
      <c r="L53" s="736">
        <v>0.205</v>
      </c>
      <c r="M53" s="716">
        <v>1</v>
      </c>
      <c r="N53" s="792" t="s">
        <v>726</v>
      </c>
      <c r="O53" s="473">
        <v>0</v>
      </c>
      <c r="P53" s="818" t="s">
        <v>1269</v>
      </c>
      <c r="Q53" s="647" t="s">
        <v>1262</v>
      </c>
      <c r="R53" s="647" t="s">
        <v>1263</v>
      </c>
      <c r="S53" s="647">
        <v>1</v>
      </c>
      <c r="T53" s="648">
        <v>30</v>
      </c>
      <c r="U53" s="648">
        <v>30</v>
      </c>
      <c r="V53" s="648">
        <v>30</v>
      </c>
      <c r="W53" s="648">
        <v>30</v>
      </c>
      <c r="X53" s="647">
        <v>120</v>
      </c>
      <c r="Y53" s="2069"/>
    </row>
    <row r="54" spans="2:25" ht="56.25">
      <c r="B54" s="1685"/>
      <c r="C54" s="2026"/>
      <c r="D54" s="2095"/>
      <c r="E54" s="2091"/>
      <c r="F54" s="2075"/>
      <c r="G54" s="1685"/>
      <c r="H54" s="2125"/>
      <c r="I54" s="2053"/>
      <c r="J54" s="1700"/>
      <c r="K54" s="806" t="s">
        <v>724</v>
      </c>
      <c r="L54" s="737">
        <v>0.21</v>
      </c>
      <c r="M54" s="650">
        <v>0.8</v>
      </c>
      <c r="N54" s="792" t="s">
        <v>727</v>
      </c>
      <c r="O54" s="473">
        <v>0</v>
      </c>
      <c r="P54" s="818">
        <v>20</v>
      </c>
      <c r="Q54" s="647">
        <v>40</v>
      </c>
      <c r="R54" s="647">
        <v>60</v>
      </c>
      <c r="S54" s="647">
        <v>80</v>
      </c>
      <c r="T54" s="648">
        <v>30</v>
      </c>
      <c r="U54" s="648">
        <v>30</v>
      </c>
      <c r="V54" s="648">
        <v>30</v>
      </c>
      <c r="W54" s="648">
        <v>30</v>
      </c>
      <c r="X54" s="647">
        <v>120</v>
      </c>
      <c r="Y54" s="2070"/>
    </row>
    <row r="55" spans="2:25" ht="15">
      <c r="B55" s="1685"/>
      <c r="C55" s="2026"/>
      <c r="D55" s="816"/>
      <c r="E55" s="817"/>
      <c r="F55" s="2075"/>
      <c r="G55" s="1685"/>
      <c r="H55" s="651"/>
      <c r="I55" s="712"/>
      <c r="J55" s="702"/>
      <c r="K55" s="806"/>
      <c r="L55" s="738">
        <f>SUM(L52:L54)</f>
        <v>0.9999999999999999</v>
      </c>
      <c r="M55" s="650"/>
      <c r="N55" s="792"/>
      <c r="O55" s="706"/>
      <c r="P55" s="818"/>
      <c r="Q55" s="647"/>
      <c r="R55" s="647"/>
      <c r="S55" s="647"/>
      <c r="T55" s="648"/>
      <c r="U55" s="648"/>
      <c r="V55" s="648"/>
      <c r="W55" s="648"/>
      <c r="X55" s="647"/>
      <c r="Y55" s="709"/>
    </row>
    <row r="56" spans="2:25" ht="56.25">
      <c r="B56" s="1685"/>
      <c r="C56" s="2026"/>
      <c r="D56" s="2086" t="s">
        <v>1322</v>
      </c>
      <c r="E56" s="2089">
        <v>13.4</v>
      </c>
      <c r="F56" s="2075"/>
      <c r="G56" s="1685"/>
      <c r="H56" s="1992">
        <v>1.94</v>
      </c>
      <c r="I56" s="2047">
        <v>0.5194</v>
      </c>
      <c r="J56" s="2092" t="s">
        <v>729</v>
      </c>
      <c r="K56" s="806" t="s">
        <v>732</v>
      </c>
      <c r="L56" s="739">
        <v>0.04</v>
      </c>
      <c r="M56" s="653">
        <v>0.1</v>
      </c>
      <c r="N56" s="596" t="s">
        <v>1270</v>
      </c>
      <c r="O56" s="596" t="s">
        <v>741</v>
      </c>
      <c r="P56" s="818" t="s">
        <v>1271</v>
      </c>
      <c r="Q56" s="655">
        <v>0.05</v>
      </c>
      <c r="R56" s="654" t="s">
        <v>1272</v>
      </c>
      <c r="S56" s="655">
        <v>0.1</v>
      </c>
      <c r="T56" s="656">
        <v>30</v>
      </c>
      <c r="U56" s="656">
        <v>50</v>
      </c>
      <c r="V56" s="656">
        <v>50</v>
      </c>
      <c r="W56" s="656">
        <v>50</v>
      </c>
      <c r="X56" s="656">
        <f>SUM(T56:W56)</f>
        <v>180</v>
      </c>
      <c r="Y56" s="657" t="s">
        <v>1233</v>
      </c>
    </row>
    <row r="57" spans="2:25" ht="67.5">
      <c r="B57" s="1685"/>
      <c r="C57" s="2026"/>
      <c r="D57" s="2087"/>
      <c r="E57" s="2090"/>
      <c r="F57" s="2075"/>
      <c r="G57" s="1685"/>
      <c r="H57" s="1993"/>
      <c r="I57" s="2048"/>
      <c r="J57" s="2093"/>
      <c r="K57" s="806" t="s">
        <v>733</v>
      </c>
      <c r="L57" s="739">
        <f aca="true" t="shared" si="0" ref="L57:L65">+(X57/SUM($X$56:$X$67))</f>
        <v>0.03550295857988166</v>
      </c>
      <c r="M57" s="653">
        <v>0.1</v>
      </c>
      <c r="N57" s="596" t="s">
        <v>740</v>
      </c>
      <c r="O57" s="598">
        <v>0</v>
      </c>
      <c r="P57" s="818" t="s">
        <v>1271</v>
      </c>
      <c r="Q57" s="655">
        <v>0.05</v>
      </c>
      <c r="R57" s="654" t="s">
        <v>1272</v>
      </c>
      <c r="S57" s="655">
        <v>0.1</v>
      </c>
      <c r="T57" s="656">
        <v>30</v>
      </c>
      <c r="U57" s="656">
        <v>50</v>
      </c>
      <c r="V57" s="656">
        <v>50</v>
      </c>
      <c r="W57" s="656">
        <v>50</v>
      </c>
      <c r="X57" s="656">
        <f aca="true" t="shared" si="1" ref="X57:X72">SUM(T57:W57)</f>
        <v>180</v>
      </c>
      <c r="Y57" s="657" t="s">
        <v>1233</v>
      </c>
    </row>
    <row r="58" spans="2:25" ht="56.25">
      <c r="B58" s="1685"/>
      <c r="C58" s="2026"/>
      <c r="D58" s="2087"/>
      <c r="E58" s="2090"/>
      <c r="F58" s="2075"/>
      <c r="G58" s="1685"/>
      <c r="H58" s="1993"/>
      <c r="I58" s="2048"/>
      <c r="J58" s="2094"/>
      <c r="K58" s="806" t="s">
        <v>734</v>
      </c>
      <c r="L58" s="739">
        <f t="shared" si="0"/>
        <v>0.19723865877712032</v>
      </c>
      <c r="M58" s="653">
        <v>0.8</v>
      </c>
      <c r="N58" s="596" t="s">
        <v>739</v>
      </c>
      <c r="O58" s="598" t="s">
        <v>1273</v>
      </c>
      <c r="P58" s="824">
        <v>0.2</v>
      </c>
      <c r="Q58" s="655">
        <v>0.4</v>
      </c>
      <c r="R58" s="655">
        <v>0.6</v>
      </c>
      <c r="S58" s="655">
        <v>0.8</v>
      </c>
      <c r="T58" s="656">
        <v>100</v>
      </c>
      <c r="U58" s="656">
        <v>300</v>
      </c>
      <c r="V58" s="656">
        <v>300</v>
      </c>
      <c r="W58" s="656">
        <v>300</v>
      </c>
      <c r="X58" s="656">
        <f t="shared" si="1"/>
        <v>1000</v>
      </c>
      <c r="Y58" s="657" t="s">
        <v>1233</v>
      </c>
    </row>
    <row r="59" spans="2:25" ht="67.5">
      <c r="B59" s="1685"/>
      <c r="C59" s="2026"/>
      <c r="D59" s="2087"/>
      <c r="E59" s="2090"/>
      <c r="F59" s="2075"/>
      <c r="G59" s="1685"/>
      <c r="H59" s="1993"/>
      <c r="I59" s="2048"/>
      <c r="J59" s="1992" t="s">
        <v>730</v>
      </c>
      <c r="K59" s="805" t="s">
        <v>735</v>
      </c>
      <c r="L59" s="739">
        <f t="shared" si="0"/>
        <v>0.005917159763313609</v>
      </c>
      <c r="M59" s="653">
        <v>0.1</v>
      </c>
      <c r="N59" s="596" t="s">
        <v>742</v>
      </c>
      <c r="O59" s="596" t="s">
        <v>746</v>
      </c>
      <c r="P59" s="818" t="s">
        <v>1271</v>
      </c>
      <c r="Q59" s="655">
        <v>0.05</v>
      </c>
      <c r="R59" s="654" t="s">
        <v>1272</v>
      </c>
      <c r="S59" s="655">
        <v>0.1</v>
      </c>
      <c r="T59" s="658">
        <v>0</v>
      </c>
      <c r="U59" s="656">
        <v>30</v>
      </c>
      <c r="V59" s="656">
        <v>0</v>
      </c>
      <c r="W59" s="656">
        <v>0</v>
      </c>
      <c r="X59" s="656">
        <f t="shared" si="1"/>
        <v>30</v>
      </c>
      <c r="Y59" s="657" t="s">
        <v>1233</v>
      </c>
    </row>
    <row r="60" spans="2:25" ht="56.25">
      <c r="B60" s="1685"/>
      <c r="C60" s="2026"/>
      <c r="D60" s="2087"/>
      <c r="E60" s="2090"/>
      <c r="F60" s="2075"/>
      <c r="G60" s="1685"/>
      <c r="H60" s="1993"/>
      <c r="I60" s="2048"/>
      <c r="J60" s="1993"/>
      <c r="K60" s="805" t="s">
        <v>736</v>
      </c>
      <c r="L60" s="739">
        <f t="shared" si="0"/>
        <v>0.021696252465483234</v>
      </c>
      <c r="M60" s="653">
        <v>0.3</v>
      </c>
      <c r="N60" s="596" t="s">
        <v>743</v>
      </c>
      <c r="O60" s="598">
        <v>0</v>
      </c>
      <c r="P60" s="824">
        <v>0.03</v>
      </c>
      <c r="Q60" s="655">
        <v>0.13</v>
      </c>
      <c r="R60" s="655">
        <v>0.23</v>
      </c>
      <c r="S60" s="655">
        <v>0.3</v>
      </c>
      <c r="T60" s="658">
        <v>20</v>
      </c>
      <c r="U60" s="656">
        <v>70</v>
      </c>
      <c r="V60" s="656">
        <v>10</v>
      </c>
      <c r="W60" s="656">
        <v>10</v>
      </c>
      <c r="X60" s="656">
        <f t="shared" si="1"/>
        <v>110</v>
      </c>
      <c r="Y60" s="657" t="s">
        <v>1233</v>
      </c>
    </row>
    <row r="61" spans="2:25" ht="56.25">
      <c r="B61" s="1685"/>
      <c r="C61" s="2026"/>
      <c r="D61" s="2087"/>
      <c r="E61" s="2090"/>
      <c r="F61" s="2075"/>
      <c r="G61" s="1685"/>
      <c r="H61" s="1993"/>
      <c r="I61" s="2048"/>
      <c r="J61" s="1993"/>
      <c r="K61" s="805" t="s">
        <v>737</v>
      </c>
      <c r="L61" s="739">
        <f t="shared" si="0"/>
        <v>0.07495069033530571</v>
      </c>
      <c r="M61" s="653">
        <v>0.4</v>
      </c>
      <c r="N61" s="596" t="s">
        <v>744</v>
      </c>
      <c r="O61" s="598">
        <v>0</v>
      </c>
      <c r="P61" s="824">
        <v>0.05</v>
      </c>
      <c r="Q61" s="655">
        <v>0.15</v>
      </c>
      <c r="R61" s="655">
        <v>0.3</v>
      </c>
      <c r="S61" s="655">
        <v>0.4</v>
      </c>
      <c r="T61" s="658">
        <v>150</v>
      </c>
      <c r="U61" s="656">
        <v>150</v>
      </c>
      <c r="V61" s="656">
        <v>40</v>
      </c>
      <c r="W61" s="656">
        <v>40</v>
      </c>
      <c r="X61" s="656">
        <f t="shared" si="1"/>
        <v>380</v>
      </c>
      <c r="Y61" s="657" t="s">
        <v>1233</v>
      </c>
    </row>
    <row r="62" spans="2:25" ht="123.75">
      <c r="B62" s="1685"/>
      <c r="C62" s="2026"/>
      <c r="D62" s="2087"/>
      <c r="E62" s="2090"/>
      <c r="F62" s="2075"/>
      <c r="G62" s="1685"/>
      <c r="H62" s="1993"/>
      <c r="I62" s="2048"/>
      <c r="J62" s="1994"/>
      <c r="K62" s="805" t="s">
        <v>738</v>
      </c>
      <c r="L62" s="739">
        <f t="shared" si="0"/>
        <v>0.10848126232741617</v>
      </c>
      <c r="M62" s="489">
        <v>3</v>
      </c>
      <c r="N62" s="596" t="s">
        <v>745</v>
      </c>
      <c r="O62" s="598">
        <v>0</v>
      </c>
      <c r="P62" s="818">
        <v>1</v>
      </c>
      <c r="Q62" s="654">
        <v>2</v>
      </c>
      <c r="R62" s="654">
        <v>3</v>
      </c>
      <c r="S62" s="654">
        <v>3</v>
      </c>
      <c r="T62" s="658">
        <v>150</v>
      </c>
      <c r="U62" s="656">
        <v>400</v>
      </c>
      <c r="V62" s="656">
        <v>0</v>
      </c>
      <c r="W62" s="656">
        <v>0</v>
      </c>
      <c r="X62" s="656">
        <f t="shared" si="1"/>
        <v>550</v>
      </c>
      <c r="Y62" s="657" t="s">
        <v>1233</v>
      </c>
    </row>
    <row r="63" spans="2:25" ht="56.25">
      <c r="B63" s="1685"/>
      <c r="C63" s="2026"/>
      <c r="D63" s="2087"/>
      <c r="E63" s="2090"/>
      <c r="F63" s="2075"/>
      <c r="G63" s="1685"/>
      <c r="H63" s="1993"/>
      <c r="I63" s="2048"/>
      <c r="J63" s="2004" t="s">
        <v>731</v>
      </c>
      <c r="K63" s="805" t="s">
        <v>1274</v>
      </c>
      <c r="L63" s="739">
        <f t="shared" si="0"/>
        <v>0.01775147928994083</v>
      </c>
      <c r="M63" s="653">
        <v>0.5</v>
      </c>
      <c r="N63" s="596" t="s">
        <v>748</v>
      </c>
      <c r="O63" s="598">
        <v>0</v>
      </c>
      <c r="P63" s="824">
        <v>0.05</v>
      </c>
      <c r="Q63" s="655">
        <v>0.15</v>
      </c>
      <c r="R63" s="655">
        <v>0.35</v>
      </c>
      <c r="S63" s="655">
        <v>0.5</v>
      </c>
      <c r="T63" s="658">
        <v>30</v>
      </c>
      <c r="U63" s="656">
        <v>20</v>
      </c>
      <c r="V63" s="656">
        <v>20</v>
      </c>
      <c r="W63" s="656">
        <v>20</v>
      </c>
      <c r="X63" s="656">
        <f t="shared" si="1"/>
        <v>90</v>
      </c>
      <c r="Y63" s="657" t="s">
        <v>1233</v>
      </c>
    </row>
    <row r="64" spans="2:25" ht="67.5">
      <c r="B64" s="1685"/>
      <c r="C64" s="2026"/>
      <c r="D64" s="2087"/>
      <c r="E64" s="2090"/>
      <c r="F64" s="2075"/>
      <c r="G64" s="1685"/>
      <c r="H64" s="1993"/>
      <c r="I64" s="2048"/>
      <c r="J64" s="2004"/>
      <c r="K64" s="805" t="s">
        <v>1275</v>
      </c>
      <c r="L64" s="739">
        <f t="shared" si="0"/>
        <v>0.01775147928994083</v>
      </c>
      <c r="M64" s="653">
        <v>0.8</v>
      </c>
      <c r="N64" s="596" t="s">
        <v>749</v>
      </c>
      <c r="O64" s="598">
        <v>0</v>
      </c>
      <c r="P64" s="824">
        <v>0.1</v>
      </c>
      <c r="Q64" s="655">
        <v>0.3</v>
      </c>
      <c r="R64" s="655">
        <v>0.7</v>
      </c>
      <c r="S64" s="655">
        <v>0.8</v>
      </c>
      <c r="T64" s="658">
        <v>30</v>
      </c>
      <c r="U64" s="656">
        <v>20</v>
      </c>
      <c r="V64" s="656">
        <v>20</v>
      </c>
      <c r="W64" s="656">
        <v>20</v>
      </c>
      <c r="X64" s="656">
        <f t="shared" si="1"/>
        <v>90</v>
      </c>
      <c r="Y64" s="657" t="s">
        <v>1233</v>
      </c>
    </row>
    <row r="65" spans="2:25" ht="56.25">
      <c r="B65" s="1685"/>
      <c r="C65" s="2026"/>
      <c r="D65" s="2087"/>
      <c r="E65" s="2090"/>
      <c r="F65" s="2075"/>
      <c r="G65" s="1685"/>
      <c r="H65" s="1993"/>
      <c r="I65" s="2048"/>
      <c r="J65" s="2004"/>
      <c r="K65" s="805" t="s">
        <v>747</v>
      </c>
      <c r="L65" s="739">
        <f t="shared" si="0"/>
        <v>0.011834319526627219</v>
      </c>
      <c r="M65" s="653">
        <v>0.2</v>
      </c>
      <c r="N65" s="596" t="s">
        <v>750</v>
      </c>
      <c r="O65" s="598" t="s">
        <v>751</v>
      </c>
      <c r="P65" s="824">
        <v>0.05</v>
      </c>
      <c r="Q65" s="655">
        <v>0.1</v>
      </c>
      <c r="R65" s="655">
        <v>0.15</v>
      </c>
      <c r="S65" s="655">
        <v>0.2</v>
      </c>
      <c r="T65" s="658">
        <v>30</v>
      </c>
      <c r="U65" s="656">
        <v>10</v>
      </c>
      <c r="V65" s="656">
        <v>10</v>
      </c>
      <c r="W65" s="656">
        <v>10</v>
      </c>
      <c r="X65" s="656">
        <f t="shared" si="1"/>
        <v>60</v>
      </c>
      <c r="Y65" s="657" t="s">
        <v>1233</v>
      </c>
    </row>
    <row r="66" spans="2:25" ht="67.5">
      <c r="B66" s="1685"/>
      <c r="C66" s="2026"/>
      <c r="D66" s="2087"/>
      <c r="E66" s="2090"/>
      <c r="F66" s="2075"/>
      <c r="G66" s="1685"/>
      <c r="H66" s="1993"/>
      <c r="I66" s="2048"/>
      <c r="J66" s="608" t="s">
        <v>752</v>
      </c>
      <c r="K66" s="807" t="s">
        <v>753</v>
      </c>
      <c r="L66" s="739">
        <v>0.01</v>
      </c>
      <c r="M66" s="489">
        <v>1</v>
      </c>
      <c r="N66" s="596" t="s">
        <v>755</v>
      </c>
      <c r="O66" s="598">
        <v>0</v>
      </c>
      <c r="P66" s="818">
        <v>0</v>
      </c>
      <c r="Q66" s="654">
        <v>1</v>
      </c>
      <c r="R66" s="654">
        <v>1</v>
      </c>
      <c r="S66" s="654">
        <v>1</v>
      </c>
      <c r="T66" s="658">
        <v>0</v>
      </c>
      <c r="U66" s="656">
        <v>0</v>
      </c>
      <c r="V66" s="656">
        <v>0</v>
      </c>
      <c r="W66" s="656">
        <v>0</v>
      </c>
      <c r="X66" s="656">
        <f t="shared" si="1"/>
        <v>0</v>
      </c>
      <c r="Y66" s="657" t="s">
        <v>1233</v>
      </c>
    </row>
    <row r="67" spans="2:25" ht="101.25">
      <c r="B67" s="1685"/>
      <c r="C67" s="2026"/>
      <c r="D67" s="2088"/>
      <c r="E67" s="2091"/>
      <c r="F67" s="2076"/>
      <c r="G67" s="1686"/>
      <c r="H67" s="1994"/>
      <c r="I67" s="2049"/>
      <c r="J67" s="608" t="s">
        <v>1276</v>
      </c>
      <c r="K67" s="809" t="s">
        <v>754</v>
      </c>
      <c r="L67" s="739">
        <v>0.46</v>
      </c>
      <c r="M67" s="653">
        <v>1</v>
      </c>
      <c r="N67" s="596" t="s">
        <v>756</v>
      </c>
      <c r="O67" s="598">
        <v>0</v>
      </c>
      <c r="P67" s="824">
        <v>0.1</v>
      </c>
      <c r="Q67" s="655">
        <v>0</v>
      </c>
      <c r="R67" s="655">
        <v>0.9</v>
      </c>
      <c r="S67" s="655">
        <v>1</v>
      </c>
      <c r="T67" s="658" t="s">
        <v>1277</v>
      </c>
      <c r="U67" s="658">
        <v>0</v>
      </c>
      <c r="V67" s="658">
        <v>1200</v>
      </c>
      <c r="W67" s="658">
        <v>1200</v>
      </c>
      <c r="X67" s="656">
        <f t="shared" si="1"/>
        <v>2400</v>
      </c>
      <c r="Y67" s="657" t="s">
        <v>1233</v>
      </c>
    </row>
    <row r="68" spans="2:25" ht="15">
      <c r="B68" s="1685"/>
      <c r="C68" s="2026"/>
      <c r="D68" s="718"/>
      <c r="E68" s="817"/>
      <c r="F68" s="711"/>
      <c r="G68" s="703"/>
      <c r="H68" s="710"/>
      <c r="I68" s="710"/>
      <c r="J68" s="717"/>
      <c r="K68" s="809"/>
      <c r="L68" s="739">
        <f>SUM(L56:L67)</f>
        <v>1.0011242603550294</v>
      </c>
      <c r="M68" s="653"/>
      <c r="N68" s="596"/>
      <c r="O68" s="701"/>
      <c r="P68" s="824"/>
      <c r="Q68" s="655"/>
      <c r="R68" s="655"/>
      <c r="S68" s="655"/>
      <c r="T68" s="658"/>
      <c r="U68" s="658"/>
      <c r="V68" s="658"/>
      <c r="W68" s="658"/>
      <c r="X68" s="656"/>
      <c r="Y68" s="657"/>
    </row>
    <row r="69" spans="2:25" ht="90">
      <c r="B69" s="1685"/>
      <c r="C69" s="2026"/>
      <c r="D69" s="2077" t="s">
        <v>166</v>
      </c>
      <c r="E69" s="2080">
        <v>6.2</v>
      </c>
      <c r="F69" s="2011">
        <v>0.6</v>
      </c>
      <c r="G69" s="1684" t="s">
        <v>136</v>
      </c>
      <c r="H69" s="1684">
        <v>40</v>
      </c>
      <c r="I69" s="1684">
        <f>+F69+H69</f>
        <v>40.6</v>
      </c>
      <c r="J69" s="1684" t="s">
        <v>757</v>
      </c>
      <c r="K69" s="806" t="s">
        <v>1278</v>
      </c>
      <c r="L69" s="736">
        <f>+(X69/SUM($X$69:$X$72))</f>
        <v>0.17777777777777778</v>
      </c>
      <c r="M69" s="473">
        <v>5</v>
      </c>
      <c r="N69" s="596" t="s">
        <v>1279</v>
      </c>
      <c r="O69" s="473">
        <v>0</v>
      </c>
      <c r="P69" s="818">
        <v>1</v>
      </c>
      <c r="Q69" s="647">
        <v>2</v>
      </c>
      <c r="R69" s="647">
        <v>3</v>
      </c>
      <c r="S69" s="647">
        <v>5</v>
      </c>
      <c r="T69" s="648">
        <v>60</v>
      </c>
      <c r="U69" s="648">
        <v>60</v>
      </c>
      <c r="V69" s="648">
        <v>60</v>
      </c>
      <c r="W69" s="648">
        <v>60</v>
      </c>
      <c r="X69" s="659">
        <f t="shared" si="1"/>
        <v>240</v>
      </c>
      <c r="Y69" s="649" t="s">
        <v>1233</v>
      </c>
    </row>
    <row r="70" spans="2:25" ht="78.75">
      <c r="B70" s="1685"/>
      <c r="C70" s="2026"/>
      <c r="D70" s="2078"/>
      <c r="E70" s="2081"/>
      <c r="F70" s="1685"/>
      <c r="G70" s="1685"/>
      <c r="H70" s="1685"/>
      <c r="I70" s="1685"/>
      <c r="J70" s="1685"/>
      <c r="K70" s="806" t="s">
        <v>1280</v>
      </c>
      <c r="L70" s="736">
        <f>+(X70/SUM($X$69:$X$72))</f>
        <v>0.23703703703703705</v>
      </c>
      <c r="M70" s="473">
        <v>30</v>
      </c>
      <c r="N70" s="596" t="s">
        <v>1281</v>
      </c>
      <c r="O70" s="473">
        <v>19</v>
      </c>
      <c r="P70" s="818">
        <v>19</v>
      </c>
      <c r="Q70" s="647">
        <v>22</v>
      </c>
      <c r="R70" s="652">
        <v>26</v>
      </c>
      <c r="S70" s="647">
        <v>30</v>
      </c>
      <c r="T70" s="648">
        <v>80</v>
      </c>
      <c r="U70" s="648">
        <v>80</v>
      </c>
      <c r="V70" s="648">
        <v>80</v>
      </c>
      <c r="W70" s="648">
        <v>80</v>
      </c>
      <c r="X70" s="659">
        <f t="shared" si="1"/>
        <v>320</v>
      </c>
      <c r="Y70" s="649" t="s">
        <v>1233</v>
      </c>
    </row>
    <row r="71" spans="2:25" ht="67.5">
      <c r="B71" s="1685"/>
      <c r="C71" s="2026"/>
      <c r="D71" s="2078"/>
      <c r="E71" s="2081"/>
      <c r="F71" s="1685"/>
      <c r="G71" s="1685"/>
      <c r="H71" s="1685"/>
      <c r="I71" s="1685"/>
      <c r="J71" s="1685"/>
      <c r="K71" s="806" t="s">
        <v>1282</v>
      </c>
      <c r="L71" s="736">
        <f>+(X71/SUM($X$69:$X$72))</f>
        <v>0.17777777777777778</v>
      </c>
      <c r="M71" s="473">
        <v>4</v>
      </c>
      <c r="N71" s="596" t="s">
        <v>758</v>
      </c>
      <c r="O71" s="473">
        <v>2</v>
      </c>
      <c r="P71" s="825">
        <v>2</v>
      </c>
      <c r="Q71" s="647">
        <v>3</v>
      </c>
      <c r="R71" s="647">
        <v>4</v>
      </c>
      <c r="S71" s="647">
        <v>6</v>
      </c>
      <c r="T71" s="648">
        <v>60</v>
      </c>
      <c r="U71" s="648">
        <v>60</v>
      </c>
      <c r="V71" s="648">
        <v>60</v>
      </c>
      <c r="W71" s="648">
        <v>60</v>
      </c>
      <c r="X71" s="659">
        <f t="shared" si="1"/>
        <v>240</v>
      </c>
      <c r="Y71" s="649" t="s">
        <v>1233</v>
      </c>
    </row>
    <row r="72" spans="2:25" ht="102" customHeight="1">
      <c r="B72" s="1685"/>
      <c r="C72" s="2026"/>
      <c r="D72" s="2078"/>
      <c r="E72" s="2081"/>
      <c r="F72" s="1685"/>
      <c r="G72" s="1685"/>
      <c r="H72" s="1685"/>
      <c r="I72" s="1685"/>
      <c r="J72" s="1685"/>
      <c r="K72" s="2099" t="s">
        <v>1283</v>
      </c>
      <c r="L72" s="2102">
        <f>+(X72/SUM($X$69:$X$72))</f>
        <v>0.4074074074074074</v>
      </c>
      <c r="M72" s="2011">
        <v>1</v>
      </c>
      <c r="N72" s="2014" t="s">
        <v>1284</v>
      </c>
      <c r="O72" s="2011">
        <v>0</v>
      </c>
      <c r="P72" s="2017">
        <v>25</v>
      </c>
      <c r="Q72" s="2020">
        <v>50</v>
      </c>
      <c r="R72" s="2020">
        <v>75</v>
      </c>
      <c r="S72" s="2020">
        <v>100</v>
      </c>
      <c r="T72" s="2105">
        <v>100</v>
      </c>
      <c r="U72" s="2105">
        <v>150</v>
      </c>
      <c r="V72" s="2105">
        <v>150</v>
      </c>
      <c r="W72" s="2105">
        <v>150</v>
      </c>
      <c r="X72" s="2096">
        <f t="shared" si="1"/>
        <v>550</v>
      </c>
      <c r="Y72" s="2005" t="s">
        <v>1233</v>
      </c>
    </row>
    <row r="73" spans="2:25" ht="15">
      <c r="B73" s="1685"/>
      <c r="C73" s="2026"/>
      <c r="D73" s="2078"/>
      <c r="E73" s="2081"/>
      <c r="F73" s="1685"/>
      <c r="G73" s="1685"/>
      <c r="H73" s="1685"/>
      <c r="I73" s="1685"/>
      <c r="J73" s="1685"/>
      <c r="K73" s="2100"/>
      <c r="L73" s="2103"/>
      <c r="M73" s="2012"/>
      <c r="N73" s="2015"/>
      <c r="O73" s="2012"/>
      <c r="P73" s="2018"/>
      <c r="Q73" s="2021"/>
      <c r="R73" s="2021"/>
      <c r="S73" s="2021"/>
      <c r="T73" s="2106"/>
      <c r="U73" s="2106"/>
      <c r="V73" s="2106"/>
      <c r="W73" s="2106"/>
      <c r="X73" s="2097"/>
      <c r="Y73" s="2006"/>
    </row>
    <row r="74" spans="2:25" ht="15">
      <c r="B74" s="1685"/>
      <c r="C74" s="2026"/>
      <c r="D74" s="2078"/>
      <c r="E74" s="2081"/>
      <c r="F74" s="1685"/>
      <c r="G74" s="1685"/>
      <c r="H74" s="1685"/>
      <c r="I74" s="1685"/>
      <c r="J74" s="1685"/>
      <c r="K74" s="2100"/>
      <c r="L74" s="2103"/>
      <c r="M74" s="2012"/>
      <c r="N74" s="2015"/>
      <c r="O74" s="2012"/>
      <c r="P74" s="2018"/>
      <c r="Q74" s="2021"/>
      <c r="R74" s="2021"/>
      <c r="S74" s="2021"/>
      <c r="T74" s="2106"/>
      <c r="U74" s="2106"/>
      <c r="V74" s="2106"/>
      <c r="W74" s="2106"/>
      <c r="X74" s="2097"/>
      <c r="Y74" s="2006"/>
    </row>
    <row r="75" spans="2:25" ht="15">
      <c r="B75" s="1685"/>
      <c r="C75" s="2026"/>
      <c r="D75" s="2078"/>
      <c r="E75" s="2081"/>
      <c r="F75" s="1685"/>
      <c r="G75" s="1685"/>
      <c r="H75" s="1685"/>
      <c r="I75" s="1685"/>
      <c r="J75" s="1685"/>
      <c r="K75" s="2100"/>
      <c r="L75" s="2103"/>
      <c r="M75" s="2012"/>
      <c r="N75" s="2015"/>
      <c r="O75" s="2012"/>
      <c r="P75" s="2018"/>
      <c r="Q75" s="2021"/>
      <c r="R75" s="2021"/>
      <c r="S75" s="2021"/>
      <c r="T75" s="2106"/>
      <c r="U75" s="2106"/>
      <c r="V75" s="2106"/>
      <c r="W75" s="2106"/>
      <c r="X75" s="2097"/>
      <c r="Y75" s="2006"/>
    </row>
    <row r="76" spans="2:25" ht="15">
      <c r="B76" s="1685"/>
      <c r="C76" s="2026"/>
      <c r="D76" s="2078"/>
      <c r="E76" s="2081"/>
      <c r="F76" s="1685"/>
      <c r="G76" s="1685"/>
      <c r="H76" s="1685"/>
      <c r="I76" s="1685"/>
      <c r="J76" s="1685"/>
      <c r="K76" s="2100"/>
      <c r="L76" s="2103"/>
      <c r="M76" s="2012"/>
      <c r="N76" s="2015"/>
      <c r="O76" s="2012"/>
      <c r="P76" s="2018"/>
      <c r="Q76" s="2021"/>
      <c r="R76" s="2021"/>
      <c r="S76" s="2021"/>
      <c r="T76" s="2106"/>
      <c r="U76" s="2106"/>
      <c r="V76" s="2106"/>
      <c r="W76" s="2106"/>
      <c r="X76" s="2097"/>
      <c r="Y76" s="2006"/>
    </row>
    <row r="77" spans="2:25" ht="15">
      <c r="B77" s="1685"/>
      <c r="C77" s="2026"/>
      <c r="D77" s="2078"/>
      <c r="E77" s="2081"/>
      <c r="F77" s="1685"/>
      <c r="G77" s="1685"/>
      <c r="H77" s="1685"/>
      <c r="I77" s="1685"/>
      <c r="J77" s="1685"/>
      <c r="K77" s="2100"/>
      <c r="L77" s="2103"/>
      <c r="M77" s="2012"/>
      <c r="N77" s="2015"/>
      <c r="O77" s="2012"/>
      <c r="P77" s="2018"/>
      <c r="Q77" s="2021"/>
      <c r="R77" s="2021"/>
      <c r="S77" s="2021"/>
      <c r="T77" s="2106"/>
      <c r="U77" s="2106"/>
      <c r="V77" s="2106"/>
      <c r="W77" s="2106"/>
      <c r="X77" s="2097"/>
      <c r="Y77" s="2006"/>
    </row>
    <row r="78" spans="2:25" ht="15">
      <c r="B78" s="1685"/>
      <c r="C78" s="2026"/>
      <c r="D78" s="2078"/>
      <c r="E78" s="2081"/>
      <c r="F78" s="1685"/>
      <c r="G78" s="1685"/>
      <c r="H78" s="1685"/>
      <c r="I78" s="1685"/>
      <c r="J78" s="1685"/>
      <c r="K78" s="2100"/>
      <c r="L78" s="2103"/>
      <c r="M78" s="2013"/>
      <c r="N78" s="2016"/>
      <c r="O78" s="2013"/>
      <c r="P78" s="2019"/>
      <c r="Q78" s="2022"/>
      <c r="R78" s="2022"/>
      <c r="S78" s="2022"/>
      <c r="T78" s="2106"/>
      <c r="U78" s="2106"/>
      <c r="V78" s="2106"/>
      <c r="W78" s="2106"/>
      <c r="X78" s="2097"/>
      <c r="Y78" s="2006"/>
    </row>
    <row r="79" spans="2:25" ht="68.25">
      <c r="B79" s="1686"/>
      <c r="C79" s="2027"/>
      <c r="D79" s="2079"/>
      <c r="E79" s="2082"/>
      <c r="F79" s="1686"/>
      <c r="G79" s="1686"/>
      <c r="H79" s="1686"/>
      <c r="I79" s="1686"/>
      <c r="J79" s="1686"/>
      <c r="K79" s="2101"/>
      <c r="L79" s="2104"/>
      <c r="M79" s="473">
        <v>40000</v>
      </c>
      <c r="N79" s="596" t="s">
        <v>1285</v>
      </c>
      <c r="O79" s="473">
        <v>50839</v>
      </c>
      <c r="P79" s="826">
        <v>50839</v>
      </c>
      <c r="Q79" s="520">
        <f>+P79+12500</f>
        <v>63339</v>
      </c>
      <c r="R79" s="520">
        <f>+Q79+12500</f>
        <v>75839</v>
      </c>
      <c r="S79" s="520">
        <f>+R79+15000</f>
        <v>90839</v>
      </c>
      <c r="T79" s="2107"/>
      <c r="U79" s="2107"/>
      <c r="V79" s="2107"/>
      <c r="W79" s="2107"/>
      <c r="X79" s="2098"/>
      <c r="Y79" s="2007"/>
    </row>
    <row r="80" spans="2:25" ht="15">
      <c r="B80" s="740"/>
      <c r="C80" s="741"/>
      <c r="D80" s="742"/>
      <c r="E80" s="743"/>
      <c r="F80" s="740"/>
      <c r="G80" s="740"/>
      <c r="H80" s="740"/>
      <c r="I80" s="740"/>
      <c r="J80" s="740"/>
      <c r="K80" s="810"/>
      <c r="L80" s="747">
        <f>SUM(L69:L79)</f>
        <v>1</v>
      </c>
      <c r="M80" s="740"/>
      <c r="N80" s="812"/>
      <c r="O80" s="740"/>
      <c r="P80" s="827"/>
      <c r="Q80" s="13"/>
      <c r="R80" s="13"/>
      <c r="S80" s="13"/>
      <c r="T80" s="744"/>
      <c r="U80" s="744"/>
      <c r="V80" s="744"/>
      <c r="W80" s="744"/>
      <c r="X80" s="745"/>
      <c r="Y80" s="746"/>
    </row>
    <row r="81" spans="5:12" ht="15">
      <c r="E81" s="735">
        <f>SUM(E14:E79)</f>
        <v>100.00000000000001</v>
      </c>
      <c r="L81" s="803">
        <f>+L69+L70+L71+L72</f>
        <v>1</v>
      </c>
    </row>
    <row r="82" spans="2:5" ht="15">
      <c r="B82" t="s">
        <v>1286</v>
      </c>
      <c r="E82" s="734"/>
    </row>
    <row r="83" ht="15">
      <c r="B83" t="s">
        <v>1323</v>
      </c>
    </row>
    <row r="84" spans="2:6" ht="15">
      <c r="B84" s="719" t="s">
        <v>1324</v>
      </c>
      <c r="C84" s="719"/>
      <c r="D84" s="719" t="s">
        <v>1325</v>
      </c>
      <c r="E84" s="719"/>
      <c r="F84" t="s">
        <v>1330</v>
      </c>
    </row>
    <row r="85" spans="2:4" ht="15">
      <c r="B85" s="719" t="s">
        <v>1321</v>
      </c>
      <c r="C85" s="719"/>
      <c r="D85" s="719" t="s">
        <v>1321</v>
      </c>
    </row>
    <row r="86" spans="2:4" ht="15">
      <c r="B86" s="829">
        <v>287495</v>
      </c>
      <c r="D86" s="829">
        <v>3000</v>
      </c>
    </row>
    <row r="87" spans="2:4" ht="15">
      <c r="B87" s="829">
        <v>168229</v>
      </c>
      <c r="D87" s="829">
        <v>3100</v>
      </c>
    </row>
    <row r="88" spans="2:4" ht="15">
      <c r="B88" s="829">
        <v>106917</v>
      </c>
      <c r="D88" s="829">
        <v>2700</v>
      </c>
    </row>
    <row r="89" spans="2:4" ht="15">
      <c r="B89" s="829">
        <v>9195</v>
      </c>
      <c r="D89" s="829">
        <v>2300</v>
      </c>
    </row>
    <row r="90" spans="2:4" ht="15">
      <c r="B90" s="830">
        <f>SUM(B86:B89)</f>
        <v>571836</v>
      </c>
      <c r="C90" s="719"/>
      <c r="D90" s="830">
        <f>SUM(D86:D89)</f>
        <v>11100</v>
      </c>
    </row>
    <row r="91" spans="2:4" ht="15">
      <c r="B91" s="831">
        <f>50*571836/100</f>
        <v>285918</v>
      </c>
      <c r="D91" s="832">
        <f>11100*100/571836</f>
        <v>1.9411159843031918</v>
      </c>
    </row>
  </sheetData>
  <sheetProtection/>
  <mergeCells count="142">
    <mergeCell ref="E14:E29"/>
    <mergeCell ref="K27:K28"/>
    <mergeCell ref="L18:L23"/>
    <mergeCell ref="J24:J28"/>
    <mergeCell ref="F14:F29"/>
    <mergeCell ref="W72:W79"/>
    <mergeCell ref="R72:R78"/>
    <mergeCell ref="S72:S78"/>
    <mergeCell ref="J52:J54"/>
    <mergeCell ref="H52:H54"/>
    <mergeCell ref="Q36:Q42"/>
    <mergeCell ref="T18:T23"/>
    <mergeCell ref="U18:U23"/>
    <mergeCell ref="V18:V23"/>
    <mergeCell ref="W18:W23"/>
    <mergeCell ref="X18:X23"/>
    <mergeCell ref="R33:R35"/>
    <mergeCell ref="G14:G29"/>
    <mergeCell ref="G30:G50"/>
    <mergeCell ref="J69:J79"/>
    <mergeCell ref="L33:L35"/>
    <mergeCell ref="K72:K79"/>
    <mergeCell ref="L72:L79"/>
    <mergeCell ref="R44:R50"/>
    <mergeCell ref="W33:W35"/>
    <mergeCell ref="X33:X35"/>
    <mergeCell ref="W44:W50"/>
    <mergeCell ref="W36:W42"/>
    <mergeCell ref="X72:X79"/>
    <mergeCell ref="T72:T79"/>
    <mergeCell ref="U72:U79"/>
    <mergeCell ref="V72:V79"/>
    <mergeCell ref="X36:X42"/>
    <mergeCell ref="Y36:Y42"/>
    <mergeCell ref="D56:D67"/>
    <mergeCell ref="E56:E67"/>
    <mergeCell ref="J56:J58"/>
    <mergeCell ref="J59:J62"/>
    <mergeCell ref="J63:J65"/>
    <mergeCell ref="D52:D54"/>
    <mergeCell ref="E52:E54"/>
    <mergeCell ref="N36:N42"/>
    <mergeCell ref="K43:K50"/>
    <mergeCell ref="D69:D79"/>
    <mergeCell ref="E69:E79"/>
    <mergeCell ref="F69:F79"/>
    <mergeCell ref="G69:G79"/>
    <mergeCell ref="H69:H79"/>
    <mergeCell ref="I69:I79"/>
    <mergeCell ref="Q44:Q50"/>
    <mergeCell ref="U44:U50"/>
    <mergeCell ref="F30:F50"/>
    <mergeCell ref="G52:G67"/>
    <mergeCell ref="F52:F67"/>
    <mergeCell ref="V33:V35"/>
    <mergeCell ref="Q33:Q35"/>
    <mergeCell ref="T33:T35"/>
    <mergeCell ref="K36:K42"/>
    <mergeCell ref="P33:P35"/>
    <mergeCell ref="E30:E50"/>
    <mergeCell ref="V44:V50"/>
    <mergeCell ref="V36:V42"/>
    <mergeCell ref="S44:S50"/>
    <mergeCell ref="T44:T50"/>
    <mergeCell ref="R36:R42"/>
    <mergeCell ref="U36:U42"/>
    <mergeCell ref="O36:O42"/>
    <mergeCell ref="P36:P42"/>
    <mergeCell ref="N44:N50"/>
    <mergeCell ref="O12:O13"/>
    <mergeCell ref="I12:I13"/>
    <mergeCell ref="J12:J13"/>
    <mergeCell ref="Y52:Y54"/>
    <mergeCell ref="S36:S42"/>
    <mergeCell ref="T36:T42"/>
    <mergeCell ref="Y43:Y50"/>
    <mergeCell ref="X44:X50"/>
    <mergeCell ref="O44:O50"/>
    <mergeCell ref="P44:P50"/>
    <mergeCell ref="Y18:Y23"/>
    <mergeCell ref="Y30:Y35"/>
    <mergeCell ref="U33:U35"/>
    <mergeCell ref="D9:U9"/>
    <mergeCell ref="D10:Y10"/>
    <mergeCell ref="H12:H13"/>
    <mergeCell ref="K12:K13"/>
    <mergeCell ref="L12:L13"/>
    <mergeCell ref="M12:M13"/>
    <mergeCell ref="N12:N13"/>
    <mergeCell ref="K33:K35"/>
    <mergeCell ref="M33:M35"/>
    <mergeCell ref="N33:N35"/>
    <mergeCell ref="M36:M42"/>
    <mergeCell ref="O33:O35"/>
    <mergeCell ref="I30:I50"/>
    <mergeCell ref="J30:J50"/>
    <mergeCell ref="L44:L50"/>
    <mergeCell ref="M44:M50"/>
    <mergeCell ref="I14:I28"/>
    <mergeCell ref="H14:H28"/>
    <mergeCell ref="H56:H67"/>
    <mergeCell ref="I56:I67"/>
    <mergeCell ref="H30:H50"/>
    <mergeCell ref="I52:I54"/>
    <mergeCell ref="T2:Y4"/>
    <mergeCell ref="H5:S5"/>
    <mergeCell ref="T5:Y5"/>
    <mergeCell ref="H6:S6"/>
    <mergeCell ref="T6:Y6"/>
    <mergeCell ref="N8:X8"/>
    <mergeCell ref="Q18:Q23"/>
    <mergeCell ref="R18:R23"/>
    <mergeCell ref="S33:S35"/>
    <mergeCell ref="M18:M23"/>
    <mergeCell ref="S18:S23"/>
    <mergeCell ref="O18:O23"/>
    <mergeCell ref="B12:B13"/>
    <mergeCell ref="C12:C13"/>
    <mergeCell ref="D12:D13"/>
    <mergeCell ref="E12:E13"/>
    <mergeCell ref="F12:F13"/>
    <mergeCell ref="G12:G13"/>
    <mergeCell ref="B2:G6"/>
    <mergeCell ref="H2:S4"/>
    <mergeCell ref="B14:B79"/>
    <mergeCell ref="C14:C79"/>
    <mergeCell ref="J14:J17"/>
    <mergeCell ref="K16:K17"/>
    <mergeCell ref="J18:J23"/>
    <mergeCell ref="K18:K23"/>
    <mergeCell ref="D30:D50"/>
    <mergeCell ref="K24:K26"/>
    <mergeCell ref="Y72:Y79"/>
    <mergeCell ref="D14:D29"/>
    <mergeCell ref="M72:M78"/>
    <mergeCell ref="N72:N78"/>
    <mergeCell ref="O72:O78"/>
    <mergeCell ref="P72:P78"/>
    <mergeCell ref="Q72:Q78"/>
    <mergeCell ref="N18:N23"/>
    <mergeCell ref="L36:L42"/>
    <mergeCell ref="P18:P23"/>
  </mergeCells>
  <printOptions/>
  <pageMargins left="1.12" right="0.7086614173228347" top="0.7480314960629921" bottom="0.7480314960629921" header="0.31496062992125984" footer="0.31496062992125984"/>
  <pageSetup horizontalDpi="600" verticalDpi="600" orientation="landscape" paperSize="5"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Wilson Hernando Morales Reina</cp:lastModifiedBy>
  <cp:lastPrinted>2012-09-19T22:36:58Z</cp:lastPrinted>
  <dcterms:created xsi:type="dcterms:W3CDTF">2012-08-03T13:42:53Z</dcterms:created>
  <dcterms:modified xsi:type="dcterms:W3CDTF">2013-11-26T20:57:33Z</dcterms:modified>
  <cp:category/>
  <cp:version/>
  <cp:contentType/>
  <cp:contentStatus/>
</cp:coreProperties>
</file>